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4.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17.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5.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0.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29.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1.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externalLinks/externalLink1.xml" ContentType="application/vnd.openxmlformats-officedocument.spreadsheetml.externalLink+xml"/>
  <Override PartName="/xl/comments1.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comments3.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13"/>
  <workbookPr showInkAnnotation="0" defaultThemeVersion="124226"/>
  <mc:AlternateContent xmlns:mc="http://schemas.openxmlformats.org/markup-compatibility/2006">
    <mc:Choice Requires="x15">
      <x15ac:absPath xmlns:x15ac="http://schemas.microsoft.com/office/spreadsheetml/2010/11/ac" url="C:\Users\Michelle\OneDrive\DESC - Healthcare PSH\HTF\"/>
    </mc:Choice>
  </mc:AlternateContent>
  <xr:revisionPtr revIDLastSave="0" documentId="8_{F6A7401E-EFD1-49C5-BA54-41B0E0C565EE}" xr6:coauthVersionLast="23" xr6:coauthVersionMax="23" xr10:uidLastSave="{00000000-0000-0000-0000-000000000000}"/>
  <bookViews>
    <workbookView xWindow="0" yWindow="0" windowWidth="19200" windowHeight="6650" firstSheet="8" activeTab="8" xr2:uid="{00000000-000D-0000-FFFF-FFFF00000000}"/>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externalReferences>
    <externalReference r:id="rId37"/>
  </externalReferences>
  <definedNames>
    <definedName name="_xlnm._FilterDatabase" localSheetId="14" hidden="1">'5'!$C$16:$F$76</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'5'!$A$1:$G$79</definedName>
    <definedName name="_xlnm.Print_Area" localSheetId="3">'5 Default Check'!$B$3:$F$62</definedName>
    <definedName name="_xlnm.Print_Area" localSheetId="15">'6A'!$A$1:$V$123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'7B'!$B$11:$U$58</definedName>
    <definedName name="_xlnm.Print_Area" localSheetId="22">'8A'!$B$8:$P$52</definedName>
    <definedName name="_xlnm.Print_Area" localSheetId="23">'8B'!$B$10:$H$40</definedName>
    <definedName name="_xlnm.Print_Area" localSheetId="24">'8C'!$B$9:$S$62</definedName>
    <definedName name="_xlnm.Print_Area" localSheetId="25">'8D'!$B$13:$W$113</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'5'!$E$17:$E$78</definedName>
    <definedName name="Schedule_Tasks" localSheetId="3">'5 Default Check'!$D$7:$D$61</definedName>
    <definedName name="Schedule_Tasks">'5'!$D$17:$D$78</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71027" calcMode="manual" iterate="1" calcCompleted="0"/>
  <fileRecoveryPr autoRecover="0"/>
</workbook>
</file>

<file path=xl/calcChain.xml><?xml version="1.0" encoding="utf-8"?>
<calcChain xmlns="http://schemas.openxmlformats.org/spreadsheetml/2006/main">
  <c r="G43" i="13" l="1"/>
  <c r="G40" i="13"/>
  <c r="G35" i="13"/>
  <c r="G19" i="13"/>
  <c r="G18" i="13"/>
  <c r="H90" i="20"/>
  <c r="I90" i="20"/>
  <c r="J90" i="20"/>
  <c r="K90" i="20"/>
  <c r="L90" i="20"/>
  <c r="M90" i="20"/>
  <c r="N90" i="20"/>
  <c r="O90" i="20"/>
  <c r="P90" i="20"/>
  <c r="Q90" i="20"/>
  <c r="R90" i="20"/>
  <c r="S90" i="20"/>
  <c r="T90" i="20"/>
  <c r="U90" i="20"/>
  <c r="V90" i="20"/>
  <c r="I91" i="20"/>
  <c r="J91" i="20"/>
  <c r="K91" i="20"/>
  <c r="L91" i="20"/>
  <c r="M91" i="20"/>
  <c r="N91" i="20"/>
  <c r="O91" i="20"/>
  <c r="P91" i="20"/>
  <c r="Q91" i="20"/>
  <c r="R91" i="20"/>
  <c r="S91" i="20"/>
  <c r="T91" i="20"/>
  <c r="U91" i="20"/>
  <c r="V91" i="20"/>
  <c r="H92" i="20"/>
  <c r="I92" i="20"/>
  <c r="J92" i="20"/>
  <c r="K92" i="20"/>
  <c r="L92" i="20"/>
  <c r="M92" i="20"/>
  <c r="N92" i="20"/>
  <c r="O92" i="20"/>
  <c r="P92" i="20"/>
  <c r="Q92" i="20"/>
  <c r="R92" i="20"/>
  <c r="S92" i="20"/>
  <c r="T92" i="20"/>
  <c r="U92" i="20"/>
  <c r="V92" i="20"/>
  <c r="H89" i="20"/>
  <c r="H91" i="20"/>
  <c r="H74" i="20"/>
  <c r="H72" i="20"/>
  <c r="H78" i="20"/>
  <c r="L58" i="77"/>
  <c r="L47" i="77"/>
  <c r="O27" i="15"/>
  <c r="O21" i="15"/>
  <c r="I20" i="4"/>
  <c r="E20" i="4"/>
  <c r="J66" i="9"/>
  <c r="O90" i="9"/>
  <c r="O106" i="9"/>
  <c r="M104" i="9"/>
  <c r="M103" i="9"/>
  <c r="M102" i="9"/>
  <c r="M99" i="9"/>
  <c r="O91" i="9"/>
  <c r="M81" i="9"/>
  <c r="O75" i="9"/>
  <c r="O74" i="9"/>
  <c r="O73" i="9"/>
  <c r="O71" i="9"/>
  <c r="O67" i="9"/>
  <c r="O61" i="9"/>
  <c r="M60" i="9"/>
  <c r="M52" i="9"/>
  <c r="L45" i="9"/>
  <c r="O45" i="9"/>
  <c r="N43" i="9"/>
  <c r="J43" i="9"/>
  <c r="N79" i="9"/>
  <c r="L79" i="9"/>
  <c r="L98" i="9"/>
  <c r="N22" i="9"/>
  <c r="L52" i="9"/>
  <c r="J100" i="9"/>
  <c r="J97" i="9"/>
  <c r="J96" i="9"/>
  <c r="J85" i="9"/>
  <c r="L85" i="9"/>
  <c r="J84" i="9"/>
  <c r="O84" i="9"/>
  <c r="J83" i="9"/>
  <c r="O83" i="9"/>
  <c r="J82" i="9"/>
  <c r="O82" i="9"/>
  <c r="O66" i="9"/>
  <c r="J55" i="9"/>
  <c r="J54" i="9"/>
  <c r="J41" i="9"/>
  <c r="M41" i="9"/>
  <c r="J36" i="9"/>
  <c r="M36" i="9"/>
  <c r="O36" i="9"/>
  <c r="J22" i="9"/>
  <c r="T22" i="9"/>
  <c r="T25" i="9"/>
  <c r="N8" i="3"/>
  <c r="M22" i="9"/>
  <c r="J25" i="9"/>
  <c r="I23" i="78"/>
  <c r="M26" i="78"/>
  <c r="M33" i="78"/>
  <c r="J67" i="78"/>
  <c r="M59" i="78"/>
  <c r="M70" i="78"/>
  <c r="I89" i="78"/>
  <c r="M80" i="78"/>
  <c r="I101" i="78"/>
  <c r="I103" i="78"/>
  <c r="M92" i="78"/>
  <c r="I113" i="78"/>
  <c r="M106" i="78"/>
  <c r="M117" i="78"/>
  <c r="K134" i="78"/>
  <c r="M152" i="78"/>
  <c r="M189" i="78"/>
  <c r="I30" i="77"/>
  <c r="K79" i="77"/>
  <c r="L91" i="77"/>
  <c r="I224" i="77"/>
  <c r="M234" i="77"/>
  <c r="K242" i="77"/>
  <c r="M234" i="78"/>
  <c r="C20" i="4"/>
  <c r="G24" i="12"/>
  <c r="C33" i="4"/>
  <c r="C32" i="4"/>
  <c r="C31" i="4"/>
  <c r="C30" i="4"/>
  <c r="C29" i="4"/>
  <c r="C28" i="4"/>
  <c r="C27" i="4"/>
  <c r="C26" i="4"/>
  <c r="C25" i="4"/>
  <c r="C24" i="4"/>
  <c r="C23" i="4"/>
  <c r="C22" i="4"/>
  <c r="C21" i="4"/>
  <c r="J2" i="51"/>
  <c r="E2" i="51"/>
  <c r="D2" i="51"/>
  <c r="C2" i="51"/>
  <c r="CP2" i="51"/>
  <c r="BT2" i="51"/>
  <c r="BZ2" i="51"/>
  <c r="BX2" i="51"/>
  <c r="BW2" i="51"/>
  <c r="BV2" i="51"/>
  <c r="BR2" i="51"/>
  <c r="BK2" i="51"/>
  <c r="BI2" i="51"/>
  <c r="BB2" i="51"/>
  <c r="BA2" i="51"/>
  <c r="AZ2" i="51"/>
  <c r="AY2" i="51"/>
  <c r="AW2" i="51"/>
  <c r="AV2" i="51"/>
  <c r="AU2" i="51"/>
  <c r="AT2" i="51"/>
  <c r="N5" i="51"/>
  <c r="M5" i="51"/>
  <c r="K5" i="51"/>
  <c r="I2" i="51"/>
  <c r="H2" i="51"/>
  <c r="G2" i="51"/>
  <c r="F2" i="51"/>
  <c r="B2" i="51"/>
  <c r="A2" i="51"/>
  <c r="K51" i="16"/>
  <c r="AG2" i="51"/>
  <c r="J51" i="16"/>
  <c r="AF2" i="51"/>
  <c r="I51" i="16"/>
  <c r="AE2" i="51"/>
  <c r="H51" i="16"/>
  <c r="AD2" i="51"/>
  <c r="G51" i="16"/>
  <c r="AC2" i="51"/>
  <c r="F51" i="16"/>
  <c r="E51" i="16"/>
  <c r="D51" i="16"/>
  <c r="K50" i="16"/>
  <c r="J50" i="16"/>
  <c r="I50" i="16"/>
  <c r="H50" i="16"/>
  <c r="G50" i="16"/>
  <c r="F50" i="16"/>
  <c r="E50" i="16"/>
  <c r="D50" i="16"/>
  <c r="T41" i="15"/>
  <c r="F19" i="7"/>
  <c r="AB2" i="51"/>
  <c r="AH2" i="51"/>
  <c r="C33" i="15"/>
  <c r="C32" i="15"/>
  <c r="C31" i="15"/>
  <c r="C30" i="15"/>
  <c r="C29" i="15"/>
  <c r="C28" i="15"/>
  <c r="C27" i="15"/>
  <c r="C22" i="15"/>
  <c r="C21" i="15"/>
  <c r="C20" i="15"/>
  <c r="F13" i="7"/>
  <c r="F14" i="7"/>
  <c r="F15" i="7"/>
  <c r="F16" i="7"/>
  <c r="F17" i="7"/>
  <c r="F18" i="7"/>
  <c r="L54" i="36"/>
  <c r="R54" i="36"/>
  <c r="Q54" i="36"/>
  <c r="P54" i="36"/>
  <c r="O54" i="36"/>
  <c r="N54" i="36"/>
  <c r="Q27" i="36"/>
  <c r="N27" i="36"/>
  <c r="Q41" i="36"/>
  <c r="P31" i="36"/>
  <c r="P43" i="36"/>
  <c r="Q31" i="36"/>
  <c r="Q43" i="36"/>
  <c r="R15" i="36"/>
  <c r="Q15" i="36"/>
  <c r="F36" i="17"/>
  <c r="F28" i="17"/>
  <c r="L55" i="36"/>
  <c r="BQ2" i="51"/>
  <c r="G23" i="37"/>
  <c r="F46" i="49"/>
  <c r="F33" i="49"/>
  <c r="F20" i="49"/>
  <c r="E20" i="49"/>
  <c r="C12" i="49"/>
  <c r="CD2" i="51"/>
  <c r="F22" i="49"/>
  <c r="BS2" i="51"/>
  <c r="G48" i="12"/>
  <c r="R31" i="36"/>
  <c r="R43" i="36"/>
  <c r="O31" i="36"/>
  <c r="O43" i="36"/>
  <c r="BP2" i="51"/>
  <c r="BO2" i="51"/>
  <c r="R41" i="36"/>
  <c r="P41" i="36"/>
  <c r="N41" i="36"/>
  <c r="H40" i="36"/>
  <c r="H39" i="36"/>
  <c r="H38" i="36"/>
  <c r="K38" i="36"/>
  <c r="H37" i="36"/>
  <c r="K37" i="36"/>
  <c r="H36" i="36"/>
  <c r="H35" i="36"/>
  <c r="H34" i="36"/>
  <c r="K34" i="36"/>
  <c r="H33" i="36"/>
  <c r="H32" i="36"/>
  <c r="K33" i="36"/>
  <c r="L33" i="36"/>
  <c r="O33" i="36"/>
  <c r="K35" i="36"/>
  <c r="L35" i="36"/>
  <c r="O35" i="36"/>
  <c r="K39" i="36"/>
  <c r="L39" i="36"/>
  <c r="K32" i="36"/>
  <c r="L32" i="36"/>
  <c r="O32" i="36"/>
  <c r="K36" i="36"/>
  <c r="L36" i="36"/>
  <c r="K40" i="36"/>
  <c r="L40" i="36"/>
  <c r="L34" i="36"/>
  <c r="O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O41" i="36"/>
  <c r="D35" i="17"/>
  <c r="L41" i="36"/>
  <c r="H99" i="20"/>
  <c r="CS2" i="51"/>
  <c r="CX2" i="51"/>
  <c r="E65" i="43"/>
  <c r="G37" i="9"/>
  <c r="G36" i="9"/>
  <c r="G17" i="37"/>
  <c r="H20" i="36"/>
  <c r="K20" i="36"/>
  <c r="L20" i="36"/>
  <c r="O20" i="36"/>
  <c r="C65" i="20"/>
  <c r="C10" i="26"/>
  <c r="C18" i="25"/>
  <c r="C15" i="24"/>
  <c r="C10" i="23"/>
  <c r="C5" i="22"/>
  <c r="C10" i="21"/>
  <c r="C16" i="20"/>
  <c r="C12" i="36"/>
  <c r="C13" i="17"/>
  <c r="C11" i="16"/>
  <c r="C14" i="15"/>
  <c r="C10" i="13"/>
  <c r="C9" i="12"/>
  <c r="C13" i="11"/>
  <c r="C9" i="10"/>
  <c r="C15" i="9"/>
  <c r="C14" i="8"/>
  <c r="C5" i="7"/>
  <c r="C18" i="6"/>
  <c r="F18" i="38"/>
  <c r="C15" i="4"/>
  <c r="C5" i="3"/>
  <c r="EF23" i="40"/>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c r="AR2" i="51"/>
  <c r="K139" i="38"/>
  <c r="I139" i="38" a="1"/>
  <c r="I139" i="38"/>
  <c r="K138" i="38"/>
  <c r="I138" i="38" a="1"/>
  <c r="I138" i="38"/>
  <c r="K137" i="38"/>
  <c r="I137" i="38" a="1"/>
  <c r="I137" i="38"/>
  <c r="K136" i="38"/>
  <c r="I136" i="38" a="1"/>
  <c r="I136" i="38"/>
  <c r="I135" i="38" a="1"/>
  <c r="I135" i="38"/>
  <c r="K134" i="38"/>
  <c r="I134" i="38" a="1"/>
  <c r="I134" i="38"/>
  <c r="J129" i="38"/>
  <c r="J148" i="38"/>
  <c r="AQ2" i="51"/>
  <c r="K128" i="38"/>
  <c r="I128" i="38" a="1"/>
  <c r="I128" i="38"/>
  <c r="K127" i="38"/>
  <c r="I127" i="38" a="1"/>
  <c r="I127" i="38"/>
  <c r="K126" i="38"/>
  <c r="I126" i="38" a="1"/>
  <c r="I126" i="38"/>
  <c r="K125" i="38"/>
  <c r="I125" i="38" a="1"/>
  <c r="I125" i="38"/>
  <c r="K124" i="38"/>
  <c r="I124" i="38" a="1"/>
  <c r="I124" i="38"/>
  <c r="K123" i="38"/>
  <c r="I123" i="38" a="1"/>
  <c r="I123" i="38"/>
  <c r="K122" i="38"/>
  <c r="I122" i="38" a="1"/>
  <c r="I122" i="38"/>
  <c r="K121" i="38"/>
  <c r="I121" i="38" a="1"/>
  <c r="I121" i="38"/>
  <c r="K120" i="38"/>
  <c r="I120" i="38" a="1"/>
  <c r="I120" i="38"/>
  <c r="K119" i="38"/>
  <c r="I119" i="38" a="1"/>
  <c r="I119" i="38"/>
  <c r="K118" i="38"/>
  <c r="I118" i="38" a="1"/>
  <c r="I118" i="38"/>
  <c r="K117" i="38"/>
  <c r="I117" i="38" a="1"/>
  <c r="I117" i="38"/>
  <c r="K116" i="38"/>
  <c r="I116" i="38" a="1"/>
  <c r="I116" i="38"/>
  <c r="K115" i="38"/>
  <c r="I115" i="38" a="1"/>
  <c r="I115" i="38"/>
  <c r="K114" i="38"/>
  <c r="I114" i="38" a="1"/>
  <c r="I114" i="38"/>
  <c r="K113" i="38"/>
  <c r="I113" i="38" a="1"/>
  <c r="I113" i="38"/>
  <c r="K112" i="38"/>
  <c r="I112" i="38" a="1"/>
  <c r="I112" i="38"/>
  <c r="K111" i="38"/>
  <c r="I111" i="38" a="1"/>
  <c r="I111" i="38"/>
  <c r="K110" i="38"/>
  <c r="I110" i="38" a="1"/>
  <c r="I110" i="38"/>
  <c r="K109" i="38"/>
  <c r="I109" i="38" a="1"/>
  <c r="I109" i="38"/>
  <c r="K108" i="38"/>
  <c r="I108" i="38" a="1"/>
  <c r="I108" i="38"/>
  <c r="J103" i="38"/>
  <c r="J147" i="38"/>
  <c r="AP2" i="51"/>
  <c r="I102" i="38" a="1"/>
  <c r="I102" i="38"/>
  <c r="I101" i="38" a="1"/>
  <c r="I101" i="38"/>
  <c r="K100" i="38"/>
  <c r="I100" i="38" a="1"/>
  <c r="I100" i="38"/>
  <c r="K99" i="38"/>
  <c r="I99" i="38" a="1"/>
  <c r="I99" i="38"/>
  <c r="K98" i="38"/>
  <c r="I98" i="38" a="1"/>
  <c r="I98" i="38"/>
  <c r="K97" i="38"/>
  <c r="I97" i="38" a="1"/>
  <c r="I97" i="38"/>
  <c r="K96" i="38"/>
  <c r="I96" i="38" a="1"/>
  <c r="I96" i="38"/>
  <c r="J92" i="38"/>
  <c r="J146" i="38"/>
  <c r="AO2" i="51"/>
  <c r="K91" i="38"/>
  <c r="I91" i="38" a="1"/>
  <c r="I91" i="38"/>
  <c r="K90" i="38"/>
  <c r="I90" i="38" a="1"/>
  <c r="I90" i="38"/>
  <c r="K89" i="38"/>
  <c r="I89" i="38" a="1"/>
  <c r="I89" i="38"/>
  <c r="K88" i="38"/>
  <c r="I88" i="38" a="1"/>
  <c r="I88" i="38"/>
  <c r="K87" i="38"/>
  <c r="I87" i="38" a="1"/>
  <c r="I87" i="38"/>
  <c r="K86" i="38"/>
  <c r="I86" i="38" a="1"/>
  <c r="I86" i="38"/>
  <c r="K85" i="38"/>
  <c r="I85" i="38" a="1"/>
  <c r="I85" i="38"/>
  <c r="K84" i="38"/>
  <c r="I84" i="38" a="1"/>
  <c r="I84" i="38"/>
  <c r="K83" i="38"/>
  <c r="I83" i="38" a="1"/>
  <c r="I83" i="38"/>
  <c r="K82" i="38"/>
  <c r="I82" i="38" a="1"/>
  <c r="I82" i="38"/>
  <c r="K81" i="38"/>
  <c r="I81" i="38" a="1"/>
  <c r="I81" i="38"/>
  <c r="K80" i="38"/>
  <c r="I80" i="38" a="1"/>
  <c r="I80" i="38"/>
  <c r="K79" i="38"/>
  <c r="I79" i="38" a="1"/>
  <c r="I79" i="38"/>
  <c r="K78" i="38"/>
  <c r="I78" i="38" a="1"/>
  <c r="I78" i="38"/>
  <c r="K77" i="38"/>
  <c r="I77" i="38" a="1"/>
  <c r="I77" i="38"/>
  <c r="K76" i="38"/>
  <c r="I76" i="38" a="1"/>
  <c r="I76" i="38"/>
  <c r="K75" i="38"/>
  <c r="I75" i="38" a="1"/>
  <c r="I75" i="38"/>
  <c r="K74" i="38"/>
  <c r="I74" i="38" a="1"/>
  <c r="I74" i="38"/>
  <c r="J69" i="38"/>
  <c r="J145" i="38"/>
  <c r="AN2" i="51"/>
  <c r="I68" i="38" a="1"/>
  <c r="I68" i="38"/>
  <c r="K67" i="38"/>
  <c r="I67" i="38" a="1"/>
  <c r="I67" i="38"/>
  <c r="K66" i="38"/>
  <c r="I66" i="38" a="1"/>
  <c r="I66" i="38"/>
  <c r="I65" i="38" a="1"/>
  <c r="I65" i="38"/>
  <c r="K64" i="38"/>
  <c r="I64" i="38" a="1"/>
  <c r="I64" i="38"/>
  <c r="J60" i="38"/>
  <c r="J144" i="38"/>
  <c r="AM2" i="51"/>
  <c r="K59" i="38"/>
  <c r="I59" i="38" a="1"/>
  <c r="I59" i="38"/>
  <c r="K58" i="38"/>
  <c r="I58" i="38" a="1"/>
  <c r="I58" i="38"/>
  <c r="K57" i="38"/>
  <c r="I57" i="38" a="1"/>
  <c r="I57" i="38"/>
  <c r="K56" i="38"/>
  <c r="I56" i="38" a="1"/>
  <c r="I56" i="38"/>
  <c r="K55" i="38"/>
  <c r="I55" i="38" a="1"/>
  <c r="I55" i="38"/>
  <c r="K54" i="38"/>
  <c r="I54" i="38" a="1"/>
  <c r="I54" i="38"/>
  <c r="K53" i="38"/>
  <c r="I53" i="38" a="1"/>
  <c r="I53" i="38"/>
  <c r="K52" i="38"/>
  <c r="I52" i="38" a="1"/>
  <c r="I52" i="38"/>
  <c r="J48" i="38"/>
  <c r="J143" i="38"/>
  <c r="AL2" i="51"/>
  <c r="K47" i="38"/>
  <c r="I47" i="38" a="1"/>
  <c r="I47" i="38"/>
  <c r="K46" i="38"/>
  <c r="I46" i="38" a="1"/>
  <c r="I46" i="38"/>
  <c r="K45" i="38"/>
  <c r="I45" i="38" a="1"/>
  <c r="I45" i="38"/>
  <c r="K44" i="38"/>
  <c r="I44" i="38" a="1"/>
  <c r="I44" i="38"/>
  <c r="K43" i="38"/>
  <c r="I43" i="38" a="1"/>
  <c r="I43" i="38"/>
  <c r="K42" i="38"/>
  <c r="I42" i="38" a="1"/>
  <c r="I42" i="38"/>
  <c r="K41" i="38"/>
  <c r="I41" i="38" a="1"/>
  <c r="I41" i="38"/>
  <c r="K40" i="38"/>
  <c r="I40" i="38" a="1"/>
  <c r="I40" i="38"/>
  <c r="K39" i="38"/>
  <c r="I39" i="38" a="1"/>
  <c r="I39" i="38"/>
  <c r="K38" i="38"/>
  <c r="I38" i="38" a="1"/>
  <c r="I38" i="38"/>
  <c r="K37" i="38"/>
  <c r="I37" i="38" a="1"/>
  <c r="I37" i="38"/>
  <c r="J33" i="38"/>
  <c r="J142" i="38"/>
  <c r="AK2" i="51"/>
  <c r="I32" i="38" a="1"/>
  <c r="I32" i="38"/>
  <c r="I31" i="38" a="1"/>
  <c r="I31" i="38"/>
  <c r="I30" i="38" a="1"/>
  <c r="I30" i="38"/>
  <c r="K29" i="38"/>
  <c r="I29" i="38" a="1"/>
  <c r="I29" i="38"/>
  <c r="I28" i="38" a="1"/>
  <c r="I28" i="38"/>
  <c r="K27" i="38"/>
  <c r="I27" i="38" a="1"/>
  <c r="I27" i="38"/>
  <c r="J150" i="38"/>
  <c r="G24" i="37"/>
  <c r="G22" i="37"/>
  <c r="G21" i="37"/>
  <c r="G14" i="37"/>
  <c r="G13" i="37"/>
  <c r="G12" i="37"/>
  <c r="G11" i="37"/>
  <c r="G10" i="37"/>
  <c r="F19" i="17"/>
  <c r="F20" i="17"/>
  <c r="F29" i="17"/>
  <c r="F35" i="17"/>
  <c r="F37" i="17"/>
  <c r="F38" i="17"/>
  <c r="J19" i="16"/>
  <c r="I88" i="20"/>
  <c r="J88" i="20"/>
  <c r="K88" i="20"/>
  <c r="L88" i="20"/>
  <c r="M88" i="20"/>
  <c r="N88" i="20"/>
  <c r="O88" i="20"/>
  <c r="P88" i="20"/>
  <c r="Q88" i="20"/>
  <c r="R88" i="20"/>
  <c r="S88" i="20"/>
  <c r="T88" i="20"/>
  <c r="U88" i="20"/>
  <c r="V88" i="20"/>
  <c r="J18" i="16"/>
  <c r="J17" i="16"/>
  <c r="P15" i="36"/>
  <c r="O15" i="36"/>
  <c r="D39" i="17"/>
  <c r="CJ2" i="51"/>
  <c r="E39" i="17"/>
  <c r="CK2" i="51"/>
  <c r="E30" i="17"/>
  <c r="CG2" i="51"/>
  <c r="T44" i="15"/>
  <c r="T47" i="15"/>
  <c r="T46" i="15"/>
  <c r="T45" i="15"/>
  <c r="T42" i="15"/>
  <c r="T40" i="15"/>
  <c r="T31" i="15"/>
  <c r="T33" i="15"/>
  <c r="T32" i="15"/>
  <c r="T30" i="15"/>
  <c r="T29" i="15"/>
  <c r="T28" i="15"/>
  <c r="T27" i="15"/>
  <c r="T22" i="15"/>
  <c r="T20" i="15"/>
  <c r="T19" i="15"/>
  <c r="K49" i="15"/>
  <c r="D49" i="15"/>
  <c r="J49" i="15"/>
  <c r="I49" i="15"/>
  <c r="G49" i="15"/>
  <c r="F49" i="15"/>
  <c r="E49" i="15"/>
  <c r="K34" i="15"/>
  <c r="J34" i="15"/>
  <c r="I34" i="15"/>
  <c r="G34" i="15"/>
  <c r="F34" i="15"/>
  <c r="E34" i="15"/>
  <c r="D34" i="15"/>
  <c r="G23" i="15"/>
  <c r="F23" i="15"/>
  <c r="E23" i="15"/>
  <c r="D23" i="15"/>
  <c r="D36" i="15"/>
  <c r="K28" i="4"/>
  <c r="O28" i="4"/>
  <c r="F39" i="17"/>
  <c r="N55" i="36"/>
  <c r="D51" i="15"/>
  <c r="E36" i="15"/>
  <c r="E51" i="15"/>
  <c r="F36" i="15"/>
  <c r="F51" i="15"/>
  <c r="G36" i="15"/>
  <c r="G51" i="15"/>
  <c r="H24" i="36"/>
  <c r="R27" i="36"/>
  <c r="H23" i="36"/>
  <c r="H22" i="36"/>
  <c r="K22" i="36"/>
  <c r="H21" i="36"/>
  <c r="K21" i="36"/>
  <c r="H19" i="36"/>
  <c r="K19" i="36"/>
  <c r="H18" i="36"/>
  <c r="K18" i="36"/>
  <c r="H17" i="36"/>
  <c r="H16" i="36"/>
  <c r="K16" i="36"/>
  <c r="L16" i="36"/>
  <c r="O16" i="36"/>
  <c r="L17" i="36"/>
  <c r="O17" i="36"/>
  <c r="L18" i="36"/>
  <c r="O18" i="36"/>
  <c r="K23" i="36"/>
  <c r="L23" i="36"/>
  <c r="O23" i="36"/>
  <c r="K24" i="36"/>
  <c r="L24" i="36"/>
  <c r="L22" i="36"/>
  <c r="O22" i="36"/>
  <c r="L19" i="36"/>
  <c r="O19" i="36"/>
  <c r="L21" i="36"/>
  <c r="O21" i="36"/>
  <c r="G33" i="6"/>
  <c r="K33" i="4"/>
  <c r="O33" i="4"/>
  <c r="L21" i="3"/>
  <c r="N29" i="16"/>
  <c r="M29" i="16"/>
  <c r="J29" i="16"/>
  <c r="L29" i="16"/>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c r="M26" i="16"/>
  <c r="O35" i="20"/>
  <c r="P35" i="20"/>
  <c r="Q35" i="20"/>
  <c r="R35" i="20"/>
  <c r="S35" i="20"/>
  <c r="T35" i="20"/>
  <c r="U35" i="20"/>
  <c r="V35" i="20"/>
  <c r="I101" i="20"/>
  <c r="J101" i="20"/>
  <c r="K101" i="20"/>
  <c r="L101" i="20"/>
  <c r="M101" i="20"/>
  <c r="N101" i="20"/>
  <c r="O101" i="20"/>
  <c r="I99" i="20"/>
  <c r="I38" i="20"/>
  <c r="I95" i="20"/>
  <c r="J95" i="20"/>
  <c r="I89" i="20"/>
  <c r="J89" i="20"/>
  <c r="K89" i="20"/>
  <c r="L89" i="20"/>
  <c r="M89" i="20"/>
  <c r="N89" i="20"/>
  <c r="O89" i="20"/>
  <c r="P89" i="20"/>
  <c r="Q89" i="20"/>
  <c r="R89" i="20"/>
  <c r="S89" i="20"/>
  <c r="T89" i="20"/>
  <c r="U89" i="20"/>
  <c r="V89" i="20"/>
  <c r="I87" i="20"/>
  <c r="J87" i="20"/>
  <c r="K87" i="20"/>
  <c r="L87" i="20"/>
  <c r="M87" i="20"/>
  <c r="N87" i="20"/>
  <c r="O87" i="20"/>
  <c r="P87" i="20"/>
  <c r="Q87" i="20"/>
  <c r="R87" i="20"/>
  <c r="S87" i="20"/>
  <c r="T87" i="20"/>
  <c r="U87" i="20"/>
  <c r="V87" i="20"/>
  <c r="I86" i="20"/>
  <c r="J86" i="20"/>
  <c r="K86" i="20"/>
  <c r="L86" i="20"/>
  <c r="M86" i="20"/>
  <c r="N86" i="20"/>
  <c r="O86" i="20"/>
  <c r="P86" i="20"/>
  <c r="Q86" i="20"/>
  <c r="R86" i="20"/>
  <c r="S86" i="20"/>
  <c r="T86" i="20"/>
  <c r="U86" i="20"/>
  <c r="V86" i="20"/>
  <c r="I85" i="20"/>
  <c r="J85" i="20"/>
  <c r="K85" i="20"/>
  <c r="L85" i="20"/>
  <c r="M85" i="20"/>
  <c r="N85" i="20"/>
  <c r="O85" i="20"/>
  <c r="P85" i="20"/>
  <c r="Q85" i="20"/>
  <c r="R85" i="20"/>
  <c r="S85" i="20"/>
  <c r="T85" i="20"/>
  <c r="U85" i="20"/>
  <c r="V85" i="20"/>
  <c r="I84" i="20"/>
  <c r="J84" i="20"/>
  <c r="K84" i="20"/>
  <c r="L84" i="20"/>
  <c r="M84" i="20"/>
  <c r="N84" i="20"/>
  <c r="O84" i="20"/>
  <c r="P84" i="20"/>
  <c r="Q84" i="20"/>
  <c r="R84" i="20"/>
  <c r="S84" i="20"/>
  <c r="T84" i="20"/>
  <c r="U84" i="20"/>
  <c r="V84" i="20"/>
  <c r="I83" i="20"/>
  <c r="J83" i="20"/>
  <c r="K83" i="20"/>
  <c r="L83" i="20"/>
  <c r="M83" i="20"/>
  <c r="N83" i="20"/>
  <c r="O83" i="20"/>
  <c r="P83" i="20"/>
  <c r="Q83" i="20"/>
  <c r="R83" i="20"/>
  <c r="S83" i="20"/>
  <c r="T83" i="20"/>
  <c r="U83" i="20"/>
  <c r="V83" i="20"/>
  <c r="I82" i="20"/>
  <c r="J82" i="20"/>
  <c r="K82" i="20"/>
  <c r="L82" i="20"/>
  <c r="M82" i="20"/>
  <c r="N82" i="20"/>
  <c r="O82" i="20"/>
  <c r="P82" i="20"/>
  <c r="Q82" i="20"/>
  <c r="R82" i="20"/>
  <c r="S82" i="20"/>
  <c r="T82" i="20"/>
  <c r="U82" i="20"/>
  <c r="V82" i="20"/>
  <c r="I81" i="20"/>
  <c r="J81" i="20"/>
  <c r="K81" i="20"/>
  <c r="L81" i="20"/>
  <c r="M81" i="20"/>
  <c r="N81" i="20"/>
  <c r="O81" i="20"/>
  <c r="P81" i="20"/>
  <c r="Q81" i="20"/>
  <c r="R81" i="20"/>
  <c r="S81" i="20"/>
  <c r="T81" i="20"/>
  <c r="U81" i="20"/>
  <c r="V81" i="20"/>
  <c r="I80" i="20"/>
  <c r="J80" i="20"/>
  <c r="K80" i="20"/>
  <c r="L80" i="20"/>
  <c r="M80" i="20"/>
  <c r="N80" i="20"/>
  <c r="O80" i="20"/>
  <c r="P80" i="20"/>
  <c r="Q80" i="20"/>
  <c r="R80" i="20"/>
  <c r="S80" i="20"/>
  <c r="T80" i="20"/>
  <c r="U80" i="20"/>
  <c r="V80" i="20"/>
  <c r="I79" i="20"/>
  <c r="J79" i="20"/>
  <c r="K79" i="20"/>
  <c r="L79" i="20"/>
  <c r="M79" i="20"/>
  <c r="N79" i="20"/>
  <c r="O79" i="20"/>
  <c r="P79" i="20"/>
  <c r="Q79" i="20"/>
  <c r="R79" i="20"/>
  <c r="S79" i="20"/>
  <c r="T79" i="20"/>
  <c r="U79" i="20"/>
  <c r="V79" i="20"/>
  <c r="I78" i="20"/>
  <c r="J78" i="20"/>
  <c r="K78" i="20"/>
  <c r="L78" i="20"/>
  <c r="M78" i="20"/>
  <c r="N78" i="20"/>
  <c r="O78" i="20"/>
  <c r="P78" i="20"/>
  <c r="Q78" i="20"/>
  <c r="R78" i="20"/>
  <c r="S78" i="20"/>
  <c r="T78" i="20"/>
  <c r="U78" i="20"/>
  <c r="V78" i="20"/>
  <c r="I77" i="20"/>
  <c r="J77" i="20"/>
  <c r="K77" i="20"/>
  <c r="L77" i="20"/>
  <c r="M77" i="20"/>
  <c r="N77" i="20"/>
  <c r="O77" i="20"/>
  <c r="P77" i="20"/>
  <c r="Q77" i="20"/>
  <c r="R77" i="20"/>
  <c r="S77" i="20"/>
  <c r="T77" i="20"/>
  <c r="U77" i="20"/>
  <c r="V77" i="20"/>
  <c r="I76" i="20"/>
  <c r="J76" i="20"/>
  <c r="K76" i="20"/>
  <c r="L76" i="20"/>
  <c r="M76" i="20"/>
  <c r="N76" i="20"/>
  <c r="O76" i="20"/>
  <c r="P76" i="20"/>
  <c r="Q76" i="20"/>
  <c r="R76" i="20"/>
  <c r="S76" i="20"/>
  <c r="T76" i="20"/>
  <c r="U76" i="20"/>
  <c r="V76" i="20"/>
  <c r="I75" i="20"/>
  <c r="J75" i="20"/>
  <c r="K75" i="20"/>
  <c r="L75" i="20"/>
  <c r="M75" i="20"/>
  <c r="N75" i="20"/>
  <c r="O75" i="20"/>
  <c r="P75" i="20"/>
  <c r="Q75" i="20"/>
  <c r="R75" i="20"/>
  <c r="S75" i="20"/>
  <c r="T75" i="20"/>
  <c r="U75" i="20"/>
  <c r="V75" i="20"/>
  <c r="I74" i="20"/>
  <c r="J74" i="20"/>
  <c r="K74" i="20"/>
  <c r="L74" i="20"/>
  <c r="M74" i="20"/>
  <c r="N74" i="20"/>
  <c r="O74" i="20"/>
  <c r="P74" i="20"/>
  <c r="Q74" i="20"/>
  <c r="R74" i="20"/>
  <c r="S74" i="20"/>
  <c r="T74" i="20"/>
  <c r="U74" i="20"/>
  <c r="V74" i="20"/>
  <c r="I73" i="20"/>
  <c r="J73" i="20"/>
  <c r="I72" i="20"/>
  <c r="J72" i="20"/>
  <c r="K72" i="20"/>
  <c r="L72" i="20"/>
  <c r="M72" i="20"/>
  <c r="N72" i="20"/>
  <c r="O72" i="20"/>
  <c r="P72" i="20"/>
  <c r="Q72" i="20"/>
  <c r="R72" i="20"/>
  <c r="S72" i="20"/>
  <c r="T72" i="20"/>
  <c r="U72" i="20"/>
  <c r="V72" i="20"/>
  <c r="V57" i="20"/>
  <c r="U57" i="20"/>
  <c r="T57" i="20"/>
  <c r="S57" i="20"/>
  <c r="R57" i="20"/>
  <c r="Q57" i="20"/>
  <c r="P57" i="20"/>
  <c r="O57" i="20"/>
  <c r="V48" i="20"/>
  <c r="U48" i="20"/>
  <c r="T48" i="20"/>
  <c r="S48" i="20"/>
  <c r="R48" i="20"/>
  <c r="Q48" i="20"/>
  <c r="P48" i="20"/>
  <c r="O48" i="20"/>
  <c r="L26" i="36"/>
  <c r="H71" i="20"/>
  <c r="P27" i="36"/>
  <c r="O27" i="36"/>
  <c r="K73" i="20"/>
  <c r="L73" i="20"/>
  <c r="M73" i="20"/>
  <c r="N73" i="20"/>
  <c r="O73" i="20"/>
  <c r="P73" i="20"/>
  <c r="Q73" i="20"/>
  <c r="R73" i="20"/>
  <c r="S73" i="20"/>
  <c r="T73" i="20"/>
  <c r="U73" i="20"/>
  <c r="V73" i="20"/>
  <c r="L25" i="36"/>
  <c r="J99" i="20"/>
  <c r="L27" i="36"/>
  <c r="D26" i="17"/>
  <c r="E45" i="16"/>
  <c r="E48" i="16"/>
  <c r="O29" i="16"/>
  <c r="O26" i="16"/>
  <c r="P101" i="20"/>
  <c r="Q101" i="20"/>
  <c r="K95" i="20"/>
  <c r="S34" i="15"/>
  <c r="R34" i="15"/>
  <c r="Q34" i="15"/>
  <c r="P34" i="15"/>
  <c r="N34" i="15"/>
  <c r="M34" i="15"/>
  <c r="L34" i="15"/>
  <c r="S23" i="15"/>
  <c r="S36" i="15"/>
  <c r="R23" i="15"/>
  <c r="Q23" i="15"/>
  <c r="P23" i="15"/>
  <c r="O23" i="15"/>
  <c r="F18" i="17"/>
  <c r="F27" i="17"/>
  <c r="K99" i="20"/>
  <c r="J38" i="20"/>
  <c r="CN2" i="51"/>
  <c r="I71" i="20"/>
  <c r="J71" i="20"/>
  <c r="K71" i="20"/>
  <c r="L71" i="20"/>
  <c r="M71" i="20"/>
  <c r="N71" i="20"/>
  <c r="O71" i="20"/>
  <c r="P71" i="20"/>
  <c r="Q71" i="20"/>
  <c r="R71" i="20"/>
  <c r="S71" i="20"/>
  <c r="T71" i="20"/>
  <c r="U71" i="20"/>
  <c r="V71" i="20"/>
  <c r="L28" i="36"/>
  <c r="H70" i="20"/>
  <c r="Q36" i="15"/>
  <c r="P36" i="15"/>
  <c r="R36" i="15"/>
  <c r="R101" i="20"/>
  <c r="L95" i="20"/>
  <c r="D23" i="22"/>
  <c r="D52" i="22"/>
  <c r="L99" i="20"/>
  <c r="K38" i="20"/>
  <c r="F17" i="17"/>
  <c r="F26" i="17"/>
  <c r="D30" i="17"/>
  <c r="CM2" i="51"/>
  <c r="H93" i="20"/>
  <c r="CO2" i="51"/>
  <c r="I70" i="20"/>
  <c r="S101" i="20"/>
  <c r="M95" i="20"/>
  <c r="N95" i="20"/>
  <c r="N34" i="4"/>
  <c r="O95" i="20"/>
  <c r="M99" i="20"/>
  <c r="L38" i="20"/>
  <c r="CF2" i="51"/>
  <c r="F30" i="17"/>
  <c r="J70" i="20"/>
  <c r="T101" i="20"/>
  <c r="P95" i="20"/>
  <c r="N99" i="20"/>
  <c r="M38" i="20"/>
  <c r="H26" i="20"/>
  <c r="I26" i="20"/>
  <c r="J26" i="20"/>
  <c r="K26" i="20"/>
  <c r="L26" i="20"/>
  <c r="M26" i="20"/>
  <c r="N26" i="20"/>
  <c r="O26" i="20"/>
  <c r="P26" i="20"/>
  <c r="Q26" i="20"/>
  <c r="R26" i="20"/>
  <c r="S26" i="20"/>
  <c r="T26" i="20"/>
  <c r="U26" i="20"/>
  <c r="V26" i="20"/>
  <c r="N28" i="36"/>
  <c r="I93" i="20"/>
  <c r="J93" i="20"/>
  <c r="K70" i="20"/>
  <c r="K93" i="20"/>
  <c r="U101" i="20"/>
  <c r="Q95" i="20"/>
  <c r="O99" i="20"/>
  <c r="N38" i="20"/>
  <c r="L70" i="20"/>
  <c r="V101" i="20"/>
  <c r="R95" i="20"/>
  <c r="P99" i="20"/>
  <c r="O38" i="20"/>
  <c r="M70" i="20"/>
  <c r="L93" i="20"/>
  <c r="S95" i="20"/>
  <c r="Q99" i="20"/>
  <c r="P38" i="20"/>
  <c r="N70" i="20"/>
  <c r="M93" i="20"/>
  <c r="D12" i="26"/>
  <c r="D21" i="25"/>
  <c r="D28" i="22"/>
  <c r="D27" i="22"/>
  <c r="D24" i="22"/>
  <c r="D19" i="22"/>
  <c r="D18" i="22"/>
  <c r="D17" i="22"/>
  <c r="D8" i="22"/>
  <c r="H35" i="20"/>
  <c r="N57" i="20"/>
  <c r="M57" i="20"/>
  <c r="L57" i="20"/>
  <c r="K57" i="20"/>
  <c r="J57" i="20"/>
  <c r="I57" i="20"/>
  <c r="H57" i="20"/>
  <c r="N48" i="20"/>
  <c r="M48" i="20"/>
  <c r="L48" i="20"/>
  <c r="K48" i="20"/>
  <c r="J48" i="20"/>
  <c r="I48" i="20"/>
  <c r="H48" i="20"/>
  <c r="N35" i="20"/>
  <c r="M35" i="20"/>
  <c r="L35" i="20"/>
  <c r="K35" i="20"/>
  <c r="J35" i="20"/>
  <c r="I35" i="20"/>
  <c r="I29" i="20"/>
  <c r="J29" i="20"/>
  <c r="K29" i="20"/>
  <c r="L29" i="20"/>
  <c r="M29" i="20"/>
  <c r="N29" i="20"/>
  <c r="O29" i="20"/>
  <c r="P29" i="20"/>
  <c r="Q29" i="20"/>
  <c r="R29" i="20"/>
  <c r="S29" i="20"/>
  <c r="T29" i="20"/>
  <c r="U29" i="20"/>
  <c r="V29" i="20"/>
  <c r="E21" i="17"/>
  <c r="CI2" i="51"/>
  <c r="D21" i="17"/>
  <c r="T95" i="20"/>
  <c r="R99" i="20"/>
  <c r="Q38" i="20"/>
  <c r="N93" i="20"/>
  <c r="O70" i="20"/>
  <c r="F21" i="17"/>
  <c r="H25" i="20"/>
  <c r="I25" i="20"/>
  <c r="J25" i="20"/>
  <c r="K25" i="20"/>
  <c r="L25" i="20"/>
  <c r="M25" i="20"/>
  <c r="N25" i="20"/>
  <c r="O25" i="20"/>
  <c r="P25" i="20"/>
  <c r="Q25" i="20"/>
  <c r="R25" i="20"/>
  <c r="S25" i="20"/>
  <c r="T25" i="20"/>
  <c r="U25" i="20"/>
  <c r="V25" i="20"/>
  <c r="CH2" i="51"/>
  <c r="U95"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c r="J24" i="16"/>
  <c r="L24" i="16"/>
  <c r="J23" i="16"/>
  <c r="J22" i="16"/>
  <c r="J21" i="16"/>
  <c r="L21" i="16"/>
  <c r="J20" i="16"/>
  <c r="L20" i="16"/>
  <c r="L19" i="16"/>
  <c r="L18" i="16"/>
  <c r="L17" i="16"/>
  <c r="J16" i="16"/>
  <c r="L16" i="16"/>
  <c r="J15" i="16"/>
  <c r="N14" i="16"/>
  <c r="M14" i="16"/>
  <c r="J14" i="16"/>
  <c r="S49" i="15"/>
  <c r="S51" i="15"/>
  <c r="R49" i="15"/>
  <c r="R51" i="15"/>
  <c r="Q49" i="15"/>
  <c r="Q51" i="15"/>
  <c r="P49" i="15"/>
  <c r="P51" i="15"/>
  <c r="N49" i="15"/>
  <c r="M49" i="15"/>
  <c r="L49" i="15"/>
  <c r="S99" i="20"/>
  <c r="R38" i="20"/>
  <c r="P70" i="20"/>
  <c r="O93" i="20"/>
  <c r="N30" i="16"/>
  <c r="H24" i="20"/>
  <c r="L22" i="16"/>
  <c r="L23" i="16"/>
  <c r="V95" i="20"/>
  <c r="M30" i="16"/>
  <c r="L15" i="16"/>
  <c r="O20" i="16"/>
  <c r="O21" i="16"/>
  <c r="O16" i="16"/>
  <c r="O25" i="16"/>
  <c r="L14" i="16"/>
  <c r="O17" i="16"/>
  <c r="O24" i="16"/>
  <c r="O18" i="16"/>
  <c r="O22" i="16"/>
  <c r="O19" i="16"/>
  <c r="O23" i="16"/>
  <c r="O15" i="16"/>
  <c r="O14" i="16"/>
  <c r="H38" i="20"/>
  <c r="H55" i="13"/>
  <c r="H56" i="13"/>
  <c r="H51" i="13"/>
  <c r="H50" i="13"/>
  <c r="H49" i="13"/>
  <c r="H48" i="13"/>
  <c r="H44" i="13"/>
  <c r="H43" i="13"/>
  <c r="H41" i="13"/>
  <c r="H40" i="13"/>
  <c r="H36" i="13"/>
  <c r="H35" i="13"/>
  <c r="H34" i="13"/>
  <c r="H33" i="13"/>
  <c r="H32" i="13"/>
  <c r="H31" i="13"/>
  <c r="H30" i="13"/>
  <c r="H25" i="13"/>
  <c r="H24" i="13"/>
  <c r="H23" i="13"/>
  <c r="H22" i="13"/>
  <c r="H21" i="13"/>
  <c r="H20" i="13"/>
  <c r="H19" i="13"/>
  <c r="H18" i="13"/>
  <c r="H14" i="13"/>
  <c r="H15" i="13"/>
  <c r="J27" i="11"/>
  <c r="J106" i="11"/>
  <c r="J75" i="11"/>
  <c r="J62" i="11"/>
  <c r="J46" i="11"/>
  <c r="T99" i="20"/>
  <c r="S38" i="20"/>
  <c r="P93" i="20"/>
  <c r="Q70" i="20"/>
  <c r="I24" i="20"/>
  <c r="J24" i="20"/>
  <c r="K24" i="20"/>
  <c r="L24" i="20"/>
  <c r="M24" i="20"/>
  <c r="N24" i="20"/>
  <c r="O24" i="20"/>
  <c r="P24" i="20"/>
  <c r="Q24" i="20"/>
  <c r="R24" i="20"/>
  <c r="S24" i="20"/>
  <c r="T24" i="20"/>
  <c r="U24" i="20"/>
  <c r="V24" i="20"/>
  <c r="O30" i="16"/>
  <c r="L50" i="16"/>
  <c r="H23" i="20"/>
  <c r="I23" i="20"/>
  <c r="H52" i="13"/>
  <c r="H45" i="13"/>
  <c r="H26" i="13"/>
  <c r="J118" i="11"/>
  <c r="F16" i="12"/>
  <c r="F21" i="12"/>
  <c r="F23" i="12"/>
  <c r="F26" i="12"/>
  <c r="U118" i="9"/>
  <c r="T118" i="9"/>
  <c r="Q118" i="9"/>
  <c r="P118" i="9"/>
  <c r="O118" i="9"/>
  <c r="N118" i="9"/>
  <c r="M118" i="9"/>
  <c r="L118" i="9"/>
  <c r="U107" i="9"/>
  <c r="T107" i="9"/>
  <c r="Q107" i="9"/>
  <c r="P107" i="9"/>
  <c r="O107" i="9"/>
  <c r="N107" i="9"/>
  <c r="M107" i="9"/>
  <c r="U93" i="9"/>
  <c r="T93" i="9"/>
  <c r="Q93" i="9"/>
  <c r="P93" i="9"/>
  <c r="O93" i="9"/>
  <c r="N93" i="9"/>
  <c r="M93" i="9"/>
  <c r="L93" i="9"/>
  <c r="U87" i="9"/>
  <c r="T87" i="9"/>
  <c r="Q87" i="9"/>
  <c r="P87" i="9"/>
  <c r="O87" i="9"/>
  <c r="N87" i="9"/>
  <c r="U76" i="9"/>
  <c r="T76" i="9"/>
  <c r="Q76" i="9"/>
  <c r="P76" i="9"/>
  <c r="O76" i="9"/>
  <c r="N76" i="9"/>
  <c r="M76" i="9"/>
  <c r="L76" i="9"/>
  <c r="U68" i="9"/>
  <c r="T68" i="9"/>
  <c r="Q68" i="9"/>
  <c r="P68" i="9"/>
  <c r="O68" i="9"/>
  <c r="N68" i="9"/>
  <c r="M68" i="9"/>
  <c r="L68" i="9"/>
  <c r="U63" i="9"/>
  <c r="T63" i="9"/>
  <c r="Q63" i="9"/>
  <c r="P63" i="9"/>
  <c r="U47" i="9"/>
  <c r="T47" i="9"/>
  <c r="Q47" i="9"/>
  <c r="P47" i="9"/>
  <c r="N47" i="9"/>
  <c r="U28" i="9"/>
  <c r="U121" i="9"/>
  <c r="T28" i="9"/>
  <c r="Q28" i="9"/>
  <c r="Q121" i="9"/>
  <c r="P28" i="9"/>
  <c r="O28" i="9"/>
  <c r="N28" i="9"/>
  <c r="L28" i="9"/>
  <c r="S117" i="9"/>
  <c r="S116" i="9"/>
  <c r="S115" i="9"/>
  <c r="S114" i="9"/>
  <c r="S113" i="9"/>
  <c r="S112" i="9"/>
  <c r="S111" i="9"/>
  <c r="S106" i="9"/>
  <c r="S105" i="9"/>
  <c r="S104" i="9"/>
  <c r="S103" i="9"/>
  <c r="S102" i="9"/>
  <c r="S101" i="9"/>
  <c r="S100" i="9"/>
  <c r="L100" i="9"/>
  <c r="S99" i="9"/>
  <c r="S98" i="9"/>
  <c r="S97" i="9"/>
  <c r="L97" i="9"/>
  <c r="L107" i="9"/>
  <c r="S96" i="9"/>
  <c r="L96" i="9"/>
  <c r="S92" i="9"/>
  <c r="S91" i="9"/>
  <c r="S90" i="9"/>
  <c r="S86" i="9"/>
  <c r="S85" i="9"/>
  <c r="S84" i="9"/>
  <c r="S83" i="9"/>
  <c r="S82" i="9"/>
  <c r="S81" i="9"/>
  <c r="S80" i="9"/>
  <c r="S79" i="9"/>
  <c r="S75" i="9"/>
  <c r="S74" i="9"/>
  <c r="S73" i="9"/>
  <c r="S72" i="9"/>
  <c r="S71" i="9"/>
  <c r="S67" i="9"/>
  <c r="S66" i="9"/>
  <c r="S62" i="9"/>
  <c r="S61" i="9"/>
  <c r="S60" i="9"/>
  <c r="S59" i="9"/>
  <c r="S58" i="9"/>
  <c r="S57" i="9"/>
  <c r="S56" i="9"/>
  <c r="L56" i="9"/>
  <c r="K56" i="9"/>
  <c r="S55" i="9"/>
  <c r="L55" i="9"/>
  <c r="S54" i="9"/>
  <c r="L54" i="9"/>
  <c r="K54" i="9"/>
  <c r="I53" i="11"/>
  <c r="K53" i="11"/>
  <c r="S53" i="9"/>
  <c r="L53" i="9"/>
  <c r="S52" i="9"/>
  <c r="S51" i="9"/>
  <c r="L51" i="9"/>
  <c r="S50" i="9"/>
  <c r="L50" i="9"/>
  <c r="S46" i="9"/>
  <c r="S45" i="9"/>
  <c r="S44" i="9"/>
  <c r="S43" i="9"/>
  <c r="S42" i="9"/>
  <c r="S41" i="9"/>
  <c r="S40" i="9"/>
  <c r="S39" i="9"/>
  <c r="S38" i="9"/>
  <c r="S37" i="9"/>
  <c r="S36" i="9"/>
  <c r="S35" i="9"/>
  <c r="S34" i="9"/>
  <c r="S33" i="9"/>
  <c r="S32" i="9"/>
  <c r="S31" i="9"/>
  <c r="S27" i="9"/>
  <c r="S26" i="9"/>
  <c r="S25" i="9"/>
  <c r="S24" i="9"/>
  <c r="S23" i="9"/>
  <c r="K117" i="9"/>
  <c r="I115" i="11"/>
  <c r="K116" i="9"/>
  <c r="K115" i="9"/>
  <c r="K114" i="9"/>
  <c r="I112" i="11"/>
  <c r="K113" i="9"/>
  <c r="I111" i="11"/>
  <c r="K112" i="9"/>
  <c r="K111" i="9"/>
  <c r="K106" i="9"/>
  <c r="K105" i="9"/>
  <c r="K104" i="9"/>
  <c r="K103" i="9"/>
  <c r="K102" i="9"/>
  <c r="I101" i="11"/>
  <c r="K101" i="11"/>
  <c r="K101" i="9"/>
  <c r="I100" i="11"/>
  <c r="K100" i="11"/>
  <c r="K100" i="9"/>
  <c r="K99" i="9"/>
  <c r="K98" i="9"/>
  <c r="I97" i="11"/>
  <c r="K97" i="11"/>
  <c r="K97" i="9"/>
  <c r="I96" i="11"/>
  <c r="K96" i="11"/>
  <c r="K96" i="9"/>
  <c r="K92" i="9"/>
  <c r="K91" i="9"/>
  <c r="BL2" i="51"/>
  <c r="K90" i="9"/>
  <c r="BJ2" i="51"/>
  <c r="K86" i="9"/>
  <c r="K85" i="9"/>
  <c r="K84" i="9"/>
  <c r="K83" i="9"/>
  <c r="K82" i="9"/>
  <c r="K81" i="9"/>
  <c r="K80" i="9"/>
  <c r="K75" i="9"/>
  <c r="K74" i="9"/>
  <c r="K73" i="9"/>
  <c r="I72" i="11"/>
  <c r="K72" i="11"/>
  <c r="K72" i="9"/>
  <c r="I71" i="11"/>
  <c r="K71" i="11"/>
  <c r="K71" i="9"/>
  <c r="K67" i="9"/>
  <c r="K66" i="9"/>
  <c r="I65" i="11"/>
  <c r="K62" i="9"/>
  <c r="I61" i="11"/>
  <c r="K61" i="9"/>
  <c r="K60" i="9"/>
  <c r="K57" i="9"/>
  <c r="K55" i="9"/>
  <c r="K53" i="9"/>
  <c r="K51" i="9"/>
  <c r="I50" i="11"/>
  <c r="K50" i="11"/>
  <c r="K50" i="9"/>
  <c r="K46" i="9"/>
  <c r="K45" i="9"/>
  <c r="K44" i="9"/>
  <c r="I43" i="11"/>
  <c r="K43" i="11"/>
  <c r="K42" i="9"/>
  <c r="K41" i="9"/>
  <c r="K40" i="9"/>
  <c r="I39" i="11"/>
  <c r="K39" i="9"/>
  <c r="K38" i="9"/>
  <c r="K37" i="9"/>
  <c r="K36" i="9"/>
  <c r="I35" i="11"/>
  <c r="K35" i="11"/>
  <c r="K35" i="9"/>
  <c r="K34" i="9"/>
  <c r="K33" i="9"/>
  <c r="K31" i="9"/>
  <c r="S22" i="9"/>
  <c r="P121" i="9"/>
  <c r="N52" i="9"/>
  <c r="G29" i="13"/>
  <c r="H29" i="13"/>
  <c r="H37" i="13"/>
  <c r="E61" i="11"/>
  <c r="K61" i="11"/>
  <c r="U99" i="20"/>
  <c r="T38" i="20"/>
  <c r="R70" i="20"/>
  <c r="Q93" i="20"/>
  <c r="J23" i="20"/>
  <c r="H58" i="13"/>
  <c r="G101" i="9"/>
  <c r="F28" i="12"/>
  <c r="F30" i="12"/>
  <c r="S28" i="9"/>
  <c r="S68" i="9"/>
  <c r="I41" i="11"/>
  <c r="K41" i="11"/>
  <c r="I85" i="11"/>
  <c r="E85" i="11"/>
  <c r="I33" i="11"/>
  <c r="K33" i="11"/>
  <c r="I56" i="11"/>
  <c r="K56" i="11"/>
  <c r="I59" i="10"/>
  <c r="I70" i="11"/>
  <c r="K70" i="11"/>
  <c r="I99" i="11"/>
  <c r="K99" i="11"/>
  <c r="I110" i="11"/>
  <c r="I22" i="10"/>
  <c r="I30" i="11"/>
  <c r="K30" i="11"/>
  <c r="I26" i="10"/>
  <c r="I34" i="11"/>
  <c r="K34" i="11"/>
  <c r="I30" i="10"/>
  <c r="I38" i="11"/>
  <c r="K38" i="11"/>
  <c r="I40" i="10"/>
  <c r="I49" i="11"/>
  <c r="I70" i="10"/>
  <c r="I82" i="11"/>
  <c r="I76" i="10"/>
  <c r="I89" i="11"/>
  <c r="I90" i="10"/>
  <c r="I104" i="11"/>
  <c r="S118" i="9"/>
  <c r="I37" i="11"/>
  <c r="K37" i="11"/>
  <c r="I43" i="10"/>
  <c r="I52" i="11"/>
  <c r="K52" i="11"/>
  <c r="I60" i="11"/>
  <c r="K60" i="11"/>
  <c r="I81" i="11"/>
  <c r="I95" i="11"/>
  <c r="K95" i="11"/>
  <c r="I103" i="11"/>
  <c r="I45" i="10"/>
  <c r="I54" i="11"/>
  <c r="K54" i="11"/>
  <c r="I67" i="10"/>
  <c r="I79" i="11"/>
  <c r="I71" i="10"/>
  <c r="I83" i="11"/>
  <c r="I77" i="10"/>
  <c r="I90" i="11"/>
  <c r="I91" i="10"/>
  <c r="I105" i="11"/>
  <c r="I45" i="11"/>
  <c r="I74" i="11"/>
  <c r="I114" i="11"/>
  <c r="I24" i="10"/>
  <c r="I32" i="11"/>
  <c r="K32" i="11"/>
  <c r="I28" i="10"/>
  <c r="I36" i="11"/>
  <c r="K36" i="11"/>
  <c r="I32" i="10"/>
  <c r="I40" i="11"/>
  <c r="K40" i="11"/>
  <c r="I44" i="11"/>
  <c r="K44" i="11"/>
  <c r="I55" i="11"/>
  <c r="K55" i="11"/>
  <c r="I50" i="10"/>
  <c r="I59" i="11"/>
  <c r="K59" i="11"/>
  <c r="I66" i="11"/>
  <c r="I67" i="11"/>
  <c r="I73" i="11"/>
  <c r="K73" i="11"/>
  <c r="I68" i="10"/>
  <c r="I80" i="11"/>
  <c r="I72" i="10"/>
  <c r="I84" i="11"/>
  <c r="I78" i="10"/>
  <c r="I91" i="11"/>
  <c r="E91" i="11"/>
  <c r="I98" i="11"/>
  <c r="K98" i="11"/>
  <c r="I88" i="10"/>
  <c r="I102" i="11"/>
  <c r="I109" i="11"/>
  <c r="I113" i="11"/>
  <c r="S47" i="9"/>
  <c r="S63" i="9"/>
  <c r="S76" i="9"/>
  <c r="S87" i="9"/>
  <c r="S93" i="9"/>
  <c r="S107" i="9"/>
  <c r="I97" i="10"/>
  <c r="I29" i="10"/>
  <c r="I25" i="10"/>
  <c r="I37" i="10"/>
  <c r="I94" i="10"/>
  <c r="I62" i="10"/>
  <c r="T121" i="9"/>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7" i="10"/>
  <c r="I31" i="10"/>
  <c r="I35" i="10"/>
  <c r="I36" i="10"/>
  <c r="K118" i="9"/>
  <c r="BN2" i="51"/>
  <c r="K93" i="9"/>
  <c r="K76" i="9"/>
  <c r="K68" i="9"/>
  <c r="K107" i="9"/>
  <c r="E25" i="7"/>
  <c r="F24" i="7"/>
  <c r="F23" i="7"/>
  <c r="F22" i="7"/>
  <c r="F21" i="7"/>
  <c r="F20" i="7"/>
  <c r="F12" i="7"/>
  <c r="F11" i="7"/>
  <c r="F10" i="7"/>
  <c r="F9" i="7"/>
  <c r="J34" i="4"/>
  <c r="I34" i="4"/>
  <c r="H34" i="4"/>
  <c r="G34" i="4"/>
  <c r="F34" i="4"/>
  <c r="E34" i="4"/>
  <c r="G31" i="16"/>
  <c r="K32" i="4"/>
  <c r="O32" i="4"/>
  <c r="K31" i="4"/>
  <c r="O31" i="4"/>
  <c r="K30" i="4"/>
  <c r="O30" i="4"/>
  <c r="K29" i="4"/>
  <c r="O29" i="4"/>
  <c r="K27" i="4"/>
  <c r="K26" i="4"/>
  <c r="O26" i="4"/>
  <c r="K25" i="4"/>
  <c r="O25" i="4"/>
  <c r="K24" i="4"/>
  <c r="O24" i="4"/>
  <c r="K23" i="4"/>
  <c r="O23" i="4"/>
  <c r="K22" i="4"/>
  <c r="O22" i="4"/>
  <c r="K21" i="4"/>
  <c r="O21" i="4"/>
  <c r="K20" i="4"/>
  <c r="O20" i="4"/>
  <c r="L20" i="3"/>
  <c r="L19" i="3"/>
  <c r="L18" i="3"/>
  <c r="L17" i="3"/>
  <c r="L16" i="3"/>
  <c r="L15" i="3"/>
  <c r="L14" i="3"/>
  <c r="L13" i="3"/>
  <c r="L12" i="3"/>
  <c r="L11" i="3"/>
  <c r="L10" i="3"/>
  <c r="L9" i="3"/>
  <c r="L8" i="3"/>
  <c r="I230" i="77"/>
  <c r="K22" i="3"/>
  <c r="J22" i="3"/>
  <c r="I22" i="3"/>
  <c r="S121" i="9"/>
  <c r="E43" i="49"/>
  <c r="E46" i="49"/>
  <c r="F48" i="49"/>
  <c r="CB2" i="51"/>
  <c r="E45" i="11"/>
  <c r="K45" i="11"/>
  <c r="N63" i="9"/>
  <c r="N121" i="9"/>
  <c r="O52" i="9"/>
  <c r="K52" i="9"/>
  <c r="K106" i="11"/>
  <c r="V99" i="20"/>
  <c r="V38" i="20"/>
  <c r="U38" i="20"/>
  <c r="K75" i="11"/>
  <c r="R93" i="20"/>
  <c r="S70" i="20"/>
  <c r="O27" i="4"/>
  <c r="O34" i="4"/>
  <c r="AJ2" i="51"/>
  <c r="I58" i="13"/>
  <c r="I60" i="13"/>
  <c r="J118" i="9"/>
  <c r="BM2" i="51"/>
  <c r="J68" i="9"/>
  <c r="K23" i="20"/>
  <c r="F25" i="7"/>
  <c r="L22" i="3"/>
  <c r="K34" i="4"/>
  <c r="AI2" i="51"/>
  <c r="I75" i="11"/>
  <c r="I92" i="11"/>
  <c r="S120" i="9"/>
  <c r="H26" i="15"/>
  <c r="H34" i="15"/>
  <c r="I106" i="11"/>
  <c r="J76" i="9"/>
  <c r="G100" i="9"/>
  <c r="I116" i="11"/>
  <c r="J107" i="9"/>
  <c r="J93" i="9"/>
  <c r="J47" i="9"/>
  <c r="BC2" i="51"/>
  <c r="G55" i="1"/>
  <c r="H55" i="1"/>
  <c r="K22" i="9"/>
  <c r="K24" i="9"/>
  <c r="I23" i="11"/>
  <c r="K23" i="9"/>
  <c r="K26" i="9"/>
  <c r="I25" i="11"/>
  <c r="K27" i="9"/>
  <c r="I26" i="11"/>
  <c r="E26" i="11"/>
  <c r="AX2" i="51"/>
  <c r="M25" i="9"/>
  <c r="G91" i="20"/>
  <c r="G90" i="20"/>
  <c r="I51" i="11"/>
  <c r="K51" i="11"/>
  <c r="I42" i="10"/>
  <c r="T70" i="20"/>
  <c r="S93" i="20"/>
  <c r="F57" i="1"/>
  <c r="G76" i="20"/>
  <c r="G88" i="20"/>
  <c r="G83" i="20"/>
  <c r="G79" i="20"/>
  <c r="G74" i="20"/>
  <c r="G99" i="20"/>
  <c r="G80" i="20"/>
  <c r="G95" i="20"/>
  <c r="G87" i="20"/>
  <c r="G82" i="20"/>
  <c r="G78" i="20"/>
  <c r="G73" i="20"/>
  <c r="G89" i="20"/>
  <c r="G75" i="20"/>
  <c r="G86" i="20"/>
  <c r="G92" i="20"/>
  <c r="G85" i="20"/>
  <c r="G81" i="20"/>
  <c r="G77" i="20"/>
  <c r="G72" i="20"/>
  <c r="G84" i="20"/>
  <c r="G71" i="20"/>
  <c r="G70" i="20"/>
  <c r="G93" i="20"/>
  <c r="L23" i="20"/>
  <c r="I21" i="11"/>
  <c r="I15" i="10"/>
  <c r="I22" i="11"/>
  <c r="I19" i="10"/>
  <c r="I18" i="10"/>
  <c r="I16" i="10"/>
  <c r="I14" i="10"/>
  <c r="CR2" i="51"/>
  <c r="I97" i="20"/>
  <c r="I102" i="20"/>
  <c r="M28" i="9"/>
  <c r="K25" i="9"/>
  <c r="U70" i="20"/>
  <c r="T93" i="20"/>
  <c r="M23" i="20"/>
  <c r="J28" i="9"/>
  <c r="CQ2" i="51"/>
  <c r="H97" i="20"/>
  <c r="H102" i="20"/>
  <c r="G96" i="20"/>
  <c r="I17" i="10"/>
  <c r="I24" i="11"/>
  <c r="I27" i="11"/>
  <c r="K28" i="9"/>
  <c r="H39" i="15"/>
  <c r="V70" i="20"/>
  <c r="V93" i="20"/>
  <c r="U93" i="20"/>
  <c r="N23" i="20"/>
  <c r="H49" i="15"/>
  <c r="T39" i="15"/>
  <c r="O23" i="20"/>
  <c r="L97" i="20"/>
  <c r="L102" i="20"/>
  <c r="P23" i="20"/>
  <c r="Q23" i="20"/>
  <c r="R23" i="20"/>
  <c r="S23" i="20"/>
  <c r="T23" i="20"/>
  <c r="U23" i="20"/>
  <c r="V23" i="20"/>
  <c r="G45" i="16"/>
  <c r="G48" i="16"/>
  <c r="U2" i="51"/>
  <c r="L36" i="16"/>
  <c r="L42" i="16"/>
  <c r="L47" i="16"/>
  <c r="Q2" i="51"/>
  <c r="L43" i="16"/>
  <c r="L40" i="16"/>
  <c r="J45" i="16"/>
  <c r="J48" i="16"/>
  <c r="X2" i="51"/>
  <c r="D45" i="16"/>
  <c r="D48" i="16"/>
  <c r="Z2" i="51"/>
  <c r="L37" i="16"/>
  <c r="L39" i="16"/>
  <c r="N2" i="51"/>
  <c r="L46" i="16"/>
  <c r="R2" i="51"/>
  <c r="L44" i="16"/>
  <c r="L41" i="16"/>
  <c r="O2" i="51"/>
  <c r="L38" i="16"/>
  <c r="F45" i="16"/>
  <c r="F48" i="16"/>
  <c r="T2" i="51"/>
  <c r="L35" i="16"/>
  <c r="I45" i="16"/>
  <c r="I48" i="16"/>
  <c r="W2" i="51"/>
  <c r="H45" i="16"/>
  <c r="K45" i="16"/>
  <c r="K48" i="16"/>
  <c r="Y2" i="51"/>
  <c r="M2" i="51"/>
  <c r="P2" i="51"/>
  <c r="G47" i="12"/>
  <c r="G49" i="12"/>
  <c r="L2" i="51"/>
  <c r="L45" i="16"/>
  <c r="H48" i="16"/>
  <c r="V2" i="51"/>
  <c r="K2" i="51"/>
  <c r="L48" i="16"/>
  <c r="G97" i="20"/>
  <c r="L87" i="9"/>
  <c r="L63" i="9"/>
  <c r="BG2" i="51"/>
  <c r="BH2" i="51"/>
  <c r="M79" i="9"/>
  <c r="E33" i="49"/>
  <c r="CC2" i="51"/>
  <c r="BU2" i="51"/>
  <c r="F35" i="49"/>
  <c r="J79" i="9"/>
  <c r="K79" i="9"/>
  <c r="M87" i="9"/>
  <c r="G36" i="12"/>
  <c r="J87" i="9"/>
  <c r="K87" i="9"/>
  <c r="I66" i="10"/>
  <c r="I78" i="11"/>
  <c r="I86" i="11"/>
  <c r="M59" i="9"/>
  <c r="O59" i="9"/>
  <c r="BF2" i="51"/>
  <c r="K59" i="9"/>
  <c r="I49" i="10"/>
  <c r="I58" i="11"/>
  <c r="K58" i="11"/>
  <c r="T21" i="15"/>
  <c r="T23" i="15"/>
  <c r="H23" i="15"/>
  <c r="I23" i="15"/>
  <c r="I36" i="15"/>
  <c r="I51" i="15"/>
  <c r="J23" i="15"/>
  <c r="K23" i="15"/>
  <c r="K36" i="15"/>
  <c r="K51" i="15"/>
  <c r="L23" i="15"/>
  <c r="M23" i="15"/>
  <c r="M36" i="15"/>
  <c r="M51" i="15"/>
  <c r="N23" i="15"/>
  <c r="H36" i="15"/>
  <c r="H51" i="15"/>
  <c r="J36" i="15"/>
  <c r="J51" i="15"/>
  <c r="L36" i="15"/>
  <c r="L51" i="15"/>
  <c r="N36" i="15"/>
  <c r="N51" i="15"/>
  <c r="N97" i="20"/>
  <c r="N102" i="20"/>
  <c r="S97" i="20"/>
  <c r="S102" i="20"/>
  <c r="U97" i="20"/>
  <c r="U102" i="20"/>
  <c r="P97" i="20"/>
  <c r="P102" i="20"/>
  <c r="R97" i="20"/>
  <c r="R102" i="20"/>
  <c r="Q97" i="20"/>
  <c r="Q102" i="20"/>
  <c r="O97" i="20"/>
  <c r="O102" i="20"/>
  <c r="T97" i="20"/>
  <c r="T102" i="20"/>
  <c r="V97" i="20"/>
  <c r="V102" i="20"/>
  <c r="M97" i="20"/>
  <c r="M102" i="20"/>
  <c r="K97" i="20"/>
  <c r="K102" i="20"/>
  <c r="J97" i="20"/>
  <c r="J102" i="20"/>
  <c r="K231" i="77"/>
  <c r="K232" i="77"/>
  <c r="I22" i="9"/>
  <c r="I23" i="9"/>
  <c r="I24" i="9"/>
  <c r="I25" i="9"/>
  <c r="I26" i="9"/>
  <c r="I27" i="9"/>
  <c r="I28" i="9"/>
  <c r="I31" i="9"/>
  <c r="I32" i="9"/>
  <c r="K32" i="9"/>
  <c r="L32" i="9"/>
  <c r="M32" i="9"/>
  <c r="O32" i="9"/>
  <c r="I33" i="9"/>
  <c r="I34" i="9"/>
  <c r="I35" i="9"/>
  <c r="I36" i="9"/>
  <c r="I37" i="9"/>
  <c r="I38" i="9"/>
  <c r="I39" i="9"/>
  <c r="I40" i="9"/>
  <c r="I41" i="9"/>
  <c r="I42" i="9"/>
  <c r="I43" i="9"/>
  <c r="K43" i="9"/>
  <c r="L43" i="9"/>
  <c r="M43" i="9"/>
  <c r="O43" i="9"/>
  <c r="I44" i="9"/>
  <c r="I45" i="9"/>
  <c r="I46" i="9"/>
  <c r="I47" i="9"/>
  <c r="K47" i="9"/>
  <c r="L47" i="9"/>
  <c r="M47" i="9"/>
  <c r="O47" i="9"/>
  <c r="I50" i="9"/>
  <c r="I51" i="9"/>
  <c r="I52" i="9"/>
  <c r="I53" i="9"/>
  <c r="I54" i="9"/>
  <c r="I55" i="9"/>
  <c r="I56" i="9"/>
  <c r="I57" i="9"/>
  <c r="I58" i="9"/>
  <c r="J58" i="9"/>
  <c r="K58" i="9"/>
  <c r="M58" i="9"/>
  <c r="O58" i="9"/>
  <c r="I59" i="9"/>
  <c r="I60" i="9"/>
  <c r="I61" i="9"/>
  <c r="I62" i="9"/>
  <c r="I63" i="9"/>
  <c r="J63" i="9"/>
  <c r="K63" i="9"/>
  <c r="M63" i="9"/>
  <c r="O63" i="9"/>
  <c r="I66" i="9"/>
  <c r="I67" i="9"/>
  <c r="I68" i="9"/>
  <c r="I71" i="9"/>
  <c r="I72" i="9"/>
  <c r="I73" i="9"/>
  <c r="I74" i="9"/>
  <c r="I75" i="9"/>
  <c r="I76" i="9"/>
  <c r="I79" i="9"/>
  <c r="I80" i="9"/>
  <c r="I81" i="9"/>
  <c r="I82" i="9"/>
  <c r="I83" i="9"/>
  <c r="I84" i="9"/>
  <c r="I85" i="9"/>
  <c r="I86" i="9"/>
  <c r="I87" i="9"/>
  <c r="I90" i="9"/>
  <c r="I91" i="9"/>
  <c r="I92" i="9"/>
  <c r="I93" i="9"/>
  <c r="I96" i="9"/>
  <c r="I97" i="9"/>
  <c r="I98" i="9"/>
  <c r="I99" i="9"/>
  <c r="I100" i="9"/>
  <c r="I101" i="9"/>
  <c r="I102" i="9"/>
  <c r="I103" i="9"/>
  <c r="I104" i="9"/>
  <c r="I105" i="9"/>
  <c r="I106" i="9"/>
  <c r="I107" i="9"/>
  <c r="I111" i="9"/>
  <c r="I112" i="9"/>
  <c r="I113" i="9"/>
  <c r="I114" i="9"/>
  <c r="I115" i="9"/>
  <c r="I116" i="9"/>
  <c r="I117" i="9"/>
  <c r="I118" i="9"/>
  <c r="J120" i="9"/>
  <c r="K120" i="9"/>
  <c r="J121" i="9"/>
  <c r="K121" i="9"/>
  <c r="L121" i="9"/>
  <c r="M121" i="9"/>
  <c r="O121" i="9"/>
  <c r="J122" i="9"/>
  <c r="I23" i="10"/>
  <c r="I34" i="10"/>
  <c r="I48" i="10"/>
  <c r="I31" i="11"/>
  <c r="K31" i="11"/>
  <c r="I42" i="11"/>
  <c r="K42" i="11"/>
  <c r="I46" i="11"/>
  <c r="K46" i="11"/>
  <c r="I57" i="11"/>
  <c r="K57" i="11"/>
  <c r="I62" i="11"/>
  <c r="K62" i="11"/>
  <c r="I118" i="11"/>
  <c r="K118" i="11"/>
  <c r="G16" i="12"/>
  <c r="G21" i="12"/>
  <c r="G23" i="12"/>
  <c r="G26" i="12"/>
  <c r="G28" i="12"/>
  <c r="G30" i="12"/>
  <c r="G32" i="12"/>
  <c r="G35" i="12"/>
  <c r="G37" i="12"/>
  <c r="G39" i="12"/>
  <c r="G42" i="12"/>
  <c r="G51" i="12"/>
  <c r="G53" i="12"/>
  <c r="F37" i="49"/>
  <c r="F39" i="49"/>
  <c r="F50" i="49"/>
  <c r="O26" i="15"/>
  <c r="T26" i="15"/>
  <c r="O34" i="15"/>
  <c r="T34" i="15"/>
  <c r="O36" i="15"/>
  <c r="T36" i="15"/>
  <c r="O43" i="15"/>
  <c r="T43" i="15"/>
  <c r="O49" i="15"/>
  <c r="T49" i="15"/>
  <c r="O51" i="15"/>
  <c r="T51" i="15"/>
  <c r="H28" i="20"/>
  <c r="I28" i="20"/>
  <c r="J28" i="20"/>
  <c r="K28" i="20"/>
  <c r="L28" i="20"/>
  <c r="M28" i="20"/>
  <c r="N28" i="20"/>
  <c r="O28" i="20"/>
  <c r="P28" i="20"/>
  <c r="Q28" i="20"/>
  <c r="R28" i="20"/>
  <c r="S28" i="20"/>
  <c r="T28" i="20"/>
  <c r="U28" i="20"/>
  <c r="V28" i="20"/>
  <c r="H30" i="20"/>
  <c r="I30" i="20"/>
  <c r="J30" i="20"/>
  <c r="K30" i="20"/>
  <c r="L30" i="20"/>
  <c r="M30" i="20"/>
  <c r="N30" i="20"/>
  <c r="O30" i="20"/>
  <c r="P30" i="20"/>
  <c r="Q30" i="20"/>
  <c r="R30" i="20"/>
  <c r="S30" i="20"/>
  <c r="T30" i="20"/>
  <c r="U30" i="20"/>
  <c r="V30" i="20"/>
  <c r="H32" i="20"/>
  <c r="I32" i="20"/>
  <c r="J32" i="20"/>
  <c r="K32" i="20"/>
  <c r="L32" i="20"/>
  <c r="M32" i="20"/>
  <c r="N32" i="20"/>
  <c r="O32" i="20"/>
  <c r="P32" i="20"/>
  <c r="Q32" i="20"/>
  <c r="R32" i="20"/>
  <c r="S32" i="20"/>
  <c r="T32" i="20"/>
  <c r="U32" i="20"/>
  <c r="V32" i="20"/>
  <c r="H34" i="20"/>
  <c r="I34" i="20"/>
  <c r="J34" i="20"/>
  <c r="K34" i="20"/>
  <c r="L34" i="20"/>
  <c r="M34" i="20"/>
  <c r="N34" i="20"/>
  <c r="O34" i="20"/>
  <c r="P34" i="20"/>
  <c r="Q34" i="20"/>
  <c r="R34" i="20"/>
  <c r="S34" i="20"/>
  <c r="T34" i="20"/>
  <c r="U34" i="20"/>
  <c r="V34" i="20"/>
  <c r="H36" i="20"/>
  <c r="I36" i="20"/>
  <c r="J36" i="20"/>
  <c r="K36" i="20"/>
  <c r="L36" i="20"/>
  <c r="M36" i="20"/>
  <c r="N36" i="20"/>
  <c r="O36" i="20"/>
  <c r="P36" i="20"/>
  <c r="Q36" i="20"/>
  <c r="R36" i="20"/>
  <c r="S36" i="20"/>
  <c r="T36" i="20"/>
  <c r="U36" i="20"/>
  <c r="V36" i="20"/>
  <c r="H41" i="20"/>
  <c r="I41" i="20"/>
  <c r="J41" i="20"/>
  <c r="K41" i="20"/>
  <c r="L41" i="20"/>
  <c r="M41" i="20"/>
  <c r="N41" i="20"/>
  <c r="O41" i="20"/>
  <c r="P41" i="20"/>
  <c r="Q41" i="20"/>
  <c r="R41" i="20"/>
  <c r="S41" i="20"/>
  <c r="T41" i="20"/>
  <c r="U41" i="20"/>
  <c r="V41" i="20"/>
  <c r="H49" i="20"/>
  <c r="I49" i="20"/>
  <c r="J49" i="20"/>
  <c r="K49" i="20"/>
  <c r="L49" i="20"/>
  <c r="M49" i="20"/>
  <c r="N49" i="20"/>
  <c r="O49" i="20"/>
  <c r="P49" i="20"/>
  <c r="Q49" i="20"/>
  <c r="R49" i="20"/>
  <c r="S49" i="20"/>
  <c r="T49" i="20"/>
  <c r="U49" i="20"/>
  <c r="V49" i="20"/>
  <c r="H50" i="20"/>
  <c r="I50" i="20"/>
  <c r="J50" i="20"/>
  <c r="K50" i="20"/>
  <c r="L50" i="20"/>
  <c r="M50" i="20"/>
  <c r="N50" i="20"/>
  <c r="O50" i="20"/>
  <c r="P50" i="20"/>
  <c r="Q50" i="20"/>
  <c r="R50" i="20"/>
  <c r="S50" i="20"/>
  <c r="T50" i="20"/>
  <c r="U50" i="20"/>
  <c r="V50" i="20"/>
  <c r="H59" i="20"/>
  <c r="I59" i="20"/>
  <c r="J59" i="20"/>
  <c r="K59" i="20"/>
  <c r="L59" i="20"/>
  <c r="M59" i="20"/>
  <c r="N59" i="20"/>
  <c r="O59" i="20"/>
  <c r="P59" i="20"/>
  <c r="Q59" i="20"/>
  <c r="R59" i="20"/>
  <c r="S59" i="20"/>
  <c r="T59" i="20"/>
  <c r="U59" i="20"/>
  <c r="V59" i="20"/>
  <c r="H60" i="20"/>
  <c r="I60" i="20"/>
  <c r="J60" i="20"/>
  <c r="K60" i="20"/>
  <c r="L60" i="20"/>
  <c r="M60" i="20"/>
  <c r="N60" i="20"/>
  <c r="O60" i="20"/>
  <c r="P60" i="20"/>
  <c r="Q60" i="20"/>
  <c r="R60" i="20"/>
  <c r="S60" i="20"/>
  <c r="T60" i="20"/>
  <c r="U60" i="20"/>
  <c r="V60" i="20"/>
  <c r="H104" i="20"/>
  <c r="I104" i="20"/>
  <c r="J104" i="20"/>
  <c r="K104" i="20"/>
  <c r="L104" i="20"/>
  <c r="M104" i="20"/>
  <c r="N104" i="20"/>
  <c r="O104" i="20"/>
  <c r="P104" i="20"/>
  <c r="Q104" i="20"/>
  <c r="R104" i="20"/>
  <c r="S104" i="20"/>
  <c r="T104" i="20"/>
  <c r="U104" i="20"/>
  <c r="V104" i="20"/>
  <c r="BD2" i="51"/>
  <c r="BE2" i="51"/>
  <c r="BY2" i="51"/>
  <c r="CA2" i="51"/>
  <c r="CE2" i="51"/>
  <c r="CL2" i="51"/>
  <c r="CT2" i="51"/>
  <c r="CU2" i="51"/>
  <c r="CV2" i="51"/>
  <c r="CW2" i="51"/>
  <c r="G19" i="37"/>
  <c r="G2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25" authorId="0" shapeId="0" xr:uid="{00000000-0006-0000-1400-000001000000}">
      <text>
        <r>
          <rPr>
            <b/>
            <sz val="9"/>
            <color indexed="81"/>
            <rFont val="Tahoma"/>
            <family val="2"/>
          </rPr>
          <t>Commerce</t>
        </r>
        <r>
          <rPr>
            <sz val="9"/>
            <color indexed="81"/>
            <rFont val="Tahoma"/>
            <family val="2"/>
          </rPr>
          <t xml:space="preserve">
(e.g. deferred, cash flow only)</t>
        </r>
      </text>
    </comment>
    <comment ref="P42" authorId="0" shapeId="0" xr:uid="{00000000-0006-0000-1400-00000200000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44" authorId="0" shapeId="0" xr:uid="{00000000-0006-0000-18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xr:uid="{00000000-0006-0000-18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xr:uid="{00000000-0006-0000-18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8" authorId="0" shapeId="0" xr:uid="{00000000-0006-0000-1D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xr:uid="{00000000-0006-0000-1D00-00000200000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xr:uid="{00000000-0006-0000-1D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xr:uid="{00000000-0006-0000-1D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23" authorId="0" shapeId="0" xr:uid="{00000000-0006-0000-1E00-00000100000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xr:uid="{00000000-0006-0000-1E00-00000200000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xr:uid="{00000000-0006-0000-1E00-00000300000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xr:uid="{00000000-0006-0000-1E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1F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1F00-00000200000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Harrington, Sean (COM)</author>
    <author>Whitney Goetter</author>
  </authors>
  <commentList>
    <comment ref="I26" authorId="0" shapeId="0" xr:uid="{00000000-0006-0000-20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xr:uid="{00000000-0006-0000-2000-00000200000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xr:uid="{00000000-0006-0000-2000-000003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xr:uid="{00000000-0006-0000-2000-000004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xr:uid="{00000000-0006-0000-2000-00000500000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xr:uid="{00000000-0006-0000-2000-000006000000}">
      <text>
        <r>
          <rPr>
            <b/>
            <sz val="9"/>
            <color indexed="81"/>
            <rFont val="Tahoma"/>
            <family val="2"/>
          </rPr>
          <t>Total Residential Development Cost (form 6A, cell K118) less Land, Offsite Infrastructure and Capitalized Reserves</t>
        </r>
      </text>
    </comment>
    <comment ref="M236" authorId="3" shapeId="0" xr:uid="{00000000-0006-0000-2000-000007000000}">
      <text>
        <r>
          <rPr>
            <b/>
            <sz val="9"/>
            <color indexed="81"/>
            <rFont val="Calibri"/>
            <family val="2"/>
            <scheme val="minor"/>
          </rPr>
          <t>To be completed by the Commission</t>
        </r>
      </text>
    </comment>
    <comment ref="C240" authorId="2" shapeId="0" xr:uid="{00000000-0006-0000-2000-000008000000}">
      <text>
        <r>
          <rPr>
            <b/>
            <sz val="9"/>
            <color indexed="81"/>
            <rFont val="Tahoma"/>
            <family val="2"/>
          </rPr>
          <t>Total Residential Development Cost (form 6A, cell K118) less Land, Offsite Infrastructure and Capitalized Reserves</t>
        </r>
      </text>
    </comment>
    <comment ref="C241" authorId="2" shapeId="0" xr:uid="{00000000-0006-0000-2000-000009000000}">
      <text>
        <r>
          <rPr>
            <b/>
            <sz val="9"/>
            <color indexed="81"/>
            <rFont val="Tahoma"/>
            <family val="2"/>
          </rPr>
          <t>Form 2B</t>
        </r>
      </text>
    </comment>
  </commentList>
</comments>
</file>

<file path=xl/sharedStrings.xml><?xml version="1.0" encoding="utf-8"?>
<sst xmlns="http://schemas.openxmlformats.org/spreadsheetml/2006/main" count="7540" uniqueCount="2060">
  <si>
    <t>"Population_Types"</t>
  </si>
  <si>
    <t>Select…</t>
  </si>
  <si>
    <t>General</t>
  </si>
  <si>
    <t>Individuals</t>
  </si>
  <si>
    <t>Households/Families with Children</t>
  </si>
  <si>
    <t>Developmental Disabilities</t>
  </si>
  <si>
    <t>Physical Disabilities</t>
  </si>
  <si>
    <t>Chronic Mental Illness</t>
  </si>
  <si>
    <t>Substance Abuse</t>
  </si>
  <si>
    <t>HIV/AIDS</t>
  </si>
  <si>
    <t>Multiple Special Needs (describe below)</t>
  </si>
  <si>
    <t>Domestic Violence</t>
  </si>
  <si>
    <t>Youth Under 18</t>
  </si>
  <si>
    <t>Young Adults 18-24</t>
  </si>
  <si>
    <t>Veteran</t>
  </si>
  <si>
    <t>Senior</t>
  </si>
  <si>
    <t>Frail Elderly</t>
  </si>
  <si>
    <t>Farmworkers</t>
  </si>
  <si>
    <t>Seasonal/Migrant Farmworkers</t>
  </si>
  <si>
    <t>Other Low Income (describe below)</t>
  </si>
  <si>
    <t>Other Special Needs (describe below)</t>
  </si>
  <si>
    <t>Yes_or_No</t>
  </si>
  <si>
    <t>Yes</t>
  </si>
  <si>
    <t>No</t>
  </si>
  <si>
    <t>Yes_No_Either</t>
  </si>
  <si>
    <t>Either</t>
  </si>
  <si>
    <t>Yes_No_Partial</t>
  </si>
  <si>
    <t>Partial</t>
  </si>
  <si>
    <t>Res_Type</t>
  </si>
  <si>
    <t>Shelter</t>
  </si>
  <si>
    <t>Transitional</t>
  </si>
  <si>
    <t>Permanent Supportive</t>
  </si>
  <si>
    <t>Multifamily Rental</t>
  </si>
  <si>
    <t>Units_or_Beds</t>
  </si>
  <si>
    <t>Units</t>
  </si>
  <si>
    <t>Beds</t>
  </si>
  <si>
    <t>Grant_or_Loan</t>
  </si>
  <si>
    <t>Select..</t>
  </si>
  <si>
    <t>G_or_L</t>
  </si>
  <si>
    <t>GrantType</t>
  </si>
  <si>
    <t>LoanType</t>
  </si>
  <si>
    <t>Grant</t>
  </si>
  <si>
    <t>Non-Recoverable</t>
  </si>
  <si>
    <t>Amortizing</t>
  </si>
  <si>
    <t>Loan</t>
  </si>
  <si>
    <t>Recoverable</t>
  </si>
  <si>
    <t>Lump-Sum</t>
  </si>
  <si>
    <t>Grant, Recov</t>
  </si>
  <si>
    <t>Cash Flow</t>
  </si>
  <si>
    <t>Deferred</t>
  </si>
  <si>
    <t>Debt_Type</t>
  </si>
  <si>
    <t>Forgivable</t>
  </si>
  <si>
    <t>Hard</t>
  </si>
  <si>
    <t>Soft</t>
  </si>
  <si>
    <t>Public_or_Private</t>
  </si>
  <si>
    <t>Public</t>
  </si>
  <si>
    <t>Private</t>
  </si>
  <si>
    <t>n/a</t>
  </si>
  <si>
    <t>Relo_Units</t>
  </si>
  <si>
    <t>Studio</t>
  </si>
  <si>
    <t>SRO</t>
  </si>
  <si>
    <t>1 BR</t>
  </si>
  <si>
    <t>2 BR</t>
  </si>
  <si>
    <t>3 BR</t>
  </si>
  <si>
    <t>4 BR</t>
  </si>
  <si>
    <t>5+ BR</t>
  </si>
  <si>
    <t>Other</t>
  </si>
  <si>
    <t>Units_and_Beds</t>
  </si>
  <si>
    <t>Non_LIH_Units</t>
  </si>
  <si>
    <t>CAUs / Managers</t>
  </si>
  <si>
    <t>Market Rate</t>
  </si>
  <si>
    <t>AMIs</t>
  </si>
  <si>
    <t>ResOrNonRes</t>
  </si>
  <si>
    <t>Residential</t>
  </si>
  <si>
    <t>Non-Residential</t>
  </si>
  <si>
    <t>Enable</t>
  </si>
  <si>
    <t>X</t>
  </si>
  <si>
    <t>Building_Type</t>
  </si>
  <si>
    <t>Single-Family Detached</t>
  </si>
  <si>
    <t>Townhouse/Duplex</t>
  </si>
  <si>
    <t>Walk-Up (≤3 Floors no elevator)</t>
  </si>
  <si>
    <t>Low-Rise (2-3 floors w elevator)</t>
  </si>
  <si>
    <t>Mid-Rise (4-6 floors w elevator)</t>
  </si>
  <si>
    <t>High Rise (7+ floors)</t>
  </si>
  <si>
    <t>Mobile Home Pad</t>
  </si>
  <si>
    <t>Shelter/Open-floor</t>
  </si>
  <si>
    <t>Activity_Type</t>
  </si>
  <si>
    <t>New Construction</t>
  </si>
  <si>
    <t>Rehab</t>
  </si>
  <si>
    <t>Acquisition</t>
  </si>
  <si>
    <t>Project_Status</t>
  </si>
  <si>
    <t>Predevelopment</t>
  </si>
  <si>
    <t>Under Construction</t>
  </si>
  <si>
    <t>Stalled</t>
  </si>
  <si>
    <t>Lease Up</t>
  </si>
  <si>
    <t>Project_Type</t>
  </si>
  <si>
    <t>MF</t>
  </si>
  <si>
    <t>SF</t>
  </si>
  <si>
    <t>Act_Typ</t>
  </si>
  <si>
    <t>NC</t>
  </si>
  <si>
    <t>R</t>
  </si>
  <si>
    <t>A</t>
  </si>
  <si>
    <t>OnTime_OnBudget</t>
  </si>
  <si>
    <t>Yes, Yes</t>
  </si>
  <si>
    <t>Yes, No</t>
  </si>
  <si>
    <t>No, Yes</t>
  </si>
  <si>
    <t>No, No</t>
  </si>
  <si>
    <t>Fund_Source</t>
  </si>
  <si>
    <t>NonRes_FundSource</t>
  </si>
  <si>
    <t>Bank</t>
  </si>
  <si>
    <t>City</t>
  </si>
  <si>
    <t>County</t>
  </si>
  <si>
    <t>Developer</t>
  </si>
  <si>
    <t>Federal</t>
  </si>
  <si>
    <t>GSE (Freddie/Fannie/Sally)</t>
  </si>
  <si>
    <t>Public Housing Authority</t>
  </si>
  <si>
    <t>Sponsor</t>
  </si>
  <si>
    <t>State - Housing Trust Fund</t>
  </si>
  <si>
    <t>State</t>
  </si>
  <si>
    <t>State - other</t>
  </si>
  <si>
    <t>Historic Rehab Tax Credits</t>
  </si>
  <si>
    <t xml:space="preserve">    -----------</t>
  </si>
  <si>
    <t>New Market Tax Credits</t>
  </si>
  <si>
    <t>OnSite_OffSite</t>
  </si>
  <si>
    <t>On Site</t>
  </si>
  <si>
    <t>Off Site</t>
  </si>
  <si>
    <t>Actual_or_Percent</t>
  </si>
  <si>
    <t>Actual</t>
  </si>
  <si>
    <t>Percent</t>
  </si>
  <si>
    <t>Criterion</t>
  </si>
  <si>
    <t>v2.2 Points</t>
  </si>
  <si>
    <t>Region</t>
  </si>
  <si>
    <t>Type</t>
  </si>
  <si>
    <t>Seq#</t>
  </si>
  <si>
    <t>v3.0 Points</t>
  </si>
  <si>
    <t>Point Values</t>
  </si>
  <si>
    <t>Mandatory</t>
  </si>
  <si>
    <t>Rural</t>
  </si>
  <si>
    <t>1.1A</t>
  </si>
  <si>
    <t>Urban</t>
  </si>
  <si>
    <t>M</t>
  </si>
  <si>
    <t>0 to 3</t>
  </si>
  <si>
    <t>1.1B</t>
  </si>
  <si>
    <t>0,2,4,6,8 or 10</t>
  </si>
  <si>
    <t>0,2,6,10</t>
  </si>
  <si>
    <t>up to 3</t>
  </si>
  <si>
    <t>0,1,2,3</t>
  </si>
  <si>
    <t>0 or 2</t>
  </si>
  <si>
    <t>1.3A</t>
  </si>
  <si>
    <t>1.3B</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</si>
  <si>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</si>
  <si>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</si>
  <si>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</si>
  <si>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</si>
  <si>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</si>
  <si>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</si>
  <si>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</si>
  <si>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</si>
  <si>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</si>
  <si>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</si>
  <si>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</si>
  <si>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</si>
  <si>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</si>
  <si>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</si>
  <si>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</si>
  <si>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2.10</t>
  </si>
  <si>
    <t>2.7A</t>
  </si>
  <si>
    <t>3.1</t>
  </si>
  <si>
    <t>2.7B</t>
  </si>
  <si>
    <t>0,3 or 5 -Tribal Only</t>
  </si>
  <si>
    <t>n/a,3,5</t>
  </si>
  <si>
    <t>3.2</t>
  </si>
  <si>
    <t>0,2</t>
  </si>
  <si>
    <t>3.3a</t>
  </si>
  <si>
    <t>Mandatory if providing Landscaping</t>
  </si>
  <si>
    <t>3.3b</t>
  </si>
  <si>
    <t>0,3</t>
  </si>
  <si>
    <t>3.3c</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</si>
  <si>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</si>
  <si>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</si>
  <si>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</si>
  <si>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</si>
  <si>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</si>
  <si>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</si>
  <si>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</si>
  <si>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</si>
  <si>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</si>
  <si>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</si>
  <si>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</si>
  <si>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</si>
  <si>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</si>
  <si>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</si>
  <si>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</si>
  <si>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</si>
  <si>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</si>
  <si>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</si>
  <si>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</si>
  <si>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</si>
  <si>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</si>
  <si>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</si>
  <si>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4.1A</t>
  </si>
  <si>
    <t>5.2a</t>
  </si>
  <si>
    <t>0, 5 or 10, or 5, 7, 9, 12 or 15</t>
  </si>
  <si>
    <t>4.1B</t>
  </si>
  <si>
    <t>up to 6, must also achieve 4.4</t>
  </si>
  <si>
    <t>0,1,2,3,4,5,6</t>
  </si>
  <si>
    <t>5.2b</t>
  </si>
  <si>
    <t>5.3</t>
  </si>
  <si>
    <t>0,1,2,4,6,8,10 or 12</t>
  </si>
  <si>
    <t>0,1,2,4,6,8,10,12</t>
  </si>
  <si>
    <t>5.4</t>
  </si>
  <si>
    <t>Mandatory if providing appliances</t>
  </si>
  <si>
    <t>0 or 7</t>
  </si>
  <si>
    <t>0,7</t>
  </si>
  <si>
    <t>5.5</t>
  </si>
  <si>
    <t>5.1A</t>
  </si>
  <si>
    <t>5.6</t>
  </si>
  <si>
    <t>5.1B</t>
  </si>
  <si>
    <t>5.7a</t>
  </si>
  <si>
    <t>5.2A</t>
  </si>
  <si>
    <t>5 to 25 (5 point increments)</t>
  </si>
  <si>
    <t>0,5,10,15,20,25</t>
  </si>
  <si>
    <t>5.7b</t>
  </si>
  <si>
    <t>5.2B</t>
  </si>
  <si>
    <t>5.8a</t>
  </si>
  <si>
    <t>0, 0.5 to 5</t>
  </si>
  <si>
    <t>0,1,2,3 or 4</t>
  </si>
  <si>
    <t>0,4</t>
  </si>
  <si>
    <t>5.8b</t>
  </si>
  <si>
    <t>0 or 1</t>
  </si>
  <si>
    <t>Mandatory, if providing appliances</t>
  </si>
  <si>
    <t>5.8c</t>
  </si>
  <si>
    <t>0, 1 to 10</t>
  </si>
  <si>
    <t>5.9</t>
  </si>
  <si>
    <t>5.10</t>
  </si>
  <si>
    <t>0, 2, 3 or 5</t>
  </si>
  <si>
    <t>5.7A</t>
  </si>
  <si>
    <t>5.7B</t>
  </si>
  <si>
    <t>5.8A</t>
  </si>
  <si>
    <t>5.8B</t>
  </si>
  <si>
    <t>0,1</t>
  </si>
  <si>
    <t>6.1</t>
  </si>
  <si>
    <t>5.8C</t>
  </si>
  <si>
    <t>6.2</t>
  </si>
  <si>
    <t>6.3</t>
  </si>
  <si>
    <t>6.4</t>
  </si>
  <si>
    <t>0, 0.5 to 10</t>
  </si>
  <si>
    <t>6.5</t>
  </si>
  <si>
    <t>6.6</t>
  </si>
  <si>
    <t>6.7a</t>
  </si>
  <si>
    <t>6.7b</t>
  </si>
  <si>
    <t>6.8</t>
  </si>
  <si>
    <t>0, 1, 2 or 3</t>
  </si>
  <si>
    <t>7.1</t>
  </si>
  <si>
    <t>up to 10 (0.5 increments)</t>
  </si>
  <si>
    <t>0.5,1,1.5,2,2.5,3,3.5,4,4.5,5,5.5,6,6.5,7,7.5,8,8.5,9,9.5,10</t>
  </si>
  <si>
    <t>7.2a</t>
  </si>
  <si>
    <t>Mandatory if providing floor coverings</t>
  </si>
  <si>
    <t>6.5A</t>
  </si>
  <si>
    <t>7.2b</t>
  </si>
  <si>
    <t>0 or 4</t>
  </si>
  <si>
    <t>6.5B</t>
  </si>
  <si>
    <t>0 or 2, if paving</t>
  </si>
  <si>
    <t>7.3a</t>
  </si>
  <si>
    <t>7.3b</t>
  </si>
  <si>
    <t>7.4a</t>
  </si>
  <si>
    <t>7.2A</t>
  </si>
  <si>
    <t>Mandatory, if providing flooring materials</t>
  </si>
  <si>
    <t>7.4b</t>
  </si>
  <si>
    <t>7.2B</t>
  </si>
  <si>
    <t>0 or 6</t>
  </si>
  <si>
    <t>0,6</t>
  </si>
  <si>
    <t>7.3A</t>
  </si>
  <si>
    <t>7.3B</t>
  </si>
  <si>
    <t>7.4A</t>
  </si>
  <si>
    <t>7.4B</t>
  </si>
  <si>
    <t>7.9a</t>
  </si>
  <si>
    <t>7.9b</t>
  </si>
  <si>
    <t>7.9c</t>
  </si>
  <si>
    <t>7.10</t>
  </si>
  <si>
    <t>0, 2 to 8</t>
  </si>
  <si>
    <t>7.13A</t>
  </si>
  <si>
    <t>7.13B</t>
  </si>
  <si>
    <t>0,2,3,4,5,6,7 or 8</t>
  </si>
  <si>
    <t>0,2,3,4,5,6,7,8</t>
  </si>
  <si>
    <t>8.1</t>
  </si>
  <si>
    <t>8.2</t>
  </si>
  <si>
    <t>8.3</t>
  </si>
  <si>
    <t>8.4</t>
  </si>
  <si>
    <t>8.1A</t>
  </si>
  <si>
    <t>8.5</t>
  </si>
  <si>
    <t>8.1B</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</si>
  <si>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</si>
  <si>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</si>
  <si>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</si>
  <si>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</si>
  <si>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</si>
  <si>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</si>
  <si>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</si>
  <si>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</si>
  <si>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</si>
  <si>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</si>
  <si>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</si>
  <si>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</si>
  <si>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</si>
  <si>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</si>
  <si>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</si>
  <si>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</si>
  <si>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</si>
  <si>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</si>
  <si>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</si>
  <si>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</si>
  <si>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</si>
  <si>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</si>
  <si>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</si>
  <si>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</si>
  <si>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</si>
  <si>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</si>
  <si>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</si>
  <si>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</si>
  <si>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</si>
  <si>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</si>
  <si>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</si>
  <si>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</si>
  <si>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</si>
  <si>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</si>
  <si>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</si>
  <si>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</si>
  <si>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</si>
  <si>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</si>
  <si>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</si>
  <si>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</si>
  <si>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</si>
  <si>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</si>
  <si>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</si>
  <si>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</si>
  <si>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</si>
  <si>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</si>
  <si>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</si>
  <si>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</si>
  <si>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</si>
  <si>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</si>
  <si>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</si>
  <si>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</si>
  <si>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</si>
  <si>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</si>
  <si>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</si>
  <si>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</si>
  <si>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</si>
  <si>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</si>
  <si>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</si>
  <si>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</si>
  <si>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</si>
  <si>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</si>
  <si>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</si>
  <si>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</si>
  <si>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</si>
  <si>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</si>
  <si>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</si>
  <si>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</si>
  <si>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</si>
  <si>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</si>
  <si>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</si>
  <si>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</si>
  <si>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</si>
  <si>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</si>
  <si>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</si>
  <si>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</si>
  <si>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</si>
  <si>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</si>
  <si>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</si>
  <si>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</si>
  <si>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</si>
  <si>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</si>
  <si>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</si>
  <si>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</si>
  <si>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</si>
  <si>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</si>
  <si>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</si>
  <si>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</si>
  <si>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</si>
  <si>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</si>
  <si>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</si>
  <si>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</si>
  <si>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</si>
  <si>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</si>
  <si>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</si>
  <si>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</si>
  <si>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</si>
  <si>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</si>
  <si>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</si>
  <si>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</si>
  <si>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</si>
  <si>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</si>
  <si>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</si>
  <si>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</si>
  <si>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</si>
  <si>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</si>
  <si>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</si>
  <si>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</si>
  <si>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</si>
  <si>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</si>
  <si>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</si>
  <si>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</si>
  <si>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</si>
  <si>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</si>
  <si>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</si>
  <si>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</si>
  <si>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</si>
  <si>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</si>
  <si>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</si>
  <si>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</si>
  <si>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</si>
  <si>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</si>
  <si>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</si>
  <si>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</si>
  <si>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</si>
  <si>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</si>
  <si>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</si>
  <si>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</si>
  <si>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</si>
  <si>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</si>
  <si>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</si>
  <si>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</si>
  <si>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</si>
  <si>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</si>
  <si>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</si>
  <si>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</si>
  <si>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</si>
  <si>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</si>
  <si>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</si>
  <si>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</si>
  <si>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</si>
  <si>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</si>
  <si>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</si>
  <si>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</si>
  <si>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</si>
  <si>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</si>
  <si>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</si>
  <si>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</si>
  <si>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</si>
  <si>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</si>
  <si>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</si>
  <si>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</si>
  <si>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</si>
  <si>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</si>
  <si>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</si>
  <si>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</si>
  <si>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</si>
  <si>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</si>
  <si>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</si>
  <si>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</si>
  <si>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</si>
  <si>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</si>
  <si>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</si>
  <si>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</si>
  <si>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</si>
  <si>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</si>
  <si>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</si>
  <si>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</si>
  <si>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</si>
  <si>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</si>
  <si>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</si>
  <si>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</si>
  <si>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</si>
  <si>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</si>
  <si>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</si>
  <si>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Form 5: Project Schedule; DEFAULT CHECK</t>
  </si>
  <si>
    <t>Category</t>
  </si>
  <si>
    <t>Tasks</t>
  </si>
  <si>
    <t xml:space="preserve">Site Control </t>
  </si>
  <si>
    <t>Purchase and Sale Agreement / Option</t>
  </si>
  <si>
    <t>Site Control</t>
  </si>
  <si>
    <t>Maximum Extensions</t>
  </si>
  <si>
    <t>Closing</t>
  </si>
  <si>
    <r>
      <t>Feasibility/Due Diligence</t>
    </r>
    <r>
      <rPr>
        <i/>
        <sz val="10"/>
        <rFont val="Lucida Console"/>
        <family val="3"/>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</si>
  <si>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</si>
  <si>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</si>
  <si>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</si>
  <si>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</si>
  <si>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</si>
  <si>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</si>
  <si>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</si>
  <si>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</si>
  <si>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</si>
  <si>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</si>
  <si>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</si>
  <si>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</si>
  <si>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</si>
  <si>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</si>
  <si>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</si>
  <si>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</si>
  <si>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</si>
  <si>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</si>
  <si>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</si>
  <si>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</si>
  <si>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</si>
  <si>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</si>
  <si>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</si>
  <si>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</si>
  <si>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Application for Service funding</t>
  </si>
  <si>
    <t>Construction cost estimate</t>
  </si>
  <si>
    <t>Lender selection</t>
  </si>
  <si>
    <t>Funding for services awarded</t>
  </si>
  <si>
    <t>Award date for funding source (specify):</t>
  </si>
  <si>
    <t>Capital Finance Closing</t>
  </si>
  <si>
    <t>Permanent Financing Conversion</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</si>
  <si>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</si>
  <si>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</si>
  <si>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</si>
  <si>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</si>
  <si>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</si>
  <si>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</si>
  <si>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</si>
  <si>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</si>
  <si>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</si>
  <si>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</si>
  <si>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</si>
  <si>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</si>
  <si>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</si>
  <si>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</si>
  <si>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</si>
  <si>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</si>
  <si>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</si>
  <si>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</si>
  <si>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</si>
  <si>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</si>
  <si>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</si>
  <si>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Service Funding Starts</t>
  </si>
  <si>
    <t>Validations</t>
  </si>
  <si>
    <t xml:space="preserve">Form </t>
  </si>
  <si>
    <t>Issue</t>
  </si>
  <si>
    <t>OK / Concern</t>
  </si>
  <si>
    <t>Rationale for Concern</t>
  </si>
  <si>
    <t>Populations to be served must be ID'd</t>
  </si>
  <si>
    <t>Entry Status must be ID'd for all Populations</t>
  </si>
  <si>
    <t>Residency Type must be ID'd for all Populations</t>
  </si>
  <si>
    <t>All Records must be flagged as Unit or Bed</t>
  </si>
  <si>
    <t>A unit count must be provided for all ID'd populations</t>
  </si>
  <si>
    <t>Begin Construction task cannot be deleted</t>
  </si>
  <si>
    <t>Schedule Tasks cannot be deleted</t>
  </si>
  <si>
    <t>Inadvertently deleted a blank line</t>
  </si>
  <si>
    <t>6A</t>
  </si>
  <si>
    <t>Total Sources (cell j119) must at least equal Total Uses (cell j118)</t>
  </si>
  <si>
    <t>7A</t>
  </si>
  <si>
    <t>All Sources must have a Source Type selected</t>
  </si>
  <si>
    <t>All Sources must be identified as Grant or Loan</t>
  </si>
  <si>
    <t xml:space="preserve">All Loans must have terms </t>
  </si>
  <si>
    <t>All Sources must have an Award Date listed</t>
  </si>
  <si>
    <t>Total Capital Sources (cell F48) must match Total Sources on Form 6A (cell 118)</t>
  </si>
  <si>
    <t>Capital Sources in 7A (F50) includes non-residential sources to pay the non-residential portion of the land costs.  The figure in 6A (K121) is the TDC of the housing that is the subject of the current development.</t>
  </si>
  <si>
    <t>Applicant Name</t>
  </si>
  <si>
    <t>Development Consultant</t>
  </si>
  <si>
    <t xml:space="preserve"> EDEmail </t>
  </si>
  <si>
    <t xml:space="preserve"> ProjEmail </t>
  </si>
  <si>
    <t xml:space="preserve"> DC Email </t>
  </si>
  <si>
    <t>Project Name</t>
  </si>
  <si>
    <t xml:space="preserve">City </t>
  </si>
  <si>
    <t>Leg District</t>
  </si>
  <si>
    <t>Activity Type</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</si>
  <si>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</si>
  <si>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</si>
  <si>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</si>
  <si>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</si>
  <si>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</si>
  <si>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</si>
  <si>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</si>
  <si>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</si>
  <si>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</si>
  <si>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</si>
  <si>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</si>
  <si>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</si>
  <si>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</si>
  <si>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</si>
  <si>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</si>
  <si>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</si>
  <si>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</si>
  <si>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</si>
  <si>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</si>
  <si>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</si>
  <si>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</si>
  <si>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</si>
  <si>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</si>
  <si>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</si>
  <si>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</si>
  <si>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</si>
  <si>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</si>
  <si>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</si>
  <si>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</si>
  <si>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</si>
  <si>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</si>
  <si>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</si>
  <si>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</si>
  <si>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</si>
  <si>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</si>
  <si>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</si>
  <si>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</si>
  <si>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</si>
  <si>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</si>
  <si>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</si>
  <si>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</si>
  <si>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</si>
  <si>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</si>
  <si>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</si>
  <si>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</si>
  <si>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</si>
  <si>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</si>
  <si>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City - P</t>
  </si>
  <si>
    <t>City - C</t>
  </si>
  <si>
    <t>County-P</t>
  </si>
  <si>
    <t>County-C</t>
  </si>
  <si>
    <t xml:space="preserve"> LIHTC Amt </t>
  </si>
  <si>
    <t xml:space="preserve"> CDBG </t>
  </si>
  <si>
    <t xml:space="preserve"> Total Res </t>
  </si>
  <si>
    <t xml:space="preserve"> Total NonRes </t>
  </si>
  <si>
    <t xml:space="preserve"> Proposed </t>
  </si>
  <si>
    <t xml:space="preserve"> Commit </t>
  </si>
  <si>
    <t>Leveraging Funds</t>
  </si>
  <si>
    <t xml:space="preserve"> OpSubs-P</t>
  </si>
  <si>
    <t xml:space="preserve"> OpSubs-C</t>
  </si>
  <si>
    <t>RentSubs-P</t>
  </si>
  <si>
    <t>RentSubs-C</t>
  </si>
  <si>
    <t xml:space="preserve"> SvcSubs-P</t>
  </si>
  <si>
    <t xml:space="preserve"> SvcSubs-C</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</si>
  <si>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</si>
  <si>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</si>
  <si>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</si>
  <si>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</si>
  <si>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</si>
  <si>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</si>
  <si>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</si>
  <si>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</si>
  <si>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</si>
  <si>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</si>
  <si>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</si>
  <si>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</si>
  <si>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</si>
  <si>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Form 1: Project Summary</t>
  </si>
  <si>
    <t>Project Name:</t>
  </si>
  <si>
    <t>DESC 22nd Avenue PSH</t>
  </si>
  <si>
    <t>Project Sponsor:</t>
  </si>
  <si>
    <t>Sponsor Organization:</t>
  </si>
  <si>
    <t>DESC</t>
  </si>
  <si>
    <t>Project Contact Person:</t>
  </si>
  <si>
    <t>Jessica Adams, Sr. Property Developer</t>
  </si>
  <si>
    <t>Phone:</t>
  </si>
  <si>
    <t>(206) 515-1522</t>
  </si>
  <si>
    <t>Email:</t>
  </si>
  <si>
    <t>jadams@desc.org</t>
  </si>
  <si>
    <t>Development Consultant (if applicable):</t>
  </si>
  <si>
    <t>Firm:</t>
  </si>
  <si>
    <t>Lotus Development Partners LLC</t>
  </si>
  <si>
    <t>Consultant Name:</t>
  </si>
  <si>
    <t>Michelle Morlan, Principal</t>
  </si>
  <si>
    <t>(206) 790-2706</t>
  </si>
  <si>
    <t>michelle@lotusdevpartners.com</t>
  </si>
  <si>
    <t>Will the Development Consultant serve as the primary contact for the project?</t>
  </si>
  <si>
    <t>Name of Ownership Entity:</t>
  </si>
  <si>
    <t>DESC 22nd LLLP</t>
  </si>
  <si>
    <t>Project Location</t>
  </si>
  <si>
    <t>Primary Street Address:</t>
  </si>
  <si>
    <t>1911 22nd Avenue S.</t>
  </si>
  <si>
    <t>City:</t>
  </si>
  <si>
    <t>Seattle</t>
  </si>
  <si>
    <t>County:</t>
  </si>
  <si>
    <t>King</t>
  </si>
  <si>
    <t>Zip:</t>
  </si>
  <si>
    <t>Legislative District:</t>
  </si>
  <si>
    <t>Congressional District:</t>
  </si>
  <si>
    <t>Census Tract:</t>
  </si>
  <si>
    <t>Latitude:</t>
  </si>
  <si>
    <t>Longitude:</t>
  </si>
  <si>
    <t>Tax Parcel ID#</t>
  </si>
  <si>
    <t>Project Activity (check all that apply)</t>
  </si>
  <si>
    <t>HUD/USDA Preservation</t>
  </si>
  <si>
    <t xml:space="preserve">Mixed Use </t>
  </si>
  <si>
    <t>Expiring Tax Credit Property</t>
  </si>
  <si>
    <t xml:space="preserve">Other </t>
  </si>
  <si>
    <t>Demolition/Redevelopment</t>
  </si>
  <si>
    <t>Adaptive Reuse</t>
  </si>
  <si>
    <t>Mobile Home Park Preservation</t>
  </si>
  <si>
    <t>If Mixed Use or Other, please explain:</t>
  </si>
  <si>
    <t>Total Sites in project</t>
  </si>
  <si>
    <t>Total Units in Project</t>
  </si>
  <si>
    <t>Form 2A: Building Information</t>
  </si>
  <si>
    <t>Building ID#/Name</t>
  </si>
  <si>
    <t>Building Address 
(Street)</t>
  </si>
  <si>
    <t>Building Address
(City)</t>
  </si>
  <si>
    <t>Building Type</t>
  </si>
  <si>
    <t>Building Activity</t>
  </si>
  <si>
    <t>Transitional Housing for the Homeless?</t>
  </si>
  <si>
    <t>Low-Income Units</t>
  </si>
  <si>
    <t>Market Rate Units</t>
  </si>
  <si>
    <t>Common Area Units</t>
  </si>
  <si>
    <t>TOTAL UNITS</t>
  </si>
  <si>
    <t>Year building received original Certificate of Occupancy</t>
  </si>
  <si>
    <t>Expected Placed-In-Service Date (MM/DD/YYYY)</t>
  </si>
  <si>
    <t>Seattel</t>
  </si>
  <si>
    <t>N/A</t>
  </si>
  <si>
    <t>.</t>
  </si>
  <si>
    <t>Total Units</t>
  </si>
  <si>
    <t>Form 2B: Square Footage Details</t>
  </si>
  <si>
    <t>RESIDENTIAL</t>
  </si>
  <si>
    <t>NON-RESIDENTIAL</t>
  </si>
  <si>
    <t>TOTAL</t>
  </si>
  <si>
    <t># of Floors</t>
  </si>
  <si>
    <t xml:space="preserve"> Low-Income Units</t>
  </si>
  <si>
    <t>Common Area/ Manager Units</t>
  </si>
  <si>
    <t>Common Area for Residential Services</t>
  </si>
  <si>
    <t>Other Common Area</t>
  </si>
  <si>
    <t>Structured Residential Parking</t>
  </si>
  <si>
    <t>Total Residential Gross Square Footage</t>
  </si>
  <si>
    <t># of floors</t>
  </si>
  <si>
    <t>Gross Square Footage</t>
  </si>
  <si>
    <t>Total Gross Square Footage</t>
  </si>
  <si>
    <t xml:space="preserve">Building # </t>
  </si>
  <si>
    <t>Total:</t>
  </si>
  <si>
    <t>Evergreen Sustainable Development Standard v3.0 Checklist</t>
  </si>
  <si>
    <t>Site Region:</t>
  </si>
  <si>
    <t>Site Activity:</t>
  </si>
  <si>
    <t>Design Element: Integrative Process</t>
  </si>
  <si>
    <t>Criterion #</t>
  </si>
  <si>
    <t>Criterion Title</t>
  </si>
  <si>
    <t>Requirement Type/Optional Points</t>
  </si>
  <si>
    <t>Points</t>
  </si>
  <si>
    <t>Integrative Process &amp; Green Development Plan</t>
  </si>
  <si>
    <t>x</t>
  </si>
  <si>
    <t>Integrative Process - Advanced Tools</t>
  </si>
  <si>
    <t>Universal Design</t>
  </si>
  <si>
    <t>Performance Verification</t>
  </si>
  <si>
    <t>Commissioning</t>
  </si>
  <si>
    <t>Socially Sustainable Living Patterns</t>
  </si>
  <si>
    <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</si>
  <si>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</si>
  <si>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</si>
  <si>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</si>
  <si>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</si>
  <si>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</si>
  <si>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</si>
  <si>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</si>
  <si>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</si>
  <si>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Walkable Neighborhoods-Sidewalks &amp; Pathways</t>
  </si>
  <si>
    <t>Walkable neighborhoods - Connections to Surrounding Neighborhood</t>
  </si>
  <si>
    <t>Improving Connectivity to the Community</t>
  </si>
  <si>
    <t>Greyfield, Brownfield or Adaptive Reuse Site</t>
  </si>
  <si>
    <t>Access to Fresh, Local Foods</t>
  </si>
  <si>
    <t>Section 2 SUBTOTAL</t>
  </si>
  <si>
    <t>Design Element: Site Improvements</t>
  </si>
  <si>
    <t>Environmental Remediation</t>
  </si>
  <si>
    <t>Erosion &amp; Sedimentation Control</t>
  </si>
  <si>
    <t>Landscaping</t>
  </si>
  <si>
    <t>Landscaping-Significant Trees</t>
  </si>
  <si>
    <t>Efficient Irrigation</t>
  </si>
  <si>
    <t>Surface Water Management</t>
  </si>
  <si>
    <t>Storm Drain Labels</t>
  </si>
  <si>
    <t>Section 3 SUBTOTAL</t>
  </si>
  <si>
    <t>Design Element: Water Conservation</t>
  </si>
  <si>
    <r>
      <t xml:space="preserve">Water-Conserving </t>
    </r>
    <r>
      <rPr>
        <sz val="11"/>
        <rFont val="Calibri"/>
        <family val="2"/>
        <scheme val="minor"/>
      </rPr>
      <t>Fixtures</t>
    </r>
  </si>
  <si>
    <t>Advanced Water-Conserving Fixtures</t>
  </si>
  <si>
    <t>Water Metering</t>
  </si>
  <si>
    <t>Water Reuse</t>
  </si>
  <si>
    <t>Efficient Plumbing Layout &amp; Design</t>
  </si>
  <si>
    <t>Section 4 SUBTOTAL</t>
  </si>
  <si>
    <t>Design Element: Energy Efficiency</t>
  </si>
  <si>
    <t>Building Performance Standard - New Construction</t>
  </si>
  <si>
    <t>Building Performance Standard - Rehab</t>
  </si>
  <si>
    <t>Additional Reduction in Energy Use - New Construction</t>
  </si>
  <si>
    <t>Additional Reduction in Energy Use - Rehab</t>
  </si>
  <si>
    <t>Shading for South Facing Windows</t>
  </si>
  <si>
    <t>EnergyStar Applicances</t>
  </si>
  <si>
    <t>Central Laundry</t>
  </si>
  <si>
    <t>Efficient Lighting</t>
  </si>
  <si>
    <t>Electricity Meter - New Construction</t>
  </si>
  <si>
    <t>Electricity Meter - Rehab</t>
  </si>
  <si>
    <t>Renewable Energy</t>
  </si>
  <si>
    <t>Photovoltaic/Solar Hot Water Ready</t>
  </si>
  <si>
    <t>Solar Water Heating</t>
  </si>
  <si>
    <t>Domestic Water Heating</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</si>
  <si>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</si>
  <si>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</si>
  <si>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</si>
  <si>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</si>
  <si>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</si>
  <si>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</si>
  <si>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</si>
  <si>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</si>
  <si>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</si>
  <si>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Reduced Heat-Island Effect: Roofing</t>
  </si>
  <si>
    <t>Reduced Heat-Island Effect: Paving</t>
  </si>
  <si>
    <t>Socially Sustainable Products</t>
  </si>
  <si>
    <t>Section 6 SUBTOTAL</t>
  </si>
  <si>
    <t>Design Element: Healthy Living Environment</t>
  </si>
  <si>
    <t>Composite Wood Products that Emit Low/No Formaldehyde</t>
  </si>
  <si>
    <t>Healthy Flooring Materials</t>
  </si>
  <si>
    <t>Exhaust Fans-Bathroom</t>
  </si>
  <si>
    <t>Exhaust Fans-Kitchen</t>
  </si>
  <si>
    <t>Ventilation</t>
  </si>
  <si>
    <t>Clothes Dryer Exhaust</t>
  </si>
  <si>
    <t>Combustion Equipment</t>
  </si>
  <si>
    <t>Mold Prevention: Surfaces</t>
  </si>
  <si>
    <t>Mold Prevention: Tub &amp; Shower Enclosures</t>
  </si>
  <si>
    <t>Vapor Barrier Strategies</t>
  </si>
  <si>
    <t>Radon Mitigation</t>
  </si>
  <si>
    <t>Water Drainage</t>
  </si>
  <si>
    <t>Enhanced Building Envelope Design</t>
  </si>
  <si>
    <t>Garage Isolation</t>
  </si>
  <si>
    <t>Integrated Pest Management</t>
  </si>
  <si>
    <t>Lead-Safe Work Practices</t>
  </si>
  <si>
    <t>Smoke-Free Bulding</t>
  </si>
  <si>
    <t>Section 7 SUBTOTAL</t>
  </si>
  <si>
    <t>Design Element: Operations, Maintenance &amp; Resident Management</t>
  </si>
  <si>
    <t>Building Maintenance Manual &amp; Unit Turnover Plan</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</si>
  <si>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</si>
  <si>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</si>
  <si>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</si>
  <si>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</si>
  <si>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</si>
  <si>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</si>
  <si>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</si>
  <si>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</si>
  <si>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</si>
  <si>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</si>
  <si>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</si>
  <si>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</si>
  <si>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</si>
  <si>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</si>
  <si>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</si>
  <si>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Form 3: Populations to be Served</t>
  </si>
  <si>
    <t>Population Type</t>
  </si>
  <si>
    <t>Homeless at Entry?</t>
  </si>
  <si>
    <t>Residency Type</t>
  </si>
  <si>
    <t>Unit 
or Bed</t>
  </si>
  <si>
    <t>Qty.</t>
  </si>
  <si>
    <t>Population Type Notes</t>
  </si>
  <si>
    <t xml:space="preserve">All tenants will be chronically homeless prior to moving in. Other typical characteristics of the target population are expected to match the population served in DESC’s permanent supportive housing and licensed clinical programs. Nearly all (97%) have substance use or mental health disorders. Fifty-two percent of DESC’s mental health consumers have co-occurring mental illness and substance abuse problems, 2.5 times higher than the overall population served by the King County Mental Health Chemical Abuse and Dependency Services Division's programs. The most prevalent psychiatric diagnoses are schizophrenia, schizoaffective disorder, and bi-polar disorders. Many are elderly, HIV-positive, medically frail, physically disabled, developmentally disabled, or most often, some combination of the above. </t>
  </si>
  <si>
    <t>Form 4: Relocation Budget</t>
  </si>
  <si>
    <t>Activities</t>
  </si>
  <si>
    <t>Cost per Household/Business</t>
  </si>
  <si>
    <t>Number to be Assisted</t>
  </si>
  <si>
    <t>Budget</t>
  </si>
  <si>
    <t>Notes</t>
  </si>
  <si>
    <t>Relocation rental/purchase assistance by size of unit to be replaced</t>
  </si>
  <si>
    <t>Tenant Business</t>
  </si>
  <si>
    <t>Temporary Moving Expenses</t>
  </si>
  <si>
    <t>Permanent Moving Expenses</t>
  </si>
  <si>
    <t>Replacement cost for business</t>
  </si>
  <si>
    <t>Advisory services</t>
  </si>
  <si>
    <t>Other Activities</t>
  </si>
  <si>
    <t>Total</t>
  </si>
  <si>
    <t>In the space below, provide detail on the indicated Other Activities</t>
  </si>
  <si>
    <t>One existing tenant business (Bokrosh Studios) will continue to lease from DESC until construction start and will then be assisted in relocating.</t>
  </si>
  <si>
    <t>Form 5: Project Schedule</t>
  </si>
  <si>
    <t>Date Completed or Expected Complete</t>
  </si>
  <si>
    <t>Notes / Status</t>
  </si>
  <si>
    <t>Executed PSA</t>
  </si>
  <si>
    <t>Waived financing Contingency</t>
  </si>
  <si>
    <t>Closing Date</t>
  </si>
  <si>
    <r>
      <t>Feasibility/Due Diligence</t>
    </r>
    <r>
      <rPr>
        <i/>
        <sz val="10"/>
        <rFont val="Arial"/>
        <family val="2"/>
      </rPr>
      <t xml:space="preserve"> </t>
    </r>
  </si>
  <si>
    <t>Completed</t>
  </si>
  <si>
    <t>TBD - Target 10/15/17</t>
  </si>
  <si>
    <t>Limited Haz Mat Survey</t>
  </si>
  <si>
    <t>If applicable</t>
  </si>
  <si>
    <t>Seattle Office of Housing</t>
  </si>
  <si>
    <t>King County</t>
  </si>
  <si>
    <t>State HTF</t>
  </si>
  <si>
    <t>LIHTC</t>
  </si>
  <si>
    <t>App for first portion of McKinney submitted 9/17</t>
  </si>
  <si>
    <t>Award date for funding source (Seattle OH):</t>
  </si>
  <si>
    <t>Award date for funding source (King Co.):</t>
  </si>
  <si>
    <t>Award date for funding source (HTF):</t>
  </si>
  <si>
    <t>TBD</t>
  </si>
  <si>
    <t>Award Date for funding (LIHTC)</t>
  </si>
  <si>
    <t>Form 6A: Development Budgets</t>
  </si>
  <si>
    <t>Date of Budget</t>
  </si>
  <si>
    <t>% Total Project Cost</t>
  </si>
  <si>
    <t>Total Project Cost</t>
  </si>
  <si>
    <t>Residential total</t>
  </si>
  <si>
    <t>Source:</t>
  </si>
  <si>
    <t>non-residential total</t>
  </si>
  <si>
    <t>City of Seattle</t>
  </si>
  <si>
    <t>Acquisition Costs:</t>
  </si>
  <si>
    <t>Land</t>
  </si>
  <si>
    <t>Existing Structures</t>
  </si>
  <si>
    <t>Liens</t>
  </si>
  <si>
    <t>Closing, Title &amp; Recording Costs</t>
  </si>
  <si>
    <t>Extension payment</t>
  </si>
  <si>
    <t>Other:</t>
  </si>
  <si>
    <t>SUBTOTAL</t>
  </si>
  <si>
    <t>Construction:</t>
  </si>
  <si>
    <t>Demolition</t>
  </si>
  <si>
    <t>New Building</t>
  </si>
  <si>
    <t>Rehabilitation</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</si>
  <si>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</si>
  <si>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</si>
  <si>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</si>
  <si>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</si>
  <si>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</si>
  <si>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</si>
  <si>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</si>
  <si>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</si>
  <si>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</si>
  <si>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</si>
  <si>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</si>
  <si>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</si>
  <si>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</si>
  <si>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</si>
  <si>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</si>
  <si>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</si>
  <si>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</si>
  <si>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</si>
  <si>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</si>
  <si>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</si>
  <si>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</si>
  <si>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</si>
  <si>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</si>
  <si>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</si>
  <si>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</si>
  <si>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</si>
  <si>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</si>
  <si>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</si>
  <si>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</si>
  <si>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</si>
  <si>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</si>
  <si>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</si>
  <si>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</si>
  <si>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</si>
  <si>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</si>
  <si>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</si>
  <si>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</si>
  <si>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</si>
  <si>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</si>
  <si>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</si>
  <si>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</si>
  <si>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</si>
  <si>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</si>
  <si>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</si>
  <si>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</si>
  <si>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</si>
  <si>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</si>
  <si>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</si>
  <si>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</si>
  <si>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</si>
  <si>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</si>
  <si>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</si>
  <si>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</si>
  <si>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</si>
  <si>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</si>
  <si>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</si>
  <si>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</si>
  <si>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</si>
  <si>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</si>
  <si>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</si>
  <si>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</si>
  <si>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</si>
  <si>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</si>
  <si>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</si>
  <si>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</si>
  <si>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</si>
  <si>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Form 6B: Development Budget Details</t>
  </si>
  <si>
    <t>R  E  S  I  D  E  N  T  I  A  L</t>
  </si>
  <si>
    <t>Residential Total</t>
  </si>
  <si>
    <t>Explanation 
(Be as specific as possible and include 
any deviations from the cost estimate)</t>
  </si>
  <si>
    <t>60% of total land cost (based on proportionate SF of Ground floor area)</t>
  </si>
  <si>
    <t>5% - Covering buyer commission plus title &amp; recording</t>
  </si>
  <si>
    <t>Per 3rd party cost estimate dated 9/1/2017</t>
  </si>
  <si>
    <t xml:space="preserve">New Construction Contingency   </t>
  </si>
  <si>
    <t>10% on hard costs</t>
  </si>
  <si>
    <t>Per recent estimates - $4.50/.sf on 24,000SF</t>
  </si>
  <si>
    <t>10.1% for zip code 98144</t>
  </si>
  <si>
    <t>Assumes furnishing units with bed bug resistant bed, table, chair</t>
  </si>
  <si>
    <t>Other Construction Costs</t>
  </si>
  <si>
    <t>typical fee per past projects</t>
  </si>
  <si>
    <t>Based on other recent projects</t>
  </si>
  <si>
    <t xml:space="preserve">8% fee </t>
  </si>
  <si>
    <t>Includes estimates for specialty consultants</t>
  </si>
  <si>
    <t>Per fee quote - inclues haz mat survey</t>
  </si>
  <si>
    <t>Per fee quote for Boundary, Topo, ALTA &amp; As-built ALTA</t>
  </si>
  <si>
    <t>8% of Residential TDC</t>
  </si>
  <si>
    <t>energy/envelope, blower door testing</t>
  </si>
  <si>
    <t>Per CSH quote</t>
  </si>
  <si>
    <t>Reserve per CSH approval letter</t>
  </si>
  <si>
    <t>1% on estimated loan amount</t>
  </si>
  <si>
    <t>Based on other projects - pro rata share</t>
  </si>
  <si>
    <t>Const. Int. per Construction CF Tab</t>
  </si>
  <si>
    <t>Post-const. Int. per Construction CF Tab</t>
  </si>
  <si>
    <t>1% of King Co &amp; OH Loan</t>
  </si>
  <si>
    <t>Based on other projects</t>
  </si>
  <si>
    <t>Per LIHTC Fee schedule</t>
  </si>
  <si>
    <t>1% of HTF Loan</t>
  </si>
  <si>
    <t>calculated at 6 mo. Operating expenses</t>
  </si>
  <si>
    <t>based on other recent projects</t>
  </si>
  <si>
    <t>Other Reserves</t>
  </si>
  <si>
    <t>current AV (2,577,500) x 2018 mill rate (9.24803)/1,000 AV x 2 years</t>
  </si>
  <si>
    <t>Interbay actual plus 4 yrs escalation</t>
  </si>
  <si>
    <t>Per estimate budget for reloc of 1 business</t>
  </si>
  <si>
    <t>Based on City's fee schedule</t>
  </si>
  <si>
    <t>Waiver</t>
  </si>
  <si>
    <t>Per similar DESC projects</t>
  </si>
  <si>
    <t>LIHTC donation requirements</t>
  </si>
  <si>
    <t>Per recent DESC projects</t>
  </si>
  <si>
    <t>None - assume Coordinated Entry</t>
  </si>
  <si>
    <t>Carrying Costs at Rent up/ Lease Up Reserve</t>
  </si>
  <si>
    <t>Form 6C: LIHTC Budget (Basis Calculation)</t>
  </si>
  <si>
    <t>Total Residential Project Cost</t>
  </si>
  <si>
    <t>Eligible Basis</t>
  </si>
  <si>
    <t>New Construction /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</si>
  <si>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</si>
  <si>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</si>
  <si>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</si>
  <si>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</si>
  <si>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</si>
  <si>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</si>
  <si>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</si>
  <si>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</si>
  <si>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New Construction/ Rehab</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</si>
  <si>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</si>
  <si>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</si>
  <si>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</si>
  <si>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</si>
  <si>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</si>
  <si>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</si>
  <si>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</si>
  <si>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</si>
  <si>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</si>
  <si>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</si>
  <si>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</si>
  <si>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</si>
  <si>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r>
      <t xml:space="preserve">Total Maximum Annual Credit Amount based on Qualified Basis </t>
    </r>
    <r>
      <rPr>
        <b/>
        <sz val="8"/>
        <color indexed="8"/>
        <rFont val="Calibri"/>
        <family val="2"/>
        <scheme val="minor"/>
      </rPr>
      <t>(Acquisition and Rehab/NC Credit)</t>
    </r>
  </si>
  <si>
    <t>Equity Gap Calculation</t>
  </si>
  <si>
    <r>
      <t xml:space="preserve">Total Residential Project Costs </t>
    </r>
    <r>
      <rPr>
        <i/>
        <sz val="8"/>
        <color indexed="8"/>
        <rFont val="Calibri"/>
        <family val="2"/>
        <scheme val="minor"/>
      </rPr>
      <t>(from Form 6A)</t>
    </r>
  </si>
  <si>
    <r>
      <t xml:space="preserve">Less Total Residential Sources less LIHTC Equity </t>
    </r>
    <r>
      <rPr>
        <i/>
        <sz val="8"/>
        <color indexed="8"/>
        <rFont val="Calibri"/>
        <family val="2"/>
        <scheme val="minor"/>
      </rPr>
      <t>(from Form 7)</t>
    </r>
  </si>
  <si>
    <t>Equity Gap</t>
  </si>
  <si>
    <t>Divided by Tax Credit Factor (based on projected market pricing)</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</si>
  <si>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</si>
  <si>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</si>
  <si>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</si>
  <si>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</si>
  <si>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</si>
  <si>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 2017 Maximum Annual Credit Per Low-Income Unit Limit</t>
  </si>
  <si>
    <t>Maximum Annual Credit Per Low-Income Housing Unit</t>
  </si>
  <si>
    <t>Maximum Annual Credit Requested</t>
  </si>
  <si>
    <t>Expected LIHTC Equity</t>
  </si>
  <si>
    <t>Form 6E Fee Schedule</t>
  </si>
  <si>
    <t>Fee</t>
  </si>
  <si>
    <t>Qty</t>
  </si>
  <si>
    <t>Unit Price</t>
  </si>
  <si>
    <t>Comments</t>
  </si>
  <si>
    <t>Pre-entitlement</t>
  </si>
  <si>
    <t>Department Reviews</t>
  </si>
  <si>
    <t>Entitlement</t>
  </si>
  <si>
    <t xml:space="preserve">Site Plan </t>
  </si>
  <si>
    <t>MUP estimate per recent project (N96)</t>
  </si>
  <si>
    <t>Transportation/Engrg</t>
  </si>
  <si>
    <t>SDOT SIP, est. (per recent projects)</t>
  </si>
  <si>
    <t>Geologic/Hazard</t>
  </si>
  <si>
    <t>Tree Removal</t>
  </si>
  <si>
    <t>Clear and Grade</t>
  </si>
  <si>
    <t>Site Inspections</t>
  </si>
  <si>
    <t>Building Permit</t>
  </si>
  <si>
    <t>Building</t>
  </si>
  <si>
    <t>Per recent project (N96)</t>
  </si>
  <si>
    <t>Mechanical</t>
  </si>
  <si>
    <t>Plumbing</t>
  </si>
  <si>
    <t>Fire - Technical</t>
  </si>
  <si>
    <t>Fire - Alarm</t>
  </si>
  <si>
    <t>Fire - Sprinkler</t>
  </si>
  <si>
    <t>Electrical</t>
  </si>
  <si>
    <t>Connection fees &amp; power pole feed</t>
  </si>
  <si>
    <t>Inspections</t>
  </si>
  <si>
    <t>Hook Ups</t>
  </si>
  <si>
    <t>Sewer and Side Sewer</t>
  </si>
  <si>
    <t>SPU connection fees</t>
  </si>
  <si>
    <t>Water Meter Charge</t>
  </si>
  <si>
    <t>Capital Facilities Charge</t>
  </si>
  <si>
    <t>Wastewater</t>
  </si>
  <si>
    <t>King Co. est. Capacity Charge</t>
  </si>
  <si>
    <t>Water District</t>
  </si>
  <si>
    <t>Impact Fees</t>
  </si>
  <si>
    <t>Fire</t>
  </si>
  <si>
    <t>Parks</t>
  </si>
  <si>
    <t>Schools</t>
  </si>
  <si>
    <t>Form 7A: Financing Sources</t>
  </si>
  <si>
    <t>Bridge Financing</t>
  </si>
  <si>
    <t>Bridge Source Name</t>
  </si>
  <si>
    <t>Bridge Source Type</t>
  </si>
  <si>
    <t>Proposed Amount</t>
  </si>
  <si>
    <t>Committed Amount</t>
  </si>
  <si>
    <t>Interest Rate</t>
  </si>
  <si>
    <t>Loan 
Term</t>
  </si>
  <si>
    <t>Amortization Period</t>
  </si>
  <si>
    <t>Source of Repayment</t>
  </si>
  <si>
    <t>Corp. for Supportive Housing</t>
  </si>
  <si>
    <t>24 months</t>
  </si>
  <si>
    <t>LIHTC Equity and Perm Financing</t>
  </si>
  <si>
    <t>Construction Loan TBD</t>
  </si>
  <si>
    <t xml:space="preserve">LIHTC Equity  </t>
  </si>
  <si>
    <t xml:space="preserve">Subtotals </t>
  </si>
  <si>
    <t>Total Bridge Financing</t>
  </si>
  <si>
    <t>Permanent Financing - Residential</t>
  </si>
  <si>
    <t>Residential Source Name</t>
  </si>
  <si>
    <t>Residential Source Type</t>
  </si>
  <si>
    <t>Public / Private</t>
  </si>
  <si>
    <t>Application Date</t>
  </si>
  <si>
    <t>(Projected) Award Date</t>
  </si>
  <si>
    <t>Grant/
 Loan</t>
  </si>
  <si>
    <t>Funding Type</t>
  </si>
  <si>
    <t>Debt Type</t>
  </si>
  <si>
    <t>Loan Term</t>
  </si>
  <si>
    <t>Repayment Structure</t>
  </si>
  <si>
    <t>Seattle OH</t>
  </si>
  <si>
    <t>deferred</t>
  </si>
  <si>
    <t>Dept. of Commerce</t>
  </si>
  <si>
    <t>Subtotal</t>
  </si>
  <si>
    <t>Residential Sources (excluding LIHTC Equity)</t>
  </si>
  <si>
    <t>Expected LIHTC Equity (Form 6D)</t>
  </si>
  <si>
    <t>Total Residential Sources</t>
  </si>
  <si>
    <t>Permanent Financing - Non-Residential</t>
  </si>
  <si>
    <t>Non Residential Source Name</t>
  </si>
  <si>
    <t>Non Residential Source Type</t>
  </si>
  <si>
    <t xml:space="preserve"> Loan Term</t>
  </si>
  <si>
    <t>Select...</t>
  </si>
  <si>
    <t>Total Non Residential Sources</t>
  </si>
  <si>
    <t>Total Capital Sources</t>
  </si>
  <si>
    <t>Form 7B: Estimate of Cash Flow During Development</t>
  </si>
  <si>
    <t>Date:</t>
  </si>
  <si>
    <t>Sources and Amounts of Revenue</t>
  </si>
  <si>
    <t>Q4</t>
  </si>
  <si>
    <t>Q1</t>
  </si>
  <si>
    <t>Q2</t>
  </si>
  <si>
    <t>Q3</t>
  </si>
  <si>
    <t>Totals</t>
  </si>
  <si>
    <t>Rental/Other Income</t>
  </si>
  <si>
    <t xml:space="preserve">     SUBTOTAL</t>
  </si>
  <si>
    <t>Tax Credit Equity</t>
  </si>
  <si>
    <t>Total Revenue By Quarter</t>
  </si>
  <si>
    <t>Expenses</t>
  </si>
  <si>
    <t>Construction</t>
  </si>
  <si>
    <t>Soft Costs</t>
  </si>
  <si>
    <t>Pre Dev/Bridge Financing</t>
  </si>
  <si>
    <t>Bond Related Costs</t>
  </si>
  <si>
    <t>Total Cost By Quarter</t>
  </si>
  <si>
    <t>REVENUE less EXPENSES:</t>
  </si>
  <si>
    <t>Notes on Cash Flow:</t>
  </si>
  <si>
    <t>Form 8A: Proposed Rents and AMIs Served</t>
  </si>
  <si>
    <t>% of Median 
Income Served</t>
  </si>
  <si>
    <t>Unit Type</t>
  </si>
  <si>
    <t># ADA Compliant</t>
  </si>
  <si>
    <t>Avg Unit Square Footage</t>
  </si>
  <si>
    <t>Tenant - Paid Monthly Rent</t>
  </si>
  <si>
    <t>Tenant - Paid Utilities (Utility Allowance)</t>
  </si>
  <si>
    <t>Sum of Tenant - Paid Rent and Utilities</t>
  </si>
  <si>
    <t>PHA / HUD / USDA Subsidy Payment</t>
  </si>
  <si>
    <t>Gross Monthly Rent</t>
  </si>
  <si>
    <t>Annual Gross Tenant Paid Rental 
Income</t>
  </si>
  <si>
    <t>Annual Gross Rental Subsidy Income</t>
  </si>
  <si>
    <t xml:space="preserve">Annual Gross Rental Income </t>
  </si>
  <si>
    <t>Summary of Units</t>
  </si>
  <si>
    <t>AMI 
Targets</t>
  </si>
  <si>
    <t>Total
Units</t>
  </si>
  <si>
    <t>Total Low-Income Units</t>
  </si>
  <si>
    <t># of ADA Compliant Units</t>
  </si>
  <si>
    <t>Avg Sq Ft</t>
  </si>
  <si>
    <t>Form 8B: Operating, Service and Rent Subsidy Sources</t>
  </si>
  <si>
    <t>ANNUAL RENT SUBSIDY SOURCES (Do Not Include Operating or Service Funding Sources Here. Do not include PHA/HUD/USDA rental subsidy))</t>
  </si>
  <si>
    <t>Source</t>
  </si>
  <si>
    <t>Proposed 
Funding</t>
  </si>
  <si>
    <t>Committed/ 
Conditional Funding</t>
  </si>
  <si>
    <t>Total 
Funding</t>
  </si>
  <si>
    <t>Length of Commitment</t>
  </si>
  <si>
    <t>Gross Annual Rent Subsidy</t>
  </si>
  <si>
    <t>ANNUAL OPERATING SUBSIDY SOURCES (Do Not Include Service or Rent Subsidy Dollars Here)</t>
  </si>
  <si>
    <t>Operating Personnel Subsidy (ORS, O&amp;M)</t>
  </si>
  <si>
    <t>Gross Annual Operating Subsidy</t>
  </si>
  <si>
    <t>ANNUAL SERVICE FUNDING SOURCES (Do Not Include Operating or Rent Subsidy Dollars Here)</t>
  </si>
  <si>
    <t>Service Subsidy (McKinney, ORS, Medicaid)</t>
  </si>
  <si>
    <t>Gross Annual Services Funding</t>
  </si>
  <si>
    <t>Form 8C: Personnel (Service and Operating) and Non-Personnel Expenses</t>
  </si>
  <si>
    <t>Operating Personnel Expenses for First Year of Project</t>
  </si>
  <si>
    <t>Operating  Sources</t>
  </si>
  <si>
    <t>Job Title</t>
  </si>
  <si>
    <t>On Site or
Off Site?</t>
  </si>
  <si>
    <t>Name of agency that employs this person</t>
  </si>
  <si>
    <t xml:space="preserve">Full-time Annual Salary of an FTE in this position. </t>
  </si>
  <si>
    <t>% of time this person will work on this project</t>
  </si>
  <si>
    <t>Total cost for this person on this project</t>
  </si>
  <si>
    <t>Benefit Fund Type</t>
  </si>
  <si>
    <t>Benefit Percent</t>
  </si>
  <si>
    <t>Benefit Amount</t>
  </si>
  <si>
    <t>Total Project Cost for this  person</t>
  </si>
  <si>
    <t>Project Cash Flow</t>
  </si>
  <si>
    <t>Project Manager</t>
  </si>
  <si>
    <t>Project Supervisor</t>
  </si>
  <si>
    <t>Accountant</t>
  </si>
  <si>
    <t>Maintenance</t>
  </si>
  <si>
    <t>Janitorial</t>
  </si>
  <si>
    <t>Admin</t>
  </si>
  <si>
    <t>Subtotal: Onsite</t>
  </si>
  <si>
    <t>Subtotal: Off Site</t>
  </si>
  <si>
    <t>Total Operating Personnel Expenses</t>
  </si>
  <si>
    <t>Service Personnel Expenses for First Year of Project</t>
  </si>
  <si>
    <t>Service Sources</t>
  </si>
  <si>
    <t>Staff Title*</t>
  </si>
  <si>
    <t>Clinical Support Specialists - 4 FTE</t>
  </si>
  <si>
    <t>Residential Counselors - 11 FTE</t>
  </si>
  <si>
    <t>RC Supervisor - 1 FTE</t>
  </si>
  <si>
    <t>On-Call Counselors for PTO</t>
  </si>
  <si>
    <t>Total Service Personnel Expenses</t>
  </si>
  <si>
    <t>Non-Personnel Service Expenses for First Year of Project</t>
  </si>
  <si>
    <t>Client Assistance Costs</t>
  </si>
  <si>
    <t>Local Travel/Mileage</t>
  </si>
  <si>
    <t>Equipment</t>
  </si>
  <si>
    <t>Supplies</t>
  </si>
  <si>
    <t>Telecommunications/Computers</t>
  </si>
  <si>
    <t>Printing/Duplication</t>
  </si>
  <si>
    <t>Project Administrative Costs</t>
  </si>
  <si>
    <t>Total Service Non-Personnel Expenses</t>
  </si>
  <si>
    <t>Form 8D: Operating Pro Forma</t>
  </si>
  <si>
    <t>Pro Forma Date</t>
  </si>
  <si>
    <t>REVENUES</t>
  </si>
  <si>
    <t>Year 1</t>
  </si>
  <si>
    <t>Year 2</t>
  </si>
  <si>
    <t>Year 3</t>
  </si>
  <si>
    <t>Year 4</t>
  </si>
  <si>
    <t>Year 5</t>
  </si>
  <si>
    <t>Year 6</t>
  </si>
  <si>
    <t>Year 7</t>
  </si>
  <si>
    <t>Year 8</t>
  </si>
  <si>
    <t>Year 9</t>
  </si>
  <si>
    <t>Year 10</t>
  </si>
  <si>
    <t>Year 11</t>
  </si>
  <si>
    <t>Year 12</t>
  </si>
  <si>
    <t>Year 13</t>
  </si>
  <si>
    <t>Year 14</t>
  </si>
  <si>
    <t>Year 15</t>
  </si>
  <si>
    <t xml:space="preserve">Residential Income </t>
  </si>
  <si>
    <t>Escalator</t>
  </si>
  <si>
    <t>Gross Tenant Paid Rental Income</t>
  </si>
  <si>
    <t>Gross Rental PHA/HUD/USDA Subsidy</t>
  </si>
  <si>
    <t>Gross Rental Subsidy Income</t>
  </si>
  <si>
    <t>Gross Annual Operating Subsidy Sources</t>
  </si>
  <si>
    <t>Other Sources:</t>
  </si>
  <si>
    <t>Non-Personnel Operating Subsidy (McKinney, ORS, O&amp;M)</t>
  </si>
  <si>
    <t>Total Residential Income</t>
  </si>
  <si>
    <t>=</t>
  </si>
  <si>
    <t>Total Non-Residential Income</t>
  </si>
  <si>
    <t>TOTAL PROJECT INCOME</t>
  </si>
  <si>
    <t>Annual %</t>
  </si>
  <si>
    <t>Less Annual Residential Vacancy</t>
  </si>
  <si>
    <t xml:space="preserve">Less Annual Non-Residential Vacancy </t>
  </si>
  <si>
    <t>EFFECTIVE GROSS INCOME (EGI)</t>
  </si>
  <si>
    <t>Total Annual Service Funding</t>
  </si>
  <si>
    <t>EXPENSES (enter on Page 2)</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</si>
  <si>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</si>
  <si>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</si>
  <si>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</si>
  <si>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</si>
  <si>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</si>
  <si>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</si>
  <si>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</si>
  <si>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</si>
  <si>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</si>
  <si>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</si>
  <si>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</si>
  <si>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</si>
  <si>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</si>
  <si>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Total Soft Debt Service</t>
  </si>
  <si>
    <t>Overall Debt Coverage Ratio</t>
  </si>
  <si>
    <t>Overall Cash Flow</t>
  </si>
  <si>
    <t>Form 8D: Operating Pro Forma (Page 2)</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</si>
  <si>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</si>
  <si>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</si>
  <si>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</si>
  <si>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</si>
  <si>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</si>
  <si>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</si>
  <si>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</si>
  <si>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</si>
  <si>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</si>
  <si>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</si>
  <si>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</si>
  <si>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</si>
  <si>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</si>
  <si>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Pest Control</t>
  </si>
  <si>
    <t>Fire Safety</t>
  </si>
  <si>
    <t>Elevator</t>
  </si>
  <si>
    <t>Water &amp; Sewer</t>
  </si>
  <si>
    <t>Garbage Removal</t>
  </si>
  <si>
    <t>Electric</t>
  </si>
  <si>
    <t>Oil/Gas/Other</t>
  </si>
  <si>
    <t>Telephone</t>
  </si>
  <si>
    <t>Office / Admin</t>
  </si>
  <si>
    <t>Compliance/Asset Mgmt</t>
  </si>
  <si>
    <t>Indirect Overhead Admin (15%)</t>
  </si>
  <si>
    <t>Total Residential Operating Expenses</t>
  </si>
  <si>
    <t>Replacement Reserve</t>
  </si>
  <si>
    <t>Operating Reserve</t>
  </si>
  <si>
    <t>Total Reserves</t>
  </si>
  <si>
    <t xml:space="preserve">Service Expenses </t>
  </si>
  <si>
    <t>Non-Residential Expenses</t>
  </si>
  <si>
    <t>TOTAL PROJECT EXPENSES</t>
  </si>
  <si>
    <t>Additional Comments:</t>
  </si>
  <si>
    <t>Form 8E: Operating Pro Forma Details</t>
  </si>
  <si>
    <t>Vacancy Rates and Inflation Factors</t>
  </si>
  <si>
    <t>Please explain how you arrived at the vacancy and inflation factors used in the Operating Pro Forma</t>
  </si>
  <si>
    <t>DESC uses the standard 5% vacancy factor and 2.5% and 3.5% inflation on operating income and expenses, respectively.  These rates are consistent with industry standards.</t>
  </si>
  <si>
    <t xml:space="preserve">Operating Expense Estimates </t>
  </si>
  <si>
    <t>Figures are consistent with current DESC operating expense experience</t>
  </si>
  <si>
    <t>Other (identify and include cost estimate for each)</t>
  </si>
  <si>
    <t>Indirect Admin/Overhead (15%)</t>
  </si>
  <si>
    <t xml:space="preserve">Reserves- </t>
  </si>
  <si>
    <t>Assumes 350 per unit per year, consistent with investor expectations</t>
  </si>
  <si>
    <t>Approx. 6 months operating and expense reserve will be capitalized</t>
  </si>
  <si>
    <t>Form 9A: Project Team</t>
  </si>
  <si>
    <t>Project Sponsor / Developer</t>
  </si>
  <si>
    <t>Firm Name:</t>
  </si>
  <si>
    <t>Address:</t>
  </si>
  <si>
    <t>515 3rd Avenue</t>
  </si>
  <si>
    <t xml:space="preserve">State: </t>
  </si>
  <si>
    <t>WA</t>
  </si>
  <si>
    <t>Zip Code:</t>
  </si>
  <si>
    <t>Federal Tax ID #</t>
  </si>
  <si>
    <t>91-1275815 / UBI:  601-142-394</t>
  </si>
  <si>
    <t>Unified Business Identifier</t>
  </si>
  <si>
    <t>Executive Director/CEO/President</t>
  </si>
  <si>
    <t>Daniel Malone, Executive Director</t>
  </si>
  <si>
    <t>(206) 464-1570</t>
  </si>
  <si>
    <t>Fax:</t>
  </si>
  <si>
    <t>dmalone@desc.org</t>
  </si>
  <si>
    <t>Contact Person and Title:</t>
  </si>
  <si>
    <t>P.O. Box 1543</t>
  </si>
  <si>
    <t>Vashon</t>
  </si>
  <si>
    <t>Runberg Architecture</t>
  </si>
  <si>
    <t>Constanza Marcheselli, Principal</t>
  </si>
  <si>
    <t>206.518.5049</t>
  </si>
  <si>
    <t>constanzam@runberg.com</t>
  </si>
  <si>
    <t>Project Attorney</t>
  </si>
  <si>
    <t>Kantor Taylor Nelson Evatt &amp; Decina PC</t>
  </si>
  <si>
    <t>Andrea Sato, Partner</t>
  </si>
  <si>
    <t xml:space="preserve">206.812.2505  </t>
  </si>
  <si>
    <t>asato@kantortaylor.com</t>
  </si>
  <si>
    <t>Market Study Firm</t>
  </si>
  <si>
    <t>Form 9A: Project Team (Page 2)</t>
  </si>
  <si>
    <t>Property Management Firm</t>
  </si>
  <si>
    <t>Jessica Adams</t>
  </si>
  <si>
    <t>206-515-1522</t>
  </si>
  <si>
    <t>General Contractor</t>
  </si>
  <si>
    <t>Evergreen Coordinator</t>
  </si>
  <si>
    <t>Constanza Marcheselli</t>
  </si>
  <si>
    <t>Property Seller/Lessor</t>
  </si>
  <si>
    <t>Kusak Family LLC</t>
  </si>
  <si>
    <t>Jim Kusak</t>
  </si>
  <si>
    <t>3910 46th Avenue S.</t>
  </si>
  <si>
    <t>(206) 240-6805</t>
  </si>
  <si>
    <t>jim.kusak@gmail.com</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</si>
  <si>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</si>
  <si>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</si>
  <si>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</si>
  <si>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</si>
  <si>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</si>
  <si>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</si>
  <si>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</si>
  <si>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</si>
  <si>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</si>
  <si>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</si>
  <si>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</si>
  <si>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</si>
  <si>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</si>
  <si>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</si>
  <si>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</si>
  <si>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</si>
  <si>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</si>
  <si>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</si>
  <si>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</si>
  <si>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</si>
  <si>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</si>
  <si>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</si>
  <si>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</si>
  <si>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</si>
  <si>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</si>
  <si>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</si>
  <si>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</si>
  <si>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</si>
  <si>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</si>
  <si>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DESC is the project sponsor and will be the managing member of the tax credit partership and the property manager.</t>
  </si>
  <si>
    <t>Form 9C: Project Sponsor Experience</t>
  </si>
  <si>
    <t>Sponsor History</t>
  </si>
  <si>
    <t>Projects Completed</t>
  </si>
  <si>
    <t>Project Type</t>
  </si>
  <si>
    <t>Role (owner, developer, etc.)</t>
  </si>
  <si>
    <t>City and State</t>
  </si>
  <si>
    <t># Units</t>
  </si>
  <si>
    <t>Date Development Activities Began</t>
  </si>
  <si>
    <t>On Time,
On Budget?</t>
  </si>
  <si>
    <t>Placed in Service Date</t>
  </si>
  <si>
    <t>Type of Financing (HTF, HUD, etc.)</t>
  </si>
  <si>
    <t>Interbay Supportive Housing</t>
  </si>
  <si>
    <t>Owner &amp; developer</t>
  </si>
  <si>
    <t>Seattle, WA</t>
  </si>
  <si>
    <t>97</t>
  </si>
  <si>
    <t>6/2012</t>
  </si>
  <si>
    <t>11/2014</t>
  </si>
  <si>
    <t>City, County, LIHTC</t>
  </si>
  <si>
    <t>Lyon Building Rehab</t>
  </si>
  <si>
    <t>64</t>
  </si>
  <si>
    <t>1/2014</t>
  </si>
  <si>
    <t>NA - occupied rehab</t>
  </si>
  <si>
    <t>City, HTF, Sponsor Equity</t>
  </si>
  <si>
    <t>Cottage Grove Commons</t>
  </si>
  <si>
    <t>66</t>
  </si>
  <si>
    <t>1/2011</t>
  </si>
  <si>
    <t>12/2013</t>
  </si>
  <si>
    <t>City, County, State,  LIHTC, Sponsor Equity</t>
  </si>
  <si>
    <t>Aurora House</t>
  </si>
  <si>
    <t>87</t>
  </si>
  <si>
    <t>1/2009</t>
  </si>
  <si>
    <t>1/2013</t>
  </si>
  <si>
    <t>City, County, LIHTC, Sponsor Equity</t>
  </si>
  <si>
    <t xml:space="preserve">Sponsor Pipeline </t>
  </si>
  <si>
    <t>Projects Currently Being Developed</t>
  </si>
  <si>
    <t>Project Status</t>
  </si>
  <si>
    <t>Projected PIS Date</t>
  </si>
  <si>
    <t>Estelle Supportive Housing</t>
  </si>
  <si>
    <t>91</t>
  </si>
  <si>
    <t>2/2018</t>
  </si>
  <si>
    <t>City , County, HTF, LIHTC</t>
  </si>
  <si>
    <t>N96 Ave Supportive Housing</t>
  </si>
  <si>
    <t>100</t>
  </si>
  <si>
    <t>2/2019</t>
  </si>
  <si>
    <t>Morrison Building Renovation</t>
  </si>
  <si>
    <t>190</t>
  </si>
  <si>
    <t>12/2018</t>
  </si>
  <si>
    <t>City, HTF</t>
  </si>
  <si>
    <t>Form 9D: Project Development Consultant Experience</t>
  </si>
  <si>
    <t>Development Consultant History</t>
  </si>
  <si>
    <t>Developer Consultant Name:</t>
  </si>
  <si>
    <t>On Time, 
On Budget?</t>
  </si>
  <si>
    <t>SEE ATTACHED SPREADSHEET</t>
  </si>
  <si>
    <t xml:space="preserve">Development Consultant Pipeline </t>
  </si>
  <si>
    <t>Projected Placed in Service Date</t>
  </si>
  <si>
    <t>Form 9E: Project Property Management Firm Experience</t>
  </si>
  <si>
    <t>Management Company:</t>
  </si>
  <si>
    <t xml:space="preserve"> Projects</t>
  </si>
  <si>
    <t>Population Served</t>
  </si>
  <si>
    <t>Effective Date of Mangement Contract</t>
  </si>
  <si>
    <t>End Date</t>
  </si>
  <si>
    <t>Type of Financing</t>
  </si>
  <si>
    <t>Interbay Place</t>
  </si>
  <si>
    <t>Homeless with mental illness, substance abuse disorders, and other disabilities.</t>
  </si>
  <si>
    <t>2014</t>
  </si>
  <si>
    <t>Current</t>
  </si>
  <si>
    <t>2013</t>
  </si>
  <si>
    <t>City, County, LIHTC, + more</t>
  </si>
  <si>
    <t>Canaday House</t>
  </si>
  <si>
    <t>83</t>
  </si>
  <si>
    <t>25 units for Veterans</t>
  </si>
  <si>
    <t>2010</t>
  </si>
  <si>
    <t>Rainier House</t>
  </si>
  <si>
    <t>50</t>
  </si>
  <si>
    <t>Supportive housing for individuals with mental illness.</t>
  </si>
  <si>
    <t>2008</t>
  </si>
  <si>
    <t>1811 Eastlake</t>
  </si>
  <si>
    <t>75</t>
  </si>
  <si>
    <t>Homeless with chronic alcohol addiction.</t>
  </si>
  <si>
    <t>2005</t>
  </si>
  <si>
    <t>Evans House</t>
  </si>
  <si>
    <t>2007</t>
  </si>
  <si>
    <t>Kerner-Scott House</t>
  </si>
  <si>
    <t>40</t>
  </si>
  <si>
    <t>25 Safe Haven and 15 Clean &amp; Sober</t>
  </si>
  <si>
    <t>1997</t>
  </si>
  <si>
    <t>Lyon Building</t>
  </si>
  <si>
    <t>Homeless with HIV/AIDS, mental illness, and addiction.</t>
  </si>
  <si>
    <t>The Morrison</t>
  </si>
  <si>
    <t>Disabled homeless adults.</t>
  </si>
  <si>
    <t>2004</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</si>
  <si>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</si>
  <si>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</si>
  <si>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</si>
  <si>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</si>
  <si>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</si>
  <si>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</si>
  <si>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</si>
  <si>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</si>
  <si>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</si>
  <si>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</si>
  <si>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</si>
  <si>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Option 1:  50% @ 30% AMI, 25% @ 40% AMI, 25% @ 60% AMI (60 Points)</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</si>
  <si>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</si>
  <si>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</si>
  <si>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</si>
  <si>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</si>
  <si>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</si>
  <si>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</si>
  <si>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</si>
  <si>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</si>
  <si>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</si>
  <si>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</si>
  <si>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</si>
  <si>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</si>
  <si>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 22 years - 44 points</t>
  </si>
  <si>
    <t>HOUSING COMMITMENTS FOR PRIORITY POPULATIONS</t>
  </si>
  <si>
    <t>Indicate the Priority Population set-aside(s) below.  If you select Category A, you many not select anything under Category B.</t>
  </si>
  <si>
    <t xml:space="preserve"> </t>
  </si>
  <si>
    <t>Category A.  Supportive Housing for the Homeless (35 points)</t>
  </si>
  <si>
    <t>75% of Total Housing Units as Supportive Housing for the Homeless - 35 Points</t>
  </si>
  <si>
    <t xml:space="preserve">75% of units set aside for Homeless  =  </t>
  </si>
  <si>
    <t>units</t>
  </si>
  <si>
    <t xml:space="preserve">50% of units set aside for Homeless  (Non-Metro only) =  </t>
  </si>
  <si>
    <t>Category B.  Housing Commitments for other Priority Populations (Up to Two - 10 points each)</t>
  </si>
  <si>
    <t>• 20% of the Total Housing Units as Housing for Persons with Disabilities - 10 Points</t>
  </si>
  <si>
    <t>No Points Taken</t>
  </si>
  <si>
    <t>75% of units set aside for Farmworkers (Non-Metro only)  =</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</si>
  <si>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</si>
  <si>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</si>
  <si>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</si>
  <si>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</si>
  <si>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</si>
  <si>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</si>
  <si>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</si>
  <si>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</si>
  <si>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</si>
  <si>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</si>
  <si>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</si>
  <si>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</si>
  <si>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</si>
  <si>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</si>
  <si>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</si>
  <si>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</si>
  <si>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</si>
  <si>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</si>
  <si>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</si>
  <si>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Enter Total Project Cost from CFA Form 6D, Cell G35:</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</si>
  <si>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</si>
  <si>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</si>
  <si>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</si>
  <si>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</si>
  <si>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King County, has not selected #4 and is not eligible for these points.</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</si>
  <si>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</si>
  <si>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</si>
  <si>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</si>
  <si>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</si>
  <si>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</si>
  <si>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</si>
  <si>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</si>
  <si>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Percent of Units with Rental Assistance:</t>
  </si>
  <si>
    <t>Enter percent of units with PBRA</t>
  </si>
  <si>
    <t>DEVELOPER FEES</t>
  </si>
  <si>
    <t>Project Owner makes a commitment to limit the maximum Developer Fees for the Project to:</t>
  </si>
  <si>
    <t>10% - 10 Points</t>
  </si>
  <si>
    <t>AT-RISK OF LOSS OR MARKET CONVERSION</t>
  </si>
  <si>
    <t>Points will be awarded to Rehabilitation projects with expiring federal use agreements that have received preapproval for being at risk of market conversion.</t>
  </si>
  <si>
    <t>EXPIRING FEDERAL USE RESTRICTION:</t>
  </si>
  <si>
    <t>At Risk Scenario</t>
  </si>
  <si>
    <t>Choose which scenario puts units at risk</t>
  </si>
  <si>
    <t>Type of federal use restriction:</t>
  </si>
  <si>
    <t>Enter type of federal use restriction</t>
  </si>
  <si>
    <t>Expiration date:</t>
  </si>
  <si>
    <t>Enter expiration date of federal use restriction</t>
  </si>
  <si>
    <t>Number of units at risk:</t>
  </si>
  <si>
    <t xml:space="preserve">Enter number of units at risk </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</si>
  <si>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</si>
  <si>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</si>
  <si>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</si>
  <si>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</si>
  <si>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</si>
  <si>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</si>
  <si>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</si>
  <si>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</si>
  <si>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</si>
  <si>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</si>
  <si>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</si>
  <si>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</si>
  <si>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</si>
  <si>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</si>
  <si>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Urban:  within 1/4 mile of 3 services and within 1/2 mile of a grocery store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</si>
  <si>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</si>
  <si>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</si>
  <si>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</si>
  <si>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</si>
  <si>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</si>
  <si>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</si>
  <si>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King County and in a TOD location.</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</si>
  <si>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</si>
  <si>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</si>
  <si>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and in a High or Very High Opportunity Area Census tract.</t>
  </si>
  <si>
    <t>JOB CENTERS</t>
  </si>
  <si>
    <t>One Point will be awarded to Projects in or near the top 50 Metro or Non-Metro job growth places.</t>
  </si>
  <si>
    <t>Project is located</t>
  </si>
  <si>
    <t>in King County and is not eligible for these points.</t>
  </si>
  <si>
    <t>Select Job Growth Place</t>
  </si>
  <si>
    <t>NONPROFIT SPONSOR</t>
  </si>
  <si>
    <t>Five Points will be awarded to those Projects that qualify under one of the three scenarios below.  Indicate Nonprofit involvement below:</t>
  </si>
  <si>
    <t>Nonprofit Only</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</si>
  <si>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</si>
  <si>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</si>
  <si>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</si>
  <si>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</si>
  <si>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</si>
  <si>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</si>
  <si>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</si>
  <si>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</si>
  <si>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</si>
  <si>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</si>
  <si>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</si>
  <si>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</si>
  <si>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</si>
  <si>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 xml:space="preserve">COST CONTAINMENT INCENTIVE </t>
  </si>
  <si>
    <t>One Point will be awarded if the project is below the applicable TDC limit at the time of application.</t>
  </si>
  <si>
    <t>Applicable Total Development Cost Limit:</t>
  </si>
  <si>
    <t>Project's Total Development Cost</t>
  </si>
  <si>
    <t>Percentage below applicable TDC Limit:</t>
  </si>
  <si>
    <t>TOTAL POINTS SELECTED BY APPLICANT</t>
  </si>
  <si>
    <t>23B</t>
  </si>
  <si>
    <t>Projects will be awarded One Point depending on how they compare to the applicable median Cost/SF in its TDC Limit Area.</t>
  </si>
  <si>
    <t>Gross Residential Square Footage:</t>
  </si>
  <si>
    <t>Cost / SF:</t>
  </si>
  <si>
    <t>TOTAL POINTS AWARDED</t>
  </si>
  <si>
    <t>Form 11B</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</si>
  <si>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</si>
  <si>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</si>
  <si>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</si>
  <si>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</si>
  <si>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</si>
  <si>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</si>
  <si>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</si>
  <si>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</si>
  <si>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</si>
  <si>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Select Additional Low-Income Set-Asides</t>
  </si>
  <si>
    <t>Must = Total Units Less CAU</t>
  </si>
  <si>
    <t>2)</t>
  </si>
  <si>
    <r>
      <t xml:space="preserve">ADDITIONAL LOW-INCOME HOUSING USE PERIOD </t>
    </r>
    <r>
      <rPr>
        <b/>
        <sz val="10"/>
        <color theme="6" tint="-0.249977111117893"/>
        <rFont val="Calibri"/>
        <family val="2"/>
      </rPr>
      <t>(4.2)</t>
    </r>
  </si>
  <si>
    <t>Calculated</t>
  </si>
  <si>
    <t>1 point will be awarded for every two years of the Additional Low-Income Housing Use Period selected up to 22 years.</t>
  </si>
  <si>
    <t>3)</t>
  </si>
  <si>
    <r>
      <t xml:space="preserve">HOUSING COMMITMENTS FOR PRIORITY POPULATIONS </t>
    </r>
    <r>
      <rPr>
        <b/>
        <sz val="10"/>
        <color theme="6" tint="-0.249977111117893"/>
        <rFont val="Calibri"/>
        <family val="2"/>
      </rPr>
      <t>(4.3)</t>
    </r>
  </si>
  <si>
    <t>Indicate Priority Population set-aside(s) below.  Up to two set-asides may be selected, but the same population cannot be selected in both Category A and B.</t>
  </si>
  <si>
    <t>All Blue Boxes are Drop Downs</t>
  </si>
  <si>
    <t>Category A.  10% Large Households and/or 10% Persons with Disabilities (5 points each)</t>
  </si>
  <si>
    <t xml:space="preserve">10% of units set aside for Large Households  =  </t>
  </si>
  <si>
    <t>pts</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</si>
  <si>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</si>
  <si>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</si>
  <si>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</si>
  <si>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</si>
  <si>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</si>
  <si>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</si>
  <si>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</si>
  <si>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</si>
  <si>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</si>
  <si>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</si>
  <si>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 xml:space="preserve">RENTAL ASSISTANCE: </t>
  </si>
  <si>
    <t>Number of Units with Rental Assistance</t>
  </si>
  <si>
    <t>Total Low-Income Housing Units</t>
  </si>
  <si>
    <t>% of LIH Units with Rental Assistance</t>
  </si>
  <si>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</si>
  <si>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</si>
  <si>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</si>
  <si>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</si>
  <si>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</si>
  <si>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</si>
  <si>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</si>
  <si>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</si>
  <si>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</si>
  <si>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</si>
  <si>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</si>
  <si>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</si>
  <si>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TAXABLE BONDS</t>
  </si>
  <si>
    <t>Tax-Exempt Bond Amount:</t>
  </si>
  <si>
    <t>Taxable Bond Amount:</t>
  </si>
  <si>
    <t>Total Bond Issue</t>
  </si>
  <si>
    <t>Taxable Bonds as a % of Total Bond Issue:</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</si>
  <si>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</si>
  <si>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</si>
  <si>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</si>
  <si>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</si>
  <si>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see LIHTC 4% cost policy</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</si>
  <si>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</si>
  <si>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</si>
  <si>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</si>
  <si>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</si>
  <si>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</si>
  <si>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Five points will be awarded to Projects meeting the definition of Rehabilitation Project.</t>
  </si>
  <si>
    <t>Total number of existing Housing Units in Project:</t>
  </si>
  <si>
    <t>Total number of new Housing Units in Project</t>
  </si>
  <si>
    <t>If less than 50%, inelligible</t>
  </si>
  <si>
    <t>Number of existing Housing Units to be rehabilitated:</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</si>
  <si>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</si>
  <si>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</si>
  <si>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</si>
  <si>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</si>
  <si>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</si>
  <si>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</si>
  <si>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</si>
  <si>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</si>
  <si>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</si>
  <si>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</si>
  <si>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</si>
  <si>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</si>
  <si>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</si>
  <si>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</si>
  <si>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 xml:space="preserve">Three Points will be awarded to those Projects that provide nearby access to food and exceed the minimum Access to Services criterion of ESDS.  </t>
  </si>
  <si>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</si>
  <si>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</si>
  <si>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</si>
  <si>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</si>
  <si>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</si>
  <si>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</si>
  <si>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</si>
  <si>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</si>
  <si>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</si>
  <si>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</si>
  <si>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</si>
  <si>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</si>
  <si>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</si>
  <si>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</si>
  <si>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</si>
  <si>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</si>
  <si>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</si>
  <si>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</si>
  <si>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</si>
  <si>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</si>
  <si>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</si>
  <si>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</si>
  <si>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</si>
  <si>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Community Garden</t>
  </si>
  <si>
    <t>Onsite Fitness Center</t>
  </si>
  <si>
    <t>Onsite Business / Learning Center</t>
  </si>
  <si>
    <t>Onsite Media Room</t>
  </si>
  <si>
    <t>Onsite Playground or Fitness Trail</t>
  </si>
  <si>
    <t xml:space="preserve">Covered and Secured Bicycle Storage </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</si>
  <si>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</si>
  <si>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</si>
  <si>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</si>
  <si>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</si>
  <si>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</si>
  <si>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</si>
  <si>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</si>
  <si>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</si>
  <si>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</si>
  <si>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</si>
  <si>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</si>
  <si>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TOTAL POINTS SELECTED (30 points minimum required)</t>
  </si>
  <si>
    <t>four_perc_lih_commit</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</si>
  <si>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</si>
  <si>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</si>
  <si>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</si>
  <si>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</si>
  <si>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</si>
  <si>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</si>
  <si>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four_perc_inc_percent</t>
  </si>
  <si>
    <t>four_perc_Years</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</si>
  <si>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</si>
  <si>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</si>
  <si>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</si>
  <si>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</si>
  <si>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</si>
  <si>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</si>
  <si>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</si>
  <si>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</si>
  <si>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</si>
  <si>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</si>
  <si>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</si>
  <si>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four_perc_priority_pops</t>
  </si>
  <si>
    <t>10% for Large Households - 5 Points</t>
  </si>
  <si>
    <t>four_perc_project_based_rental_assistance</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</si>
  <si>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</si>
  <si>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</si>
  <si>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</si>
  <si>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</si>
  <si>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</si>
  <si>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four_perc_leveraging_public_resources</t>
  </si>
  <si>
    <t>5% of the Total Project Costs - 3 points</t>
  </si>
  <si>
    <t>10% of the Total Project Costs - 5 points</t>
  </si>
  <si>
    <t>15% of the Total Project Costs - 10 points</t>
  </si>
  <si>
    <t>four_perc_leveraging_taxable_bonds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</si>
  <si>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</si>
  <si>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</si>
  <si>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</si>
  <si>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</si>
  <si>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</si>
  <si>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</si>
  <si>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</si>
  <si>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four_perc_dev_fees</t>
  </si>
  <si>
    <t>10% - 5 Points</t>
  </si>
  <si>
    <t>11% - 4 Points</t>
  </si>
  <si>
    <t>12% - 3 Points</t>
  </si>
  <si>
    <t>13% - 2 Points</t>
  </si>
  <si>
    <t>14% - 1 Point</t>
  </si>
  <si>
    <t>15% - 0 Points</t>
  </si>
  <si>
    <t>four_perc_property_type</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</si>
  <si>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</si>
  <si>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</si>
  <si>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</si>
  <si>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- 6 points</t>
    </r>
  </si>
  <si>
    <t>four_perc_efficient_location</t>
  </si>
  <si>
    <r>
      <t>Urban:  within 1/4 mile of 3 services and 1/2 mile of a grocery store</t>
    </r>
    <r>
      <rPr>
        <sz val="11"/>
        <color indexed="8"/>
        <rFont val="Calibri"/>
        <family val="2"/>
      </rPr>
      <t xml:space="preserve"> - 3 points</t>
    </r>
  </si>
  <si>
    <t>Urban: within 1/2 mile of 5 facilities and a grocery store - 3 points</t>
  </si>
  <si>
    <t>Rural:  within 2 miles of 4 services, one of which is a grocery store - 3 points</t>
  </si>
  <si>
    <t>four_perc_np_sponsor</t>
  </si>
  <si>
    <t>Nonprofit Only - 3 Points</t>
  </si>
  <si>
    <t>For Profit / Nonprofit Partnership - 3 Points</t>
  </si>
  <si>
    <t>four_perc_lih_40_percent</t>
  </si>
  <si>
    <t>four_perc_lih_50_percent</t>
  </si>
  <si>
    <t>four_perc_lih_60_percent</t>
  </si>
  <si>
    <t>four_perc_np_donation</t>
  </si>
  <si>
    <t>No Pts Taken</t>
  </si>
  <si>
    <t>four_perc_solar_option_1</t>
  </si>
  <si>
    <t>Install a solar photovoltaic (PV) at least 13 Kilowatts - 3 points</t>
  </si>
  <si>
    <t>four_perc_solar_option_2</t>
  </si>
  <si>
    <t>Install a solar hot water system (solar thermal) to provide for domestic water heating - 3 points</t>
  </si>
  <si>
    <t>nine_perc_higher_income_counties</t>
  </si>
  <si>
    <t>Select Higher Income County</t>
  </si>
  <si>
    <t>Not located in a Higher Income County</t>
  </si>
  <si>
    <t>Benton</t>
  </si>
  <si>
    <t>Clark</t>
  </si>
  <si>
    <t>Franklin</t>
  </si>
  <si>
    <t>Garfield</t>
  </si>
  <si>
    <t>Island</t>
  </si>
  <si>
    <t>Jefferson</t>
  </si>
  <si>
    <t>Kitsap</t>
  </si>
  <si>
    <t>Kittitas</t>
  </si>
  <si>
    <t xml:space="preserve">Pierce </t>
  </si>
  <si>
    <t>San Juan</t>
  </si>
  <si>
    <t>Skagit</t>
  </si>
  <si>
    <t>Skamania</t>
  </si>
  <si>
    <t>Snohomish</t>
  </si>
  <si>
    <t>Thurston</t>
  </si>
  <si>
    <t>Whatcom</t>
  </si>
  <si>
    <t>Whitman</t>
  </si>
  <si>
    <t>nine_perc_higher_income_county_setasides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</si>
  <si>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</si>
  <si>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</si>
  <si>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</si>
  <si>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</si>
  <si>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</si>
  <si>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</si>
  <si>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</si>
  <si>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</si>
  <si>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</si>
  <si>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</si>
  <si>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</si>
  <si>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</si>
  <si>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</si>
  <si>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</si>
  <si>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</si>
  <si>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</si>
  <si>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</si>
  <si>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</si>
  <si>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</si>
  <si>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</si>
  <si>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nine_perc_lower_income_counties</t>
  </si>
  <si>
    <t>Not located in a Lower Income County</t>
  </si>
  <si>
    <t>Adams</t>
  </si>
  <si>
    <t>Asotin</t>
  </si>
  <si>
    <t>Chelan</t>
  </si>
  <si>
    <t>Clallam</t>
  </si>
  <si>
    <t>Columbia</t>
  </si>
  <si>
    <t>Cowlitz</t>
  </si>
  <si>
    <t>Douglas</t>
  </si>
  <si>
    <t>Ferry</t>
  </si>
  <si>
    <t>Grays Harbor</t>
  </si>
  <si>
    <t>Klickitat</t>
  </si>
  <si>
    <t>Lewis</t>
  </si>
  <si>
    <t>Lincoln</t>
  </si>
  <si>
    <t>Mason</t>
  </si>
  <si>
    <t>Okanogan</t>
  </si>
  <si>
    <t>Pacific</t>
  </si>
  <si>
    <t>Pend Oreille</t>
  </si>
  <si>
    <t>Spokane</t>
  </si>
  <si>
    <t>Stevens</t>
  </si>
  <si>
    <t>Wahkiakum</t>
  </si>
  <si>
    <t>Walla Walla</t>
  </si>
  <si>
    <t>Yakima</t>
  </si>
  <si>
    <t>nine_perc_lower_income_county_setasides</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</si>
  <si>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</si>
  <si>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</si>
  <si>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</si>
  <si>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</si>
  <si>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</si>
  <si>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</si>
  <si>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</si>
  <si>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</si>
  <si>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</si>
  <si>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</si>
  <si>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</si>
  <si>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</si>
  <si>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</si>
  <si>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</si>
  <si>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</si>
  <si>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</si>
  <si>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</si>
  <si>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</si>
  <si>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nine_pecent_inc_percent</t>
  </si>
  <si>
    <t>nine_percent_years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</si>
  <si>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</si>
  <si>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</si>
  <si>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</si>
  <si>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</si>
  <si>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</si>
  <si>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</si>
  <si>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</si>
  <si>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</si>
  <si>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</si>
  <si>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</si>
  <si>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</si>
  <si>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</si>
  <si>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</si>
  <si>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</si>
  <si>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</si>
  <si>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</si>
  <si>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</si>
  <si>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</si>
  <si>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</si>
  <si>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</si>
  <si>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</si>
  <si>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nine_percent_homeless</t>
  </si>
  <si>
    <t>50% of Total Housing Units as Supportive Housing for the Homeless (Non-Metro only) - 35 Points</t>
  </si>
  <si>
    <t>nine_percent_special_needs</t>
  </si>
  <si>
    <t>• 75% of the Total Housing Units for Farmworkers (Non-Metro only) - 15 Points</t>
  </si>
  <si>
    <t>• 20% of the Total Housing Units for Farmworkers - 10 Points</t>
  </si>
  <si>
    <t>• 20% of the Total Housing Units for Large Households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</si>
  <si>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</si>
  <si>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</si>
  <si>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</si>
  <si>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</si>
  <si>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</si>
  <si>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nine_percent_local_funding_counties</t>
  </si>
  <si>
    <t>Clark County</t>
  </si>
  <si>
    <t>Pierce County</t>
  </si>
  <si>
    <t>Spokane County</t>
  </si>
  <si>
    <t>Snohomish County</t>
  </si>
  <si>
    <t>Whatcom County</t>
  </si>
  <si>
    <t>a Non-Metro County.  This project is not eligible for these points.</t>
  </si>
  <si>
    <t>Select Source</t>
  </si>
  <si>
    <t>nine_percent_local_funding_sources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</si>
  <si>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</si>
  <si>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</si>
  <si>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</si>
  <si>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</si>
  <si>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</si>
  <si>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</si>
  <si>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</si>
  <si>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</si>
  <si>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</si>
  <si>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</si>
  <si>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nine_percent_local_funding_types</t>
  </si>
  <si>
    <t>Capital Grant</t>
  </si>
  <si>
    <t>Project-Based Rental Assistance</t>
  </si>
  <si>
    <t>Operating and Maintenance Subsidies</t>
  </si>
  <si>
    <t>Other funding type preapproved by the Commission</t>
  </si>
  <si>
    <t>nine_percent_federal_funding_sources</t>
  </si>
  <si>
    <t>HUD 202</t>
  </si>
  <si>
    <t>HUD 811</t>
  </si>
  <si>
    <t>USDA 514</t>
  </si>
  <si>
    <t>USDA 515</t>
  </si>
  <si>
    <t>Other federal source preapproved by the Commission</t>
  </si>
  <si>
    <t>NAHASDA Indian Housing Block Grant - NON-METRO COUNTIES ONLY</t>
  </si>
  <si>
    <t>King County and has selected #4 above.</t>
  </si>
  <si>
    <t>nine_percent_KC_HTF</t>
  </si>
  <si>
    <t>a Metro or Non-Metro County.</t>
  </si>
  <si>
    <t>0 points</t>
  </si>
  <si>
    <t>nine_percent_pbra_units</t>
  </si>
  <si>
    <t>10% - 25% units = 2 points</t>
  </si>
  <si>
    <t>26% - 49% units = 3 points</t>
  </si>
  <si>
    <t>50% units or more = 4 points</t>
  </si>
  <si>
    <t>nine_percent_dev_fees</t>
  </si>
  <si>
    <t>11% - 8 Points</t>
  </si>
  <si>
    <t>12% - 6 Points</t>
  </si>
  <si>
    <t>13% - 4 Points</t>
  </si>
  <si>
    <t>14% - 2 Points</t>
  </si>
  <si>
    <t>Scenario 1: Sale and conversion to market</t>
  </si>
  <si>
    <t>nine_percent_at_risk</t>
  </si>
  <si>
    <t>Scenario 2: Significant and immediate capital needs</t>
  </si>
  <si>
    <t>Scenario 3: (Non-Metro only) Housing Authority property in need of extensive rehabilitation</t>
  </si>
  <si>
    <t>nine_percent_historic</t>
  </si>
  <si>
    <t>Listed, or determined eligible for listing, in the National Register of Historic Places</t>
  </si>
  <si>
    <t xml:space="preserve">Located in a registered Historic District </t>
  </si>
  <si>
    <t>Chehalis - Non-Metro (3 Points)</t>
  </si>
  <si>
    <t>nine_percent_eligible_tribes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</si>
  <si>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</si>
  <si>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</si>
  <si>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</si>
  <si>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</si>
  <si>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</si>
  <si>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</si>
  <si>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</si>
  <si>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</si>
  <si>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</si>
  <si>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</si>
  <si>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</si>
  <si>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</si>
  <si>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</si>
  <si>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nine_percent_location_efficient_projects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</si>
  <si>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</si>
  <si>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</si>
  <si>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</si>
  <si>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nine_percent_king_county_tod</t>
  </si>
  <si>
    <t>a Metro County.  This project is not eligible for these points.</t>
  </si>
  <si>
    <t>nine_percent_kc_opp_area</t>
  </si>
  <si>
    <t>Select Location</t>
  </si>
  <si>
    <t>nine_percent_in_within</t>
  </si>
  <si>
    <t>in a Metro County and within 5 miles of</t>
  </si>
  <si>
    <t>in a Non-Metro County and within 10 miles of</t>
  </si>
  <si>
    <t>nine_percent_job_centers</t>
  </si>
  <si>
    <t>Airway Heights</t>
  </si>
  <si>
    <t>Bainbridge Island</t>
  </si>
  <si>
    <t>Bonney Lake</t>
  </si>
  <si>
    <t>Bothell</t>
  </si>
  <si>
    <t>Bremerton</t>
  </si>
  <si>
    <t>Burlington</t>
  </si>
  <si>
    <t>Camas</t>
  </si>
  <si>
    <t>Colville</t>
  </si>
  <si>
    <t>Clarkston</t>
  </si>
  <si>
    <t>Edmonds</t>
  </si>
  <si>
    <t>Ephrata</t>
  </si>
  <si>
    <t>Everett</t>
  </si>
  <si>
    <t>Fife</t>
  </si>
  <si>
    <t>Frederickson</t>
  </si>
  <si>
    <t>Kennewick</t>
  </si>
  <si>
    <t>Kelso</t>
  </si>
  <si>
    <t>Lacey</t>
  </si>
  <si>
    <t>Lake Stevens</t>
  </si>
  <si>
    <t>Lakewood</t>
  </si>
  <si>
    <t>Lynnwood</t>
  </si>
  <si>
    <t>Marysville</t>
  </si>
  <si>
    <t>Moses Lake</t>
  </si>
  <si>
    <t>Mount Vernon</t>
  </si>
  <si>
    <t>Mount Vista</t>
  </si>
  <si>
    <t>Mukilteo</t>
  </si>
  <si>
    <t>Oak Harbor</t>
  </si>
  <si>
    <t>Olympia</t>
  </si>
  <si>
    <t>Omak</t>
  </si>
  <si>
    <t>Orchards</t>
  </si>
  <si>
    <t>Othello</t>
  </si>
  <si>
    <t>Pasco</t>
  </si>
  <si>
    <t>Port Angeles</t>
  </si>
  <si>
    <t>Port Townsend</t>
  </si>
  <si>
    <t>Pullman</t>
  </si>
  <si>
    <t>Puyallup</t>
  </si>
  <si>
    <t>Quincy</t>
  </si>
  <si>
    <t>Richland</t>
  </si>
  <si>
    <t>Sedro-Woolley</t>
  </si>
  <si>
    <t>Selah</t>
  </si>
  <si>
    <t>Sequim</t>
  </si>
  <si>
    <t>Silverdale</t>
  </si>
  <si>
    <t>South Hill</t>
  </si>
  <si>
    <t>Spokane Valley</t>
  </si>
  <si>
    <t>Sumner</t>
  </si>
  <si>
    <t>Sunnyside</t>
  </si>
  <si>
    <t>Tacoma</t>
  </si>
  <si>
    <t>Vancouver</t>
  </si>
  <si>
    <t>Woodland</t>
  </si>
  <si>
    <t>nine_percent_np_sponsor</t>
  </si>
  <si>
    <t>For Profit Nonprofit Partnership</t>
  </si>
  <si>
    <t>Nonprofit Sponsor Waiver</t>
  </si>
  <si>
    <t>Select from list</t>
  </si>
  <si>
    <t>nine_percent_tdc_limits</t>
  </si>
  <si>
    <t>Pierce/Snohomish</t>
  </si>
  <si>
    <t>Metro Counties</t>
  </si>
  <si>
    <t>Balance of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</si>
</sst>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yy;@"/>
  </numFmts>
  <fonts count="10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0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right/>
      <top style="medium">
        <color indexed="64"/>
      </top>
      <bottom style="thin">
        <color theme="0" tint="-0.24994659260841701"/>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right style="medium">
        <color indexed="18"/>
      </right>
      <top/>
      <bottom/>
      <diagonal/>
    </border>
    <border>
      <left style="medium">
        <color indexed="18"/>
      </left>
      <right/>
      <top style="medium">
        <color indexed="18"/>
      </top>
      <bottom/>
      <diagonal/>
    </border>
    <border>
      <left/>
      <right style="medium">
        <color indexed="18"/>
      </right>
      <top style="medium">
        <color indexed="18"/>
      </top>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style="medium">
        <color indexed="64"/>
      </left>
      <right style="medium">
        <color indexed="64"/>
      </right>
      <top style="thin">
        <color theme="3" tint="0.39994506668294322"/>
      </top>
      <bottom/>
      <diagonal/>
    </border>
    <border>
      <left style="medium">
        <color indexed="64"/>
      </left>
      <right style="thin">
        <color theme="0" tint="-0.34998626667073579"/>
      </right>
      <top style="thin">
        <color theme="3" tint="0.39994506668294322"/>
      </top>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right style="thin">
        <color indexed="64"/>
      </right>
      <top/>
      <bottom style="medium">
        <color indexed="64"/>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indexed="64"/>
      </left>
      <right style="thin">
        <color indexed="22"/>
      </right>
      <top style="medium">
        <color auto="1"/>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cellStyleXfs>
  <cellXfs count="2643">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26" xfId="0" applyFont="1" applyBorder="1" applyAlignment="1" applyProtection="1">
      <alignment vertical="center"/>
    </xf>
    <xf numFmtId="0" fontId="3" fillId="0" borderId="25"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3" fillId="0" borderId="35" xfId="0" applyFont="1" applyBorder="1" applyAlignment="1" applyProtection="1">
      <alignment vertical="center"/>
    </xf>
    <xf numFmtId="0" fontId="3" fillId="0" borderId="104" xfId="0" applyFont="1" applyFill="1" applyBorder="1" applyAlignment="1" applyProtection="1">
      <alignment vertical="center"/>
    </xf>
    <xf numFmtId="0" fontId="3" fillId="0" borderId="105"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12" xfId="0" applyNumberFormat="1" applyFont="1" applyFill="1" applyBorder="1" applyAlignment="1" applyProtection="1">
      <alignment vertical="center"/>
    </xf>
    <xf numFmtId="42" fontId="23" fillId="6" borderId="58" xfId="0" applyNumberFormat="1" applyFont="1" applyFill="1" applyBorder="1" applyAlignment="1" applyProtection="1">
      <alignment vertical="center"/>
    </xf>
    <xf numFmtId="42" fontId="23" fillId="17" borderId="60" xfId="0" applyNumberFormat="1" applyFont="1" applyFill="1" applyBorder="1" applyAlignment="1" applyProtection="1">
      <alignment vertical="center"/>
    </xf>
    <xf numFmtId="0" fontId="26" fillId="0" borderId="81" xfId="0" applyFont="1" applyFill="1" applyBorder="1" applyAlignment="1" applyProtection="1"/>
    <xf numFmtId="0" fontId="26" fillId="0" borderId="82" xfId="0" applyFont="1" applyFill="1" applyBorder="1" applyAlignment="1" applyProtection="1"/>
    <xf numFmtId="5" fontId="25" fillId="0" borderId="78" xfId="0" applyNumberFormat="1" applyFont="1" applyFill="1" applyBorder="1" applyAlignment="1" applyProtection="1">
      <alignment vertical="center"/>
    </xf>
    <xf numFmtId="42" fontId="23" fillId="0" borderId="115" xfId="0" applyNumberFormat="1" applyFont="1" applyFill="1" applyBorder="1" applyAlignment="1" applyProtection="1">
      <alignment vertical="center"/>
    </xf>
    <xf numFmtId="5" fontId="30" fillId="0" borderId="78" xfId="0" applyNumberFormat="1" applyFont="1" applyFill="1" applyBorder="1" applyAlignment="1" applyProtection="1">
      <alignment vertical="center"/>
    </xf>
    <xf numFmtId="5" fontId="27" fillId="0" borderId="78" xfId="0" applyNumberFormat="1" applyFont="1" applyFill="1" applyBorder="1" applyAlignment="1" applyProtection="1">
      <alignment vertical="center"/>
    </xf>
    <xf numFmtId="42" fontId="23" fillId="0" borderId="78" xfId="0" applyNumberFormat="1" applyFont="1" applyFill="1" applyBorder="1" applyAlignment="1" applyProtection="1">
      <alignment vertical="center"/>
    </xf>
    <xf numFmtId="0" fontId="26" fillId="0" borderId="84" xfId="0" applyFont="1" applyFill="1" applyBorder="1" applyAlignment="1" applyProtection="1"/>
    <xf numFmtId="42" fontId="23" fillId="17" borderId="103" xfId="0" applyNumberFormat="1" applyFont="1" applyFill="1" applyBorder="1" applyAlignment="1" applyProtection="1">
      <alignment vertical="center"/>
    </xf>
    <xf numFmtId="5" fontId="12" fillId="0" borderId="28" xfId="0" applyNumberFormat="1" applyFont="1" applyFill="1" applyBorder="1" applyAlignment="1" applyProtection="1">
      <alignment vertical="center"/>
    </xf>
    <xf numFmtId="5" fontId="11" fillId="0" borderId="28"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28"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28" xfId="0" applyNumberFormat="1" applyFont="1" applyFill="1" applyBorder="1" applyAlignment="1" applyProtection="1">
      <alignment vertical="center"/>
    </xf>
    <xf numFmtId="5" fontId="27" fillId="0" borderId="28"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28" xfId="0" applyNumberFormat="1" applyFont="1" applyFill="1" applyBorder="1" applyAlignment="1" applyProtection="1">
      <alignment vertical="center"/>
    </xf>
    <xf numFmtId="42" fontId="16" fillId="0" borderId="63"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1" xfId="0" applyNumberFormat="1" applyFont="1" applyFill="1" applyBorder="1" applyAlignment="1" applyProtection="1">
      <alignment vertical="center"/>
    </xf>
    <xf numFmtId="42" fontId="16" fillId="12" borderId="16" xfId="0" applyNumberFormat="1" applyFont="1" applyFill="1" applyBorder="1" applyAlignment="1" applyProtection="1">
      <alignment vertical="center"/>
    </xf>
    <xf numFmtId="42" fontId="16" fillId="0" borderId="39" xfId="0" applyNumberFormat="1" applyFont="1" applyFill="1" applyBorder="1" applyAlignment="1" applyProtection="1">
      <alignment vertical="center"/>
      <protection locked="0"/>
    </xf>
    <xf numFmtId="42" fontId="16" fillId="12" borderId="75" xfId="0" applyNumberFormat="1" applyFont="1" applyFill="1" applyBorder="1" applyAlignment="1" applyProtection="1">
      <alignment vertical="center"/>
    </xf>
    <xf numFmtId="42" fontId="16" fillId="19" borderId="112" xfId="0" applyNumberFormat="1" applyFont="1" applyFill="1" applyBorder="1" applyAlignment="1" applyProtection="1">
      <alignment vertical="center"/>
    </xf>
    <xf numFmtId="42" fontId="16" fillId="18" borderId="114" xfId="0" applyNumberFormat="1" applyFont="1" applyFill="1" applyBorder="1" applyAlignment="1" applyProtection="1">
      <alignment vertical="center"/>
    </xf>
    <xf numFmtId="42" fontId="16" fillId="18" borderId="72" xfId="0" applyNumberFormat="1" applyFont="1" applyFill="1" applyBorder="1" applyAlignment="1" applyProtection="1">
      <alignment vertical="center"/>
    </xf>
    <xf numFmtId="42" fontId="16" fillId="18" borderId="48" xfId="0" applyNumberFormat="1" applyFont="1" applyFill="1" applyBorder="1" applyAlignment="1" applyProtection="1">
      <alignment vertical="center"/>
    </xf>
    <xf numFmtId="42" fontId="16" fillId="18" borderId="112" xfId="0" applyNumberFormat="1" applyFont="1" applyFill="1" applyBorder="1" applyAlignment="1" applyProtection="1">
      <alignment vertical="center"/>
    </xf>
    <xf numFmtId="42" fontId="16" fillId="18" borderId="109" xfId="0" applyNumberFormat="1" applyFont="1" applyFill="1" applyBorder="1" applyAlignment="1" applyProtection="1">
      <alignment vertical="center"/>
    </xf>
    <xf numFmtId="42" fontId="16" fillId="18" borderId="110" xfId="0" applyNumberFormat="1" applyFont="1" applyFill="1" applyBorder="1" applyAlignment="1" applyProtection="1">
      <alignment vertical="center"/>
    </xf>
    <xf numFmtId="42" fontId="16" fillId="18" borderId="18" xfId="0" applyNumberFormat="1" applyFont="1" applyFill="1" applyBorder="1" applyAlignment="1" applyProtection="1">
      <alignment vertical="center"/>
    </xf>
    <xf numFmtId="42" fontId="16" fillId="18" borderId="2" xfId="0" applyNumberFormat="1" applyFont="1" applyFill="1" applyBorder="1" applyAlignment="1" applyProtection="1">
      <alignment vertical="center"/>
    </xf>
    <xf numFmtId="42" fontId="16" fillId="18" borderId="62" xfId="0" applyNumberFormat="1" applyFont="1" applyFill="1" applyBorder="1" applyAlignment="1" applyProtection="1">
      <alignment vertical="center"/>
    </xf>
    <xf numFmtId="42" fontId="16" fillId="18" borderId="55" xfId="0" applyNumberFormat="1" applyFont="1" applyFill="1" applyBorder="1" applyAlignment="1" applyProtection="1">
      <alignment vertical="center"/>
    </xf>
    <xf numFmtId="42" fontId="16" fillId="6" borderId="7" xfId="0" applyNumberFormat="1" applyFont="1" applyFill="1" applyBorder="1" applyAlignment="1" applyProtection="1">
      <alignment vertical="center"/>
    </xf>
    <xf numFmtId="42" fontId="16" fillId="18" borderId="6" xfId="0" applyNumberFormat="1" applyFont="1" applyFill="1" applyBorder="1" applyAlignment="1" applyProtection="1">
      <alignment vertical="center"/>
    </xf>
    <xf numFmtId="42" fontId="16" fillId="18" borderId="9" xfId="0" applyNumberFormat="1" applyFont="1" applyFill="1" applyBorder="1" applyAlignment="1" applyProtection="1">
      <alignment vertical="center"/>
    </xf>
    <xf numFmtId="42" fontId="16" fillId="18" borderId="21" xfId="0" applyNumberFormat="1" applyFont="1" applyFill="1" applyBorder="1" applyAlignment="1" applyProtection="1">
      <alignment vertical="center"/>
    </xf>
    <xf numFmtId="42" fontId="16" fillId="18" borderId="70"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5" fontId="25" fillId="5" borderId="28" xfId="0" applyNumberFormat="1" applyFont="1" applyFill="1" applyBorder="1" applyAlignment="1" applyProtection="1">
      <alignment vertical="center"/>
    </xf>
    <xf numFmtId="3" fontId="25" fillId="5" borderId="28" xfId="0" applyNumberFormat="1" applyFont="1" applyFill="1" applyBorder="1" applyAlignment="1" applyProtection="1">
      <alignment vertical="center"/>
    </xf>
    <xf numFmtId="42" fontId="16" fillId="5" borderId="28" xfId="0" applyNumberFormat="1" applyFont="1" applyFill="1" applyBorder="1" applyAlignment="1" applyProtection="1">
      <alignment vertical="center"/>
    </xf>
    <xf numFmtId="42" fontId="16" fillId="14" borderId="28" xfId="0" applyNumberFormat="1" applyFont="1" applyFill="1" applyBorder="1" applyAlignment="1" applyProtection="1">
      <alignment vertical="center"/>
    </xf>
    <xf numFmtId="5" fontId="30" fillId="0" borderId="28" xfId="0" applyNumberFormat="1" applyFont="1" applyFill="1" applyBorder="1" applyAlignment="1" applyProtection="1">
      <alignment vertical="center"/>
    </xf>
    <xf numFmtId="42" fontId="16" fillId="18" borderId="63" xfId="0" applyNumberFormat="1" applyFont="1" applyFill="1" applyBorder="1" applyAlignment="1" applyProtection="1">
      <alignment vertical="center"/>
    </xf>
    <xf numFmtId="42" fontId="16" fillId="18" borderId="108"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0" fontId="45" fillId="0" borderId="0" xfId="0" applyFont="1" applyBorder="1" applyProtection="1"/>
    <xf numFmtId="5" fontId="34" fillId="0" borderId="0" xfId="0" applyNumberFormat="1" applyFont="1" applyFill="1" applyBorder="1" applyProtection="1"/>
    <xf numFmtId="5" fontId="45" fillId="0" borderId="120" xfId="0" applyNumberFormat="1" applyFont="1" applyFill="1" applyBorder="1" applyProtection="1"/>
    <xf numFmtId="5" fontId="45" fillId="0" borderId="47" xfId="0" applyNumberFormat="1" applyFont="1" applyFill="1" applyBorder="1" applyProtection="1"/>
    <xf numFmtId="0" fontId="45" fillId="0" borderId="47" xfId="0" applyFont="1" applyBorder="1" applyProtection="1"/>
    <xf numFmtId="0" fontId="3" fillId="0" borderId="25" xfId="0" applyFont="1" applyFill="1" applyBorder="1" applyProtection="1"/>
    <xf numFmtId="0" fontId="3" fillId="0" borderId="0" xfId="0" applyFont="1" applyFill="1" applyBorder="1" applyProtection="1"/>
    <xf numFmtId="0" fontId="3" fillId="0" borderId="26" xfId="0" applyFont="1" applyFill="1" applyBorder="1" applyProtection="1"/>
    <xf numFmtId="44" fontId="3" fillId="2" borderId="178" xfId="0" applyNumberFormat="1" applyFont="1" applyFill="1" applyBorder="1" applyAlignment="1" applyProtection="1"/>
    <xf numFmtId="0" fontId="15" fillId="0" borderId="0" xfId="0" applyNumberFormat="1" applyFont="1" applyFill="1" applyBorder="1" applyAlignment="1" applyProtection="1"/>
    <xf numFmtId="0" fontId="25" fillId="0" borderId="177" xfId="0" applyFont="1" applyBorder="1" applyAlignment="1" applyProtection="1"/>
    <xf numFmtId="0" fontId="25" fillId="0" borderId="0" xfId="0" applyFont="1" applyBorder="1" applyAlignment="1" applyProtection="1"/>
    <xf numFmtId="0" fontId="25" fillId="0" borderId="2" xfId="0" applyFont="1" applyBorder="1" applyAlignment="1" applyProtection="1"/>
    <xf numFmtId="5" fontId="30" fillId="10" borderId="174" xfId="0" applyNumberFormat="1" applyFont="1" applyFill="1" applyBorder="1" applyAlignment="1" applyProtection="1">
      <alignment vertical="center"/>
    </xf>
    <xf numFmtId="0" fontId="30" fillId="10" borderId="7"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60"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0" fontId="55" fillId="0" borderId="0" xfId="0" applyFont="1" applyBorder="1" applyAlignment="1" applyProtection="1"/>
    <xf numFmtId="42" fontId="54" fillId="6" borderId="88" xfId="0" applyNumberFormat="1" applyFont="1" applyFill="1" applyBorder="1" applyProtection="1"/>
    <xf numFmtId="0" fontId="54" fillId="0" borderId="5" xfId="0" applyFont="1" applyBorder="1" applyAlignment="1" applyProtection="1"/>
    <xf numFmtId="42" fontId="54" fillId="6" borderId="86" xfId="0" applyNumberFormat="1" applyFont="1" applyFill="1" applyBorder="1" applyProtection="1"/>
    <xf numFmtId="42" fontId="54" fillId="6" borderId="87" xfId="0" applyNumberFormat="1" applyFont="1" applyFill="1" applyBorder="1" applyProtection="1"/>
    <xf numFmtId="0" fontId="54" fillId="0" borderId="5" xfId="0" applyFont="1" applyBorder="1" applyProtection="1"/>
    <xf numFmtId="0" fontId="55" fillId="0" borderId="0" xfId="0" applyFont="1" applyBorder="1" applyProtection="1"/>
    <xf numFmtId="42" fontId="54" fillId="6" borderId="85" xfId="0" applyNumberFormat="1" applyFont="1" applyFill="1" applyBorder="1" applyProtection="1"/>
    <xf numFmtId="42" fontId="54" fillId="6" borderId="74" xfId="0" applyNumberFormat="1" applyFont="1" applyFill="1" applyBorder="1" applyProtection="1"/>
    <xf numFmtId="42" fontId="55" fillId="6" borderId="117" xfId="0" applyNumberFormat="1" applyFont="1" applyFill="1" applyBorder="1" applyProtection="1"/>
    <xf numFmtId="6" fontId="54" fillId="0" borderId="35" xfId="0" applyNumberFormat="1" applyFont="1" applyBorder="1" applyProtection="1"/>
    <xf numFmtId="42" fontId="54" fillId="6" borderId="4" xfId="0" applyNumberFormat="1" applyFont="1" applyFill="1" applyBorder="1" applyProtection="1"/>
    <xf numFmtId="0" fontId="54" fillId="0" borderId="5" xfId="0" applyFont="1" applyFill="1" applyBorder="1" applyAlignment="1" applyProtection="1"/>
    <xf numFmtId="0" fontId="55" fillId="0" borderId="0" xfId="0" applyFont="1" applyFill="1" applyBorder="1" applyAlignment="1" applyProtection="1"/>
    <xf numFmtId="42" fontId="55" fillId="6" borderId="4" xfId="0" applyNumberFormat="1" applyFont="1" applyFill="1" applyBorder="1" applyProtection="1"/>
    <xf numFmtId="8" fontId="54" fillId="0" borderId="35"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16" fillId="6" borderId="121" xfId="0" applyNumberFormat="1" applyFont="1" applyFill="1" applyBorder="1" applyAlignment="1" applyProtection="1"/>
    <xf numFmtId="0" fontId="3" fillId="0" borderId="22" xfId="0" applyFont="1" applyFill="1" applyBorder="1" applyAlignment="1" applyProtection="1">
      <alignment vertical="center"/>
    </xf>
    <xf numFmtId="0" fontId="16" fillId="0" borderId="26" xfId="0" applyFont="1" applyFill="1" applyBorder="1" applyProtection="1"/>
    <xf numFmtId="0" fontId="16" fillId="0" borderId="25" xfId="0" applyFont="1" applyFill="1" applyBorder="1" applyAlignment="1" applyProtection="1">
      <alignment vertical="center"/>
    </xf>
    <xf numFmtId="0" fontId="48" fillId="0" borderId="0" xfId="0" applyFont="1" applyFill="1" applyAlignment="1" applyProtection="1">
      <alignment horizontal="right"/>
    </xf>
    <xf numFmtId="0" fontId="16" fillId="0" borderId="27" xfId="0" applyFont="1" applyFill="1" applyBorder="1" applyAlignment="1" applyProtection="1">
      <alignment vertical="center"/>
    </xf>
    <xf numFmtId="0" fontId="16" fillId="0" borderId="28" xfId="0" applyFont="1" applyFill="1" applyBorder="1" applyAlignment="1" applyProtection="1">
      <alignment vertical="center"/>
    </xf>
    <xf numFmtId="0" fontId="16" fillId="0" borderId="28" xfId="0" applyFont="1" applyFill="1" applyBorder="1" applyProtection="1"/>
    <xf numFmtId="0" fontId="16" fillId="0" borderId="29" xfId="0" applyFont="1" applyFill="1" applyBorder="1" applyProtection="1"/>
    <xf numFmtId="0" fontId="16" fillId="0" borderId="22" xfId="0" applyFont="1" applyFill="1" applyBorder="1" applyProtection="1"/>
    <xf numFmtId="0" fontId="16" fillId="0" borderId="23" xfId="0" applyFont="1" applyFill="1" applyBorder="1" applyProtection="1"/>
    <xf numFmtId="0" fontId="16" fillId="0" borderId="23" xfId="0" applyFont="1" applyFill="1" applyBorder="1" applyAlignment="1" applyProtection="1">
      <alignment horizontal="center"/>
    </xf>
    <xf numFmtId="166" fontId="16" fillId="0" borderId="23" xfId="0" applyNumberFormat="1" applyFont="1" applyFill="1" applyBorder="1" applyProtection="1"/>
    <xf numFmtId="9" fontId="16" fillId="0" borderId="23" xfId="0" applyNumberFormat="1" applyFont="1" applyFill="1" applyBorder="1" applyAlignment="1" applyProtection="1">
      <alignment horizontal="center"/>
    </xf>
    <xf numFmtId="166" fontId="16" fillId="0" borderId="23" xfId="0" applyNumberFormat="1" applyFont="1" applyFill="1" applyBorder="1" applyAlignment="1" applyProtection="1">
      <alignment horizontal="center"/>
    </xf>
    <xf numFmtId="3" fontId="16" fillId="0" borderId="23" xfId="0" applyNumberFormat="1" applyFont="1" applyFill="1" applyBorder="1" applyProtection="1"/>
    <xf numFmtId="0" fontId="16" fillId="0" borderId="24" xfId="0" applyFont="1" applyFill="1" applyBorder="1" applyProtection="1"/>
    <xf numFmtId="0" fontId="16" fillId="0" borderId="25"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25"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26" xfId="0" applyNumberFormat="1" applyFont="1" applyFill="1" applyBorder="1" applyProtection="1"/>
    <xf numFmtId="166" fontId="17" fillId="0" borderId="26" xfId="0" applyNumberFormat="1" applyFont="1" applyFill="1" applyBorder="1" applyProtection="1"/>
    <xf numFmtId="3" fontId="17" fillId="0" borderId="25" xfId="0" applyNumberFormat="1" applyFont="1" applyFill="1" applyBorder="1" applyProtection="1"/>
    <xf numFmtId="166" fontId="17" fillId="0" borderId="95"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26"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18" xfId="0" applyFont="1" applyFill="1" applyBorder="1" applyAlignment="1" applyProtection="1">
      <alignment horizontal="center" vertical="center"/>
    </xf>
    <xf numFmtId="0" fontId="43" fillId="8" borderId="158" xfId="0" applyFont="1" applyFill="1" applyBorder="1" applyAlignment="1" applyProtection="1">
      <alignment horizontal="center"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17" xfId="0" applyFont="1" applyFill="1" applyBorder="1" applyAlignment="1" applyProtection="1">
      <alignment horizontal="center" vertical="center" wrapText="1"/>
    </xf>
    <xf numFmtId="6" fontId="41" fillId="8" borderId="1"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2"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17" xfId="0" applyFont="1" applyFill="1" applyBorder="1" applyAlignment="1" applyProtection="1">
      <alignment horizontal="center" vertical="center"/>
    </xf>
    <xf numFmtId="6" fontId="43" fillId="8" borderId="2" xfId="0" applyNumberFormat="1" applyFont="1" applyFill="1" applyBorder="1" applyAlignment="1" applyProtection="1">
      <alignment vertical="center"/>
    </xf>
    <xf numFmtId="0" fontId="41" fillId="0" borderId="132" xfId="0" applyFont="1" applyFill="1" applyBorder="1" applyAlignment="1" applyProtection="1">
      <alignment horizontal="left" vertical="center"/>
    </xf>
    <xf numFmtId="0" fontId="41" fillId="0" borderId="133" xfId="0" applyFont="1" applyFill="1" applyBorder="1" applyAlignment="1" applyProtection="1">
      <alignment vertical="center"/>
    </xf>
    <xf numFmtId="0" fontId="41" fillId="0" borderId="13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31" xfId="0" applyFont="1" applyFill="1" applyBorder="1" applyAlignment="1" applyProtection="1">
      <alignment vertical="center"/>
    </xf>
    <xf numFmtId="0" fontId="41" fillId="0" borderId="130"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31"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56"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34" xfId="0" applyFont="1" applyFill="1" applyBorder="1" applyAlignment="1" applyProtection="1">
      <alignment vertical="center"/>
    </xf>
    <xf numFmtId="0" fontId="43" fillId="0" borderId="134"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56" xfId="0" applyFont="1" applyFill="1" applyBorder="1" applyAlignment="1" applyProtection="1">
      <alignment vertical="center"/>
    </xf>
    <xf numFmtId="0" fontId="45" fillId="0" borderId="134"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159" xfId="0" applyFont="1" applyFill="1" applyBorder="1" applyAlignment="1" applyProtection="1">
      <alignment horizontal="left" vertical="center" indent="1"/>
    </xf>
    <xf numFmtId="0" fontId="43" fillId="0" borderId="159" xfId="0" applyFont="1" applyFill="1" applyBorder="1" applyAlignment="1" applyProtection="1">
      <alignment vertical="center"/>
    </xf>
    <xf numFmtId="0" fontId="54" fillId="0" borderId="130" xfId="0" applyFont="1" applyFill="1" applyBorder="1" applyAlignment="1" applyProtection="1">
      <alignment vertical="center"/>
    </xf>
    <xf numFmtId="0" fontId="41" fillId="0" borderId="160" xfId="0" applyFont="1" applyFill="1" applyBorder="1" applyAlignment="1" applyProtection="1">
      <alignment horizontal="left" vertical="center" indent="1"/>
    </xf>
    <xf numFmtId="0" fontId="43" fillId="0" borderId="160" xfId="0" applyFont="1" applyFill="1" applyBorder="1" applyAlignment="1" applyProtection="1">
      <alignment vertical="center"/>
    </xf>
    <xf numFmtId="0" fontId="41" fillId="0" borderId="160" xfId="0" applyFont="1" applyFill="1" applyBorder="1" applyAlignment="1" applyProtection="1">
      <alignment vertical="center"/>
    </xf>
    <xf numFmtId="0" fontId="65" fillId="0" borderId="130" xfId="0" applyFont="1" applyFill="1" applyBorder="1" applyAlignment="1" applyProtection="1">
      <alignment vertical="center"/>
    </xf>
    <xf numFmtId="0" fontId="43" fillId="0" borderId="5" xfId="0" applyFont="1" applyFill="1" applyBorder="1" applyAlignment="1" applyProtection="1">
      <alignment vertical="center"/>
    </xf>
    <xf numFmtId="0" fontId="41" fillId="0" borderId="156" xfId="0" applyFont="1" applyFill="1" applyBorder="1" applyAlignment="1" applyProtection="1">
      <alignment horizontal="left" vertical="center"/>
    </xf>
    <xf numFmtId="0" fontId="43" fillId="0" borderId="156" xfId="0" applyFont="1" applyFill="1" applyBorder="1" applyAlignment="1" applyProtection="1">
      <alignment vertical="center"/>
    </xf>
    <xf numFmtId="0" fontId="41" fillId="0" borderId="5"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34"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2" xfId="0" applyFont="1" applyFill="1" applyBorder="1" applyAlignment="1" applyProtection="1">
      <alignment vertical="center" wrapText="1"/>
    </xf>
    <xf numFmtId="0" fontId="41" fillId="20" borderId="1"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2" xfId="0" applyFont="1" applyFill="1" applyBorder="1" applyProtection="1"/>
    <xf numFmtId="0" fontId="16" fillId="5" borderId="170" xfId="0" applyFont="1" applyFill="1" applyBorder="1" applyAlignment="1" applyProtection="1">
      <alignment horizontal="center" vertical="center" wrapText="1"/>
      <protection locked="0"/>
    </xf>
    <xf numFmtId="0" fontId="16" fillId="5" borderId="171" xfId="0" applyFont="1" applyFill="1" applyBorder="1" applyAlignment="1" applyProtection="1">
      <alignment horizontal="center" vertical="center" wrapText="1"/>
      <protection locked="0"/>
    </xf>
    <xf numFmtId="0" fontId="50" fillId="0" borderId="132"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133" xfId="0" applyFont="1" applyBorder="1" applyAlignment="1" applyProtection="1">
      <alignment wrapText="1"/>
    </xf>
    <xf numFmtId="0" fontId="50" fillId="0" borderId="130" xfId="0" applyFont="1" applyFill="1" applyBorder="1" applyAlignment="1" applyProtection="1">
      <alignment horizontal="left" wrapText="1"/>
    </xf>
    <xf numFmtId="0" fontId="16" fillId="0" borderId="131" xfId="0" applyFont="1" applyBorder="1" applyAlignment="1" applyProtection="1">
      <alignment wrapText="1"/>
    </xf>
    <xf numFmtId="0" fontId="41" fillId="0" borderId="130" xfId="0" applyFont="1" applyFill="1" applyBorder="1" applyAlignment="1" applyProtection="1">
      <alignment horizontal="left" wrapText="1"/>
    </xf>
    <xf numFmtId="0" fontId="41" fillId="0" borderId="0" xfId="0" applyFont="1" applyAlignment="1" applyProtection="1">
      <alignment wrapText="1"/>
    </xf>
    <xf numFmtId="0" fontId="41" fillId="0" borderId="131"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30" xfId="0" applyFont="1" applyFill="1" applyBorder="1" applyAlignment="1" applyProtection="1">
      <alignment wrapText="1"/>
    </xf>
    <xf numFmtId="0" fontId="68" fillId="0" borderId="130" xfId="0" applyFont="1" applyFill="1" applyBorder="1" applyAlignment="1" applyProtection="1">
      <alignment wrapText="1"/>
    </xf>
    <xf numFmtId="0" fontId="53" fillId="0" borderId="130" xfId="0" applyFont="1" applyFill="1" applyBorder="1" applyAlignment="1" applyProtection="1">
      <alignment wrapText="1"/>
    </xf>
    <xf numFmtId="0" fontId="69" fillId="0" borderId="131" xfId="0" applyFont="1" applyFill="1" applyBorder="1" applyAlignment="1" applyProtection="1">
      <alignment horizontal="left" vertical="center" wrapText="1"/>
    </xf>
    <xf numFmtId="0" fontId="20" fillId="0" borderId="0" xfId="0" applyFont="1" applyBorder="1" applyAlignment="1" applyProtection="1"/>
    <xf numFmtId="0" fontId="18" fillId="0" borderId="5" xfId="0" applyFont="1" applyFill="1" applyBorder="1" applyAlignment="1" applyProtection="1"/>
    <xf numFmtId="0" fontId="44" fillId="6" borderId="42" xfId="0" applyFont="1" applyFill="1" applyBorder="1" applyAlignment="1" applyProtection="1">
      <alignment vertical="center"/>
    </xf>
    <xf numFmtId="0" fontId="44" fillId="6" borderId="43" xfId="0" applyFont="1" applyFill="1" applyBorder="1" applyAlignment="1" applyProtection="1">
      <alignment vertical="center"/>
    </xf>
    <xf numFmtId="0" fontId="20" fillId="0" borderId="0" xfId="0" applyFont="1" applyBorder="1" applyAlignment="1" applyProtection="1">
      <alignment wrapText="1"/>
    </xf>
    <xf numFmtId="0" fontId="16" fillId="0" borderId="130"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64" xfId="0" applyBorder="1"/>
    <xf numFmtId="1" fontId="5" fillId="2" borderId="186" xfId="0" applyNumberFormat="1" applyFont="1" applyFill="1" applyBorder="1" applyAlignment="1" applyProtection="1">
      <alignment vertical="center"/>
    </xf>
    <xf numFmtId="0" fontId="16" fillId="0" borderId="1" xfId="0" applyFont="1" applyFill="1" applyBorder="1" applyAlignment="1" applyProtection="1">
      <alignment wrapText="1"/>
    </xf>
    <xf numFmtId="0" fontId="16" fillId="0" borderId="1" xfId="0" applyFont="1" applyFill="1" applyBorder="1" applyProtection="1"/>
    <xf numFmtId="0" fontId="16" fillId="0" borderId="1" xfId="0" applyFont="1" applyFill="1" applyBorder="1" applyAlignment="1" applyProtection="1"/>
    <xf numFmtId="0" fontId="16" fillId="0" borderId="7" xfId="0" applyFont="1" applyFill="1" applyBorder="1" applyProtection="1"/>
    <xf numFmtId="0" fontId="16" fillId="0" borderId="21" xfId="0" applyFont="1" applyFill="1" applyBorder="1" applyAlignment="1" applyProtection="1">
      <alignment horizontal="left"/>
      <protection locked="0"/>
    </xf>
    <xf numFmtId="0" fontId="16" fillId="0" borderId="78" xfId="0" applyFont="1" applyFill="1" applyBorder="1" applyProtection="1"/>
    <xf numFmtId="0" fontId="20" fillId="0" borderId="0" xfId="0" applyFont="1" applyFill="1" applyBorder="1" applyProtection="1"/>
    <xf numFmtId="0" fontId="41" fillId="0" borderId="1" xfId="0" applyFont="1" applyFill="1" applyBorder="1" applyProtection="1"/>
    <xf numFmtId="9" fontId="23" fillId="17" borderId="102"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188" xfId="0" applyFont="1" applyFill="1" applyBorder="1" applyAlignment="1" applyProtection="1">
      <alignment horizontal="center"/>
    </xf>
    <xf numFmtId="5" fontId="41" fillId="16" borderId="4"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158" xfId="0" applyNumberFormat="1" applyFont="1" applyFill="1" applyBorder="1" applyAlignment="1" applyProtection="1">
      <alignment vertical="center"/>
    </xf>
    <xf numFmtId="0" fontId="16" fillId="0" borderId="184" xfId="0" applyFont="1" applyFill="1" applyBorder="1" applyProtection="1"/>
    <xf numFmtId="0" fontId="16" fillId="0" borderId="185" xfId="0" applyFont="1" applyFill="1" applyBorder="1" applyProtection="1"/>
    <xf numFmtId="0" fontId="54" fillId="0" borderId="21" xfId="0" applyFont="1" applyBorder="1" applyProtection="1"/>
    <xf numFmtId="166" fontId="43" fillId="6" borderId="192" xfId="0" applyNumberFormat="1" applyFont="1" applyFill="1" applyBorder="1" applyAlignment="1" applyProtection="1">
      <alignment horizontal="center" wrapText="1"/>
    </xf>
    <xf numFmtId="166" fontId="43" fillId="6" borderId="193" xfId="0" applyNumberFormat="1" applyFont="1" applyFill="1" applyBorder="1" applyAlignment="1" applyProtection="1">
      <alignment horizontal="center" wrapText="1"/>
    </xf>
    <xf numFmtId="0" fontId="16" fillId="0" borderId="80" xfId="0" applyFont="1" applyBorder="1" applyProtection="1"/>
    <xf numFmtId="0" fontId="16" fillId="0" borderId="81" xfId="0" applyFont="1" applyBorder="1" applyProtection="1"/>
    <xf numFmtId="0" fontId="16" fillId="0" borderId="83"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5" xfId="0" applyFont="1" applyFill="1" applyBorder="1" applyProtection="1"/>
    <xf numFmtId="0" fontId="16" fillId="0" borderId="12"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51" xfId="0" applyFont="1" applyBorder="1" applyAlignment="1" applyProtection="1"/>
    <xf numFmtId="0" fontId="20" fillId="0" borderId="51"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18"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48" fillId="0" borderId="0" xfId="0" applyFont="1" applyFill="1" applyBorder="1" applyAlignment="1" applyProtection="1">
      <alignment vertical="top" wrapText="1"/>
    </xf>
    <xf numFmtId="0" fontId="16" fillId="9" borderId="73"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0" fillId="0" borderId="0" xfId="0" applyProtection="1">
      <protection locked="0"/>
    </xf>
    <xf numFmtId="0" fontId="0" fillId="0" borderId="0" xfId="0" applyFont="1" applyFill="1" applyProtection="1">
      <protection locked="0"/>
    </xf>
    <xf numFmtId="0" fontId="16" fillId="0" borderId="82" xfId="0" applyFont="1" applyBorder="1" applyProtection="1"/>
    <xf numFmtId="0" fontId="16" fillId="0" borderId="84" xfId="0" applyFont="1" applyBorder="1" applyProtection="1"/>
    <xf numFmtId="0" fontId="0" fillId="0" borderId="0" xfId="0" applyFont="1" applyProtection="1">
      <protection locked="0"/>
    </xf>
    <xf numFmtId="0" fontId="3" fillId="0" borderId="80" xfId="0" applyFont="1" applyBorder="1" applyProtection="1"/>
    <xf numFmtId="0" fontId="3" fillId="0" borderId="81" xfId="0" applyFont="1" applyBorder="1" applyProtection="1"/>
    <xf numFmtId="0" fontId="3" fillId="0" borderId="81" xfId="0" applyFont="1" applyFill="1" applyBorder="1" applyProtection="1"/>
    <xf numFmtId="0" fontId="3" fillId="0" borderId="82" xfId="0" applyFont="1" applyBorder="1" applyProtection="1"/>
    <xf numFmtId="0" fontId="3" fillId="0" borderId="83" xfId="0" applyFont="1" applyBorder="1" applyProtection="1"/>
    <xf numFmtId="0" fontId="3" fillId="0" borderId="84"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58" xfId="0" applyFont="1" applyFill="1" applyBorder="1" applyAlignment="1" applyProtection="1">
      <alignment horizontal="center"/>
    </xf>
    <xf numFmtId="0" fontId="3" fillId="6" borderId="91" xfId="0" applyFont="1" applyFill="1" applyBorder="1" applyAlignment="1" applyProtection="1">
      <alignment horizontal="center"/>
    </xf>
    <xf numFmtId="0" fontId="3" fillId="6" borderId="92" xfId="0" applyFont="1" applyFill="1" applyBorder="1" applyAlignment="1" applyProtection="1">
      <alignment horizontal="center"/>
    </xf>
    <xf numFmtId="0" fontId="5" fillId="6" borderId="73" xfId="0" applyFont="1" applyFill="1" applyBorder="1" applyAlignment="1" applyProtection="1">
      <alignment horizontal="center"/>
    </xf>
    <xf numFmtId="0" fontId="3" fillId="0" borderId="78" xfId="0" applyFont="1" applyBorder="1" applyProtection="1"/>
    <xf numFmtId="0" fontId="3" fillId="0" borderId="79" xfId="0" applyFont="1" applyBorder="1" applyProtection="1"/>
    <xf numFmtId="0" fontId="0" fillId="0" borderId="0" xfId="0" applyFill="1" applyProtection="1">
      <protection locked="0"/>
    </xf>
    <xf numFmtId="0" fontId="3" fillId="0" borderId="23" xfId="0" applyFont="1" applyBorder="1" applyAlignment="1" applyProtection="1">
      <alignment vertical="center"/>
    </xf>
    <xf numFmtId="0" fontId="3" fillId="0" borderId="24"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25" xfId="0" applyFont="1" applyBorder="1" applyAlignment="1" applyProtection="1">
      <alignment vertical="center"/>
    </xf>
    <xf numFmtId="0" fontId="20" fillId="16" borderId="60" xfId="0" applyFont="1" applyFill="1" applyBorder="1" applyAlignment="1" applyProtection="1">
      <alignment vertical="center"/>
    </xf>
    <xf numFmtId="0" fontId="3" fillId="0" borderId="28" xfId="0" applyFont="1" applyBorder="1" applyAlignment="1" applyProtection="1">
      <alignment vertical="center"/>
    </xf>
    <xf numFmtId="0" fontId="16" fillId="0" borderId="0" xfId="0" applyFont="1" applyFill="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0" fontId="3" fillId="0" borderId="35"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36" xfId="0" applyFont="1" applyBorder="1" applyProtection="1"/>
    <xf numFmtId="0" fontId="3" fillId="0" borderId="37" xfId="0" applyFont="1" applyBorder="1" applyProtection="1"/>
    <xf numFmtId="0" fontId="3" fillId="0" borderId="38" xfId="0" applyFont="1" applyBorder="1" applyProtection="1"/>
    <xf numFmtId="0" fontId="3" fillId="6" borderId="73" xfId="0" applyFont="1" applyFill="1" applyBorder="1" applyProtection="1"/>
    <xf numFmtId="0" fontId="3" fillId="0" borderId="22" xfId="0" applyFont="1" applyFill="1" applyBorder="1" applyAlignment="1" applyProtection="1"/>
    <xf numFmtId="0" fontId="3" fillId="0" borderId="23" xfId="0" applyFont="1" applyFill="1" applyBorder="1" applyAlignment="1" applyProtection="1"/>
    <xf numFmtId="0" fontId="3" fillId="0" borderId="24" xfId="0" applyFont="1" applyFill="1" applyBorder="1" applyAlignment="1" applyProtection="1"/>
    <xf numFmtId="0" fontId="3" fillId="0" borderId="25" xfId="0" applyFont="1" applyFill="1" applyBorder="1" applyAlignment="1" applyProtection="1"/>
    <xf numFmtId="0" fontId="3" fillId="0" borderId="26" xfId="0" applyFont="1" applyFill="1" applyBorder="1" applyAlignment="1" applyProtection="1"/>
    <xf numFmtId="0" fontId="17" fillId="16" borderId="174" xfId="0" applyFont="1" applyFill="1" applyBorder="1" applyAlignment="1" applyProtection="1">
      <alignment vertical="center"/>
    </xf>
    <xf numFmtId="0" fontId="5" fillId="16" borderId="7" xfId="0" applyFont="1" applyFill="1" applyBorder="1" applyAlignment="1" applyProtection="1"/>
    <xf numFmtId="0" fontId="5" fillId="16" borderId="187"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27" xfId="0" applyFont="1" applyFill="1" applyBorder="1" applyAlignment="1" applyProtection="1"/>
    <xf numFmtId="0" fontId="3" fillId="3" borderId="28" xfId="0" applyFont="1" applyFill="1" applyBorder="1" applyAlignment="1" applyProtection="1"/>
    <xf numFmtId="0" fontId="3" fillId="0" borderId="29" xfId="0" applyFont="1" applyFill="1" applyBorder="1" applyAlignment="1" applyProtection="1"/>
    <xf numFmtId="0" fontId="8" fillId="0" borderId="0" xfId="0" applyFont="1" applyFill="1" applyBorder="1" applyAlignment="1" applyProtection="1">
      <alignment horizontal="left" vertical="center"/>
    </xf>
    <xf numFmtId="0" fontId="25" fillId="0" borderId="80" xfId="0" applyFont="1" applyFill="1" applyBorder="1" applyProtection="1"/>
    <xf numFmtId="0" fontId="25" fillId="0" borderId="81" xfId="0" applyFont="1" applyFill="1" applyBorder="1" applyProtection="1"/>
    <xf numFmtId="0" fontId="25" fillId="0" borderId="83" xfId="0" applyFont="1" applyFill="1" applyBorder="1" applyProtection="1"/>
    <xf numFmtId="0" fontId="25" fillId="0" borderId="83" xfId="0" applyFont="1" applyBorder="1" applyProtection="1"/>
    <xf numFmtId="0" fontId="3" fillId="0" borderId="0" xfId="0" applyFont="1" applyProtection="1"/>
    <xf numFmtId="0" fontId="25" fillId="0" borderId="84" xfId="0" applyFont="1" applyFill="1" applyBorder="1" applyProtection="1"/>
    <xf numFmtId="5" fontId="27" fillId="16" borderId="42" xfId="0" applyNumberFormat="1" applyFont="1" applyFill="1" applyBorder="1" applyAlignment="1" applyProtection="1">
      <alignment vertical="center" wrapText="1"/>
    </xf>
    <xf numFmtId="0" fontId="25" fillId="15" borderId="0" xfId="0" applyFont="1" applyFill="1" applyBorder="1" applyProtection="1"/>
    <xf numFmtId="5" fontId="27" fillId="16" borderId="52" xfId="0" applyNumberFormat="1" applyFont="1" applyFill="1" applyBorder="1" applyAlignment="1" applyProtection="1">
      <alignment vertical="center" wrapText="1"/>
    </xf>
    <xf numFmtId="5" fontId="27" fillId="0" borderId="0" xfId="0" applyNumberFormat="1" applyFont="1" applyFill="1" applyBorder="1" applyAlignment="1" applyProtection="1">
      <alignment horizontal="center" vertical="center" wrapText="1"/>
    </xf>
    <xf numFmtId="42" fontId="23" fillId="15" borderId="0" xfId="0" applyNumberFormat="1" applyFont="1" applyFill="1" applyBorder="1" applyProtection="1"/>
    <xf numFmtId="42" fontId="23" fillId="15" borderId="59" xfId="0" applyNumberFormat="1" applyFont="1" applyFill="1" applyBorder="1" applyProtection="1"/>
    <xf numFmtId="42" fontId="23" fillId="12" borderId="46" xfId="0" applyNumberFormat="1" applyFont="1" applyFill="1" applyBorder="1" applyAlignment="1" applyProtection="1">
      <alignment vertical="center"/>
    </xf>
    <xf numFmtId="0" fontId="25" fillId="0" borderId="77" xfId="0" applyFont="1" applyFill="1" applyBorder="1" applyProtection="1"/>
    <xf numFmtId="0" fontId="3" fillId="0" borderId="115" xfId="0" applyFont="1" applyBorder="1" applyProtection="1"/>
    <xf numFmtId="0" fontId="25" fillId="0" borderId="115" xfId="0" applyFont="1" applyBorder="1" applyProtection="1"/>
    <xf numFmtId="42" fontId="35" fillId="0" borderId="115" xfId="0" applyNumberFormat="1" applyFont="1" applyFill="1" applyBorder="1" applyAlignment="1" applyProtection="1">
      <alignment horizontal="center" vertical="center"/>
    </xf>
    <xf numFmtId="42" fontId="23" fillId="15" borderId="115" xfId="0" applyNumberFormat="1" applyFont="1" applyFill="1" applyBorder="1" applyProtection="1"/>
    <xf numFmtId="0" fontId="3" fillId="0" borderId="158" xfId="0" applyFont="1" applyBorder="1" applyProtection="1"/>
    <xf numFmtId="0" fontId="25" fillId="0" borderId="158" xfId="0" applyFont="1" applyBorder="1" applyProtection="1"/>
    <xf numFmtId="42" fontId="35" fillId="0" borderId="158" xfId="0" applyNumberFormat="1" applyFont="1" applyFill="1" applyBorder="1" applyAlignment="1" applyProtection="1">
      <alignment horizontal="center" vertical="center"/>
    </xf>
    <xf numFmtId="42" fontId="23" fillId="15" borderId="158" xfId="0" applyNumberFormat="1" applyFont="1" applyFill="1" applyBorder="1" applyProtection="1"/>
    <xf numFmtId="0" fontId="25" fillId="0" borderId="78" xfId="0" applyFont="1" applyBorder="1" applyProtection="1"/>
    <xf numFmtId="42" fontId="23" fillId="15" borderId="78" xfId="0" applyNumberFormat="1" applyFont="1" applyFill="1" applyBorder="1" applyProtection="1"/>
    <xf numFmtId="42" fontId="23" fillId="0" borderId="0" xfId="0" applyNumberFormat="1" applyFont="1" applyFill="1" applyBorder="1" applyProtection="1"/>
    <xf numFmtId="0" fontId="25" fillId="0" borderId="78" xfId="0" applyFont="1" applyFill="1" applyBorder="1" applyProtection="1"/>
    <xf numFmtId="166" fontId="37" fillId="0" borderId="78" xfId="0" applyNumberFormat="1" applyFont="1" applyFill="1" applyBorder="1" applyAlignment="1" applyProtection="1"/>
    <xf numFmtId="0" fontId="3" fillId="0" borderId="79" xfId="0" applyFont="1" applyFill="1" applyBorder="1" applyProtection="1"/>
    <xf numFmtId="44" fontId="0" fillId="0" borderId="0" xfId="0" applyNumberFormat="1" applyProtection="1">
      <protection locked="0"/>
    </xf>
    <xf numFmtId="0" fontId="12" fillId="0" borderId="22" xfId="0" applyFont="1" applyBorder="1" applyProtection="1"/>
    <xf numFmtId="0" fontId="12" fillId="0" borderId="23" xfId="0" applyFont="1" applyBorder="1" applyProtection="1"/>
    <xf numFmtId="0" fontId="12" fillId="0" borderId="24" xfId="0" applyFont="1" applyBorder="1" applyProtection="1"/>
    <xf numFmtId="0" fontId="12" fillId="0" borderId="25" xfId="0" applyFont="1" applyBorder="1" applyProtection="1"/>
    <xf numFmtId="0" fontId="12" fillId="0" borderId="26"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25" xfId="0" applyFont="1" applyFill="1" applyBorder="1" applyProtection="1"/>
    <xf numFmtId="0" fontId="12" fillId="0" borderId="0" xfId="0" applyFont="1" applyFill="1" applyBorder="1" applyProtection="1"/>
    <xf numFmtId="0" fontId="12" fillId="0" borderId="0" xfId="0" applyFont="1" applyProtection="1"/>
    <xf numFmtId="0" fontId="12" fillId="0" borderId="27" xfId="0" applyFont="1" applyFill="1" applyBorder="1" applyProtection="1"/>
    <xf numFmtId="0" fontId="12" fillId="0" borderId="28" xfId="0" applyFont="1" applyBorder="1" applyProtection="1"/>
    <xf numFmtId="0" fontId="12" fillId="0" borderId="29" xfId="0" applyFont="1" applyBorder="1" applyProtection="1"/>
    <xf numFmtId="0" fontId="12" fillId="0" borderId="26" xfId="0" applyFont="1" applyBorder="1" applyAlignment="1" applyProtection="1"/>
    <xf numFmtId="0" fontId="12" fillId="0" borderId="26" xfId="0" applyFont="1" applyFill="1" applyBorder="1" applyProtection="1"/>
    <xf numFmtId="0" fontId="12" fillId="0" borderId="0" xfId="0" applyFont="1" applyFill="1" applyProtection="1"/>
    <xf numFmtId="5" fontId="9" fillId="0" borderId="28" xfId="0" applyNumberFormat="1" applyFont="1" applyFill="1" applyBorder="1" applyAlignment="1" applyProtection="1">
      <alignment vertical="center"/>
    </xf>
    <xf numFmtId="0" fontId="3" fillId="0" borderId="22" xfId="0" applyFont="1" applyBorder="1" applyProtection="1"/>
    <xf numFmtId="0" fontId="3" fillId="0" borderId="23" xfId="0" applyFont="1" applyBorder="1" applyProtection="1"/>
    <xf numFmtId="0" fontId="3" fillId="0" borderId="24" xfId="0" applyFont="1" applyBorder="1" applyProtection="1"/>
    <xf numFmtId="0" fontId="3" fillId="0" borderId="25" xfId="0" applyFont="1" applyBorder="1" applyProtection="1"/>
    <xf numFmtId="0" fontId="3" fillId="0" borderId="26" xfId="0" applyFont="1" applyBorder="1" applyProtection="1"/>
    <xf numFmtId="3" fontId="25" fillId="0" borderId="2"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27" xfId="0" applyFont="1" applyFill="1" applyBorder="1" applyProtection="1"/>
    <xf numFmtId="0" fontId="3" fillId="0" borderId="29" xfId="0" applyFont="1" applyBorder="1" applyProtection="1"/>
    <xf numFmtId="0" fontId="3" fillId="0" borderId="27" xfId="0" applyFont="1" applyBorder="1" applyProtection="1"/>
    <xf numFmtId="0" fontId="3" fillId="0" borderId="28" xfId="0" applyFont="1" applyBorder="1" applyProtection="1"/>
    <xf numFmtId="0" fontId="53" fillId="0" borderId="31" xfId="0" applyFont="1" applyBorder="1" applyProtection="1"/>
    <xf numFmtId="0" fontId="53" fillId="0" borderId="32" xfId="0" applyFont="1" applyBorder="1" applyProtection="1"/>
    <xf numFmtId="0" fontId="53" fillId="0" borderId="32" xfId="0" applyFont="1" applyFill="1" applyBorder="1" applyAlignment="1" applyProtection="1">
      <alignment wrapText="1"/>
    </xf>
    <xf numFmtId="0" fontId="53" fillId="0" borderId="33" xfId="0" applyFont="1" applyFill="1" applyBorder="1" applyAlignment="1" applyProtection="1">
      <alignment wrapText="1"/>
    </xf>
    <xf numFmtId="0" fontId="53" fillId="0" borderId="34" xfId="0" applyFont="1" applyBorder="1" applyProtection="1"/>
    <xf numFmtId="0" fontId="53" fillId="0" borderId="35"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35" xfId="0" applyFont="1" applyBorder="1" applyAlignment="1" applyProtection="1"/>
    <xf numFmtId="0" fontId="54" fillId="0" borderId="35" xfId="0" applyFont="1" applyBorder="1" applyProtection="1"/>
    <xf numFmtId="0" fontId="0" fillId="0" borderId="0" xfId="0" applyFont="1" applyProtection="1"/>
    <xf numFmtId="0" fontId="0" fillId="0" borderId="21" xfId="0" applyFont="1" applyBorder="1" applyProtection="1"/>
    <xf numFmtId="0" fontId="0" fillId="0" borderId="5" xfId="0" applyFont="1" applyBorder="1" applyProtection="1"/>
    <xf numFmtId="0" fontId="53" fillId="0" borderId="36" xfId="0" applyFont="1" applyBorder="1" applyProtection="1"/>
    <xf numFmtId="0" fontId="53" fillId="0" borderId="37" xfId="0" applyFont="1" applyBorder="1" applyProtection="1"/>
    <xf numFmtId="0" fontId="54" fillId="0" borderId="38" xfId="0" applyFont="1" applyBorder="1" applyProtection="1"/>
    <xf numFmtId="0" fontId="3" fillId="0" borderId="106" xfId="0" applyFont="1" applyFill="1" applyBorder="1" applyProtection="1">
      <protection locked="0"/>
    </xf>
    <xf numFmtId="0" fontId="3" fillId="0" borderId="89" xfId="0" applyFont="1" applyFill="1" applyBorder="1" applyProtection="1">
      <protection locked="0"/>
    </xf>
    <xf numFmtId="0" fontId="3" fillId="0" borderId="80" xfId="0" applyFont="1" applyFill="1" applyBorder="1" applyProtection="1"/>
    <xf numFmtId="0" fontId="3" fillId="0" borderId="82" xfId="0" applyFont="1" applyFill="1" applyBorder="1" applyProtection="1"/>
    <xf numFmtId="0" fontId="3" fillId="0" borderId="83" xfId="0" applyFont="1" applyFill="1" applyBorder="1" applyProtection="1"/>
    <xf numFmtId="0" fontId="3" fillId="0" borderId="84" xfId="0" applyFont="1" applyFill="1" applyBorder="1" applyProtection="1"/>
    <xf numFmtId="0" fontId="28" fillId="0" borderId="0" xfId="0" applyFont="1" applyFill="1" applyBorder="1" applyProtection="1"/>
    <xf numFmtId="0" fontId="3" fillId="5" borderId="83" xfId="0" applyFont="1" applyFill="1" applyBorder="1" applyProtection="1"/>
    <xf numFmtId="0" fontId="22" fillId="0" borderId="0" xfId="0" applyFont="1" applyFill="1" applyBorder="1" applyProtection="1"/>
    <xf numFmtId="0" fontId="3" fillId="0" borderId="77" xfId="0" applyFont="1" applyFill="1" applyBorder="1" applyProtection="1"/>
    <xf numFmtId="0" fontId="3" fillId="0" borderId="78" xfId="0" applyFont="1" applyFill="1" applyBorder="1" applyProtection="1"/>
    <xf numFmtId="0" fontId="22" fillId="0" borderId="78" xfId="0" applyFont="1" applyFill="1" applyBorder="1" applyProtection="1"/>
    <xf numFmtId="0" fontId="49" fillId="0" borderId="0" xfId="0" applyFont="1" applyFill="1" applyProtection="1">
      <protection locked="0"/>
    </xf>
    <xf numFmtId="0" fontId="16" fillId="0" borderId="22" xfId="0" applyFont="1" applyFill="1" applyBorder="1" applyAlignment="1" applyProtection="1"/>
    <xf numFmtId="0" fontId="16" fillId="0" borderId="23" xfId="0" applyFont="1" applyFill="1" applyBorder="1" applyAlignment="1" applyProtection="1"/>
    <xf numFmtId="0" fontId="16" fillId="0" borderId="23" xfId="0" applyFont="1" applyFill="1" applyBorder="1" applyAlignment="1" applyProtection="1">
      <alignment horizontal="left"/>
    </xf>
    <xf numFmtId="0" fontId="16" fillId="0" borderId="24" xfId="0" applyFont="1" applyFill="1" applyBorder="1" applyAlignment="1" applyProtection="1"/>
    <xf numFmtId="0" fontId="16" fillId="0" borderId="25" xfId="0" applyFont="1" applyFill="1" applyBorder="1" applyAlignment="1" applyProtection="1"/>
    <xf numFmtId="0" fontId="16" fillId="0" borderId="26" xfId="0" applyFont="1" applyFill="1" applyBorder="1" applyAlignment="1" applyProtection="1"/>
    <xf numFmtId="0" fontId="15" fillId="0" borderId="26" xfId="0" applyFont="1" applyFill="1" applyBorder="1" applyAlignment="1" applyProtection="1"/>
    <xf numFmtId="0" fontId="20" fillId="0" borderId="25" xfId="0" applyFont="1" applyFill="1" applyBorder="1" applyAlignment="1" applyProtection="1">
      <alignment horizontal="center"/>
    </xf>
    <xf numFmtId="0" fontId="43" fillId="0" borderId="0" xfId="0" applyFont="1" applyFill="1" applyBorder="1" applyAlignment="1" applyProtection="1">
      <alignment horizontal="center"/>
    </xf>
    <xf numFmtId="0" fontId="43" fillId="0" borderId="26" xfId="0" applyFont="1" applyFill="1" applyBorder="1" applyAlignment="1" applyProtection="1">
      <alignment horizontal="center"/>
    </xf>
    <xf numFmtId="0" fontId="16" fillId="0" borderId="0" xfId="0" applyFont="1" applyFill="1" applyProtection="1"/>
    <xf numFmtId="0" fontId="20" fillId="0" borderId="0" xfId="0" applyFont="1" applyFill="1" applyBorder="1" applyAlignment="1" applyProtection="1"/>
    <xf numFmtId="0" fontId="43" fillId="0" borderId="26"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166" fontId="62" fillId="0" borderId="0" xfId="0" applyNumberFormat="1" applyFont="1" applyFill="1" applyBorder="1" applyAlignment="1" applyProtection="1"/>
    <xf numFmtId="5" fontId="19" fillId="0" borderId="27" xfId="0" applyNumberFormat="1" applyFont="1" applyFill="1" applyBorder="1" applyAlignment="1" applyProtection="1"/>
    <xf numFmtId="5" fontId="16" fillId="0" borderId="28" xfId="0" applyNumberFormat="1" applyFont="1" applyFill="1" applyBorder="1" applyAlignment="1" applyProtection="1"/>
    <xf numFmtId="0" fontId="16" fillId="0" borderId="28" xfId="0" applyFont="1" applyFill="1" applyBorder="1" applyAlignment="1" applyProtection="1"/>
    <xf numFmtId="5" fontId="16" fillId="0" borderId="28" xfId="0" applyNumberFormat="1" applyFont="1" applyFill="1" applyBorder="1" applyAlignment="1" applyProtection="1">
      <alignment horizontal="left"/>
    </xf>
    <xf numFmtId="164" fontId="16" fillId="0" borderId="28" xfId="0" applyNumberFormat="1" applyFont="1" applyFill="1" applyBorder="1" applyAlignment="1" applyProtection="1">
      <alignment horizontal="left"/>
    </xf>
    <xf numFmtId="5" fontId="41" fillId="0" borderId="28" xfId="0" applyNumberFormat="1" applyFont="1" applyFill="1" applyBorder="1" applyAlignment="1" applyProtection="1"/>
    <xf numFmtId="5" fontId="41" fillId="0" borderId="29" xfId="0" applyNumberFormat="1" applyFont="1" applyFill="1" applyBorder="1" applyAlignment="1" applyProtection="1"/>
    <xf numFmtId="0" fontId="14" fillId="0" borderId="80" xfId="0" applyFont="1" applyFill="1" applyBorder="1" applyAlignment="1" applyProtection="1">
      <alignment horizontal="left"/>
    </xf>
    <xf numFmtId="0" fontId="14" fillId="0" borderId="83" xfId="0" applyFont="1" applyFill="1" applyBorder="1" applyAlignment="1" applyProtection="1">
      <alignment horizontal="left"/>
    </xf>
    <xf numFmtId="0" fontId="3" fillId="0" borderId="83" xfId="0" applyFont="1" applyFill="1" applyBorder="1" applyAlignment="1" applyProtection="1"/>
    <xf numFmtId="0" fontId="16" fillId="0" borderId="0" xfId="0" applyNumberFormat="1" applyFont="1" applyBorder="1" applyProtection="1"/>
    <xf numFmtId="5" fontId="45" fillId="0" borderId="54" xfId="0" applyNumberFormat="1" applyFont="1" applyFill="1" applyBorder="1" applyProtection="1"/>
    <xf numFmtId="0" fontId="36" fillId="0" borderId="83" xfId="0" applyFont="1" applyFill="1" applyBorder="1" applyAlignment="1" applyProtection="1"/>
    <xf numFmtId="5" fontId="16" fillId="0" borderId="0" xfId="0" applyNumberFormat="1" applyFont="1" applyBorder="1" applyProtection="1"/>
    <xf numFmtId="0" fontId="3" fillId="0" borderId="77" xfId="0" applyFont="1" applyFill="1" applyBorder="1" applyAlignment="1" applyProtection="1"/>
    <xf numFmtId="0" fontId="21" fillId="0" borderId="80" xfId="0" applyFont="1" applyFill="1" applyBorder="1" applyAlignment="1" applyProtection="1">
      <alignment horizontal="left"/>
    </xf>
    <xf numFmtId="0" fontId="16" fillId="0" borderId="81" xfId="0" applyFont="1" applyFill="1" applyBorder="1" applyAlignment="1" applyProtection="1"/>
    <xf numFmtId="0" fontId="16" fillId="0" borderId="97" xfId="0" applyFont="1" applyFill="1" applyBorder="1" applyAlignment="1" applyProtection="1"/>
    <xf numFmtId="0" fontId="21" fillId="0" borderId="83"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192" xfId="0" applyFont="1" applyFill="1" applyBorder="1" applyAlignment="1" applyProtection="1">
      <alignment wrapText="1"/>
    </xf>
    <xf numFmtId="166" fontId="16" fillId="16" borderId="192" xfId="0" applyNumberFormat="1" applyFont="1" applyFill="1" applyBorder="1" applyAlignment="1" applyProtection="1">
      <alignment wrapText="1"/>
    </xf>
    <xf numFmtId="9" fontId="16" fillId="16" borderId="192" xfId="0" applyNumberFormat="1" applyFont="1" applyFill="1" applyBorder="1" applyAlignment="1" applyProtection="1">
      <alignment wrapText="1"/>
    </xf>
    <xf numFmtId="166" fontId="16" fillId="16" borderId="193" xfId="0" applyNumberFormat="1" applyFont="1" applyFill="1" applyBorder="1" applyAlignment="1" applyProtection="1">
      <alignment wrapText="1"/>
    </xf>
    <xf numFmtId="0" fontId="16" fillId="0" borderId="27" xfId="0" applyFont="1" applyFill="1" applyBorder="1" applyProtection="1"/>
    <xf numFmtId="0" fontId="43" fillId="6" borderId="102" xfId="0" applyNumberFormat="1" applyFont="1" applyFill="1" applyBorder="1" applyAlignment="1" applyProtection="1">
      <alignment horizontal="center" vertical="center" wrapText="1"/>
    </xf>
    <xf numFmtId="0" fontId="43" fillId="6" borderId="194" xfId="0" applyNumberFormat="1" applyFont="1" applyFill="1" applyBorder="1" applyAlignment="1" applyProtection="1">
      <alignment horizontal="center" vertical="center" wrapText="1"/>
    </xf>
    <xf numFmtId="0" fontId="16" fillId="0" borderId="28" xfId="0" applyFont="1" applyFill="1" applyBorder="1" applyAlignment="1" applyProtection="1">
      <alignment horizontal="center"/>
    </xf>
    <xf numFmtId="166" fontId="16" fillId="0" borderId="28" xfId="0" applyNumberFormat="1" applyFont="1" applyFill="1" applyBorder="1" applyProtection="1"/>
    <xf numFmtId="9" fontId="16" fillId="0" borderId="28" xfId="0" applyNumberFormat="1" applyFont="1" applyFill="1" applyBorder="1" applyAlignment="1" applyProtection="1">
      <alignment horizontal="center"/>
    </xf>
    <xf numFmtId="166" fontId="16" fillId="0" borderId="28" xfId="0" applyNumberFormat="1" applyFont="1" applyFill="1" applyBorder="1" applyAlignment="1" applyProtection="1">
      <alignment horizontal="center"/>
    </xf>
    <xf numFmtId="3" fontId="16" fillId="0" borderId="28" xfId="0" applyNumberFormat="1" applyFont="1" applyFill="1" applyBorder="1" applyProtection="1"/>
    <xf numFmtId="0" fontId="16" fillId="0" borderId="156" xfId="0" applyFont="1" applyFill="1" applyBorder="1" applyProtection="1"/>
    <xf numFmtId="0" fontId="16" fillId="0" borderId="157" xfId="0" applyFont="1" applyFill="1" applyBorder="1" applyProtection="1"/>
    <xf numFmtId="9" fontId="16" fillId="0" borderId="0" xfId="0" applyNumberFormat="1" applyFont="1" applyFill="1" applyBorder="1" applyProtection="1"/>
    <xf numFmtId="0" fontId="16" fillId="0" borderId="134" xfId="0" applyFont="1" applyFill="1" applyBorder="1" applyProtection="1"/>
    <xf numFmtId="9" fontId="16" fillId="0" borderId="134" xfId="0" applyNumberFormat="1" applyFont="1" applyFill="1" applyBorder="1" applyProtection="1"/>
    <xf numFmtId="0" fontId="16" fillId="0" borderId="165" xfId="0" applyFont="1" applyFill="1" applyBorder="1" applyProtection="1"/>
    <xf numFmtId="165" fontId="41" fillId="0" borderId="134"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77" xfId="0" applyFont="1" applyFill="1" applyBorder="1" applyProtection="1"/>
    <xf numFmtId="0" fontId="16" fillId="0" borderId="79" xfId="0" applyFont="1" applyFill="1" applyBorder="1" applyProtection="1"/>
    <xf numFmtId="0" fontId="16" fillId="0" borderId="132" xfId="0" applyFont="1" applyFill="1" applyBorder="1" applyAlignment="1" applyProtection="1"/>
    <xf numFmtId="0" fontId="20" fillId="0" borderId="133" xfId="0" applyFont="1" applyBorder="1" applyProtection="1"/>
    <xf numFmtId="0" fontId="16" fillId="0" borderId="130" xfId="0" applyFont="1" applyFill="1" applyBorder="1" applyAlignment="1" applyProtection="1"/>
    <xf numFmtId="0" fontId="20" fillId="0" borderId="131"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31" xfId="0" applyFont="1" applyFill="1" applyBorder="1" applyProtection="1"/>
    <xf numFmtId="0" fontId="19" fillId="0" borderId="0" xfId="0" applyFont="1" applyFill="1" applyBorder="1" applyProtection="1"/>
    <xf numFmtId="0" fontId="16" fillId="0" borderId="80" xfId="0" applyFont="1" applyFill="1" applyBorder="1" applyProtection="1"/>
    <xf numFmtId="0" fontId="16" fillId="0" borderId="81" xfId="0" applyFont="1" applyFill="1" applyBorder="1" applyProtection="1"/>
    <xf numFmtId="0" fontId="16" fillId="0" borderId="82" xfId="0" applyFont="1" applyFill="1" applyBorder="1" applyProtection="1"/>
    <xf numFmtId="0" fontId="16" fillId="0" borderId="83" xfId="0" applyFont="1" applyFill="1" applyBorder="1" applyProtection="1"/>
    <xf numFmtId="0" fontId="16" fillId="0" borderId="84" xfId="0" applyFont="1" applyFill="1" applyBorder="1" applyProtection="1"/>
    <xf numFmtId="0" fontId="16" fillId="0" borderId="83" xfId="0" applyFont="1" applyFill="1" applyBorder="1" applyAlignment="1" applyProtection="1"/>
    <xf numFmtId="5" fontId="23" fillId="0" borderId="84" xfId="0" applyNumberFormat="1" applyFont="1" applyFill="1" applyBorder="1" applyAlignment="1" applyProtection="1"/>
    <xf numFmtId="0" fontId="16" fillId="3" borderId="83" xfId="0" applyFont="1" applyFill="1" applyBorder="1" applyProtection="1"/>
    <xf numFmtId="0" fontId="16" fillId="3" borderId="84"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9"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23" xfId="0" applyFont="1" applyFill="1" applyBorder="1" applyAlignment="1" applyProtection="1">
      <alignment vertical="center"/>
    </xf>
    <xf numFmtId="0" fontId="3" fillId="0" borderId="23" xfId="0" applyFont="1" applyFill="1" applyBorder="1" applyProtection="1"/>
    <xf numFmtId="0" fontId="3" fillId="0" borderId="24" xfId="0" applyFont="1" applyFill="1" applyBorder="1" applyAlignment="1" applyProtection="1">
      <alignment vertical="center"/>
    </xf>
    <xf numFmtId="0" fontId="3" fillId="0" borderId="26" xfId="0" applyFont="1" applyFill="1" applyBorder="1" applyAlignment="1" applyProtection="1">
      <alignment vertical="center"/>
    </xf>
    <xf numFmtId="0" fontId="7" fillId="16" borderId="182" xfId="0" applyFont="1" applyFill="1" applyBorder="1" applyAlignment="1" applyProtection="1">
      <alignment horizontal="center" vertical="center" wrapText="1"/>
    </xf>
    <xf numFmtId="0" fontId="7" fillId="16" borderId="179" xfId="0" applyFont="1" applyFill="1" applyBorder="1" applyAlignment="1" applyProtection="1">
      <alignment horizontal="center" vertical="center" wrapText="1"/>
    </xf>
    <xf numFmtId="0" fontId="9" fillId="16" borderId="179" xfId="0" applyFont="1" applyFill="1" applyBorder="1" applyAlignment="1" applyProtection="1">
      <alignment horizontal="center" vertical="center" wrapText="1"/>
    </xf>
    <xf numFmtId="0" fontId="7" fillId="16" borderId="18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37" fontId="5" fillId="0" borderId="20" xfId="0" applyNumberFormat="1" applyFont="1" applyFill="1" applyBorder="1" applyAlignment="1" applyProtection="1">
      <alignment wrapText="1"/>
    </xf>
    <xf numFmtId="42" fontId="5" fillId="24" borderId="61" xfId="0" applyNumberFormat="1" applyFont="1" applyFill="1" applyBorder="1" applyAlignment="1" applyProtection="1">
      <alignment vertical="center"/>
    </xf>
    <xf numFmtId="42" fontId="5" fillId="24" borderId="184" xfId="0" applyNumberFormat="1" applyFont="1" applyFill="1" applyBorder="1" applyAlignment="1" applyProtection="1">
      <alignment vertical="center"/>
    </xf>
    <xf numFmtId="42" fontId="5" fillId="6" borderId="73"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3" fontId="20" fillId="27" borderId="10" xfId="0" applyNumberFormat="1" applyFont="1" applyFill="1" applyBorder="1" applyAlignment="1" applyProtection="1">
      <alignment vertical="center"/>
    </xf>
    <xf numFmtId="3" fontId="20" fillId="6" borderId="194" xfId="0" applyNumberFormat="1" applyFont="1" applyFill="1" applyBorder="1" applyAlignment="1" applyProtection="1">
      <alignment vertical="center"/>
    </xf>
    <xf numFmtId="3" fontId="20" fillId="6" borderId="10" xfId="0" applyNumberFormat="1" applyFont="1" applyFill="1" applyBorder="1" applyAlignment="1" applyProtection="1">
      <alignment vertical="center"/>
    </xf>
    <xf numFmtId="0" fontId="54" fillId="0" borderId="189" xfId="0" applyFont="1" applyFill="1" applyBorder="1" applyAlignment="1" applyProtection="1">
      <alignment horizontal="center"/>
      <protection locked="0"/>
    </xf>
    <xf numFmtId="6" fontId="54" fillId="0" borderId="189" xfId="0" applyNumberFormat="1" applyFont="1" applyFill="1" applyBorder="1" applyAlignment="1" applyProtection="1">
      <alignment horizontal="center"/>
      <protection locked="0"/>
    </xf>
    <xf numFmtId="44" fontId="16" fillId="6" borderId="127" xfId="0" applyNumberFormat="1" applyFont="1" applyFill="1" applyBorder="1" applyProtection="1"/>
    <xf numFmtId="0" fontId="16" fillId="0" borderId="128" xfId="0" applyFont="1" applyFill="1" applyBorder="1" applyProtection="1">
      <protection locked="0"/>
    </xf>
    <xf numFmtId="44" fontId="16" fillId="6" borderId="102" xfId="0" applyNumberFormat="1" applyFont="1" applyFill="1" applyBorder="1" applyProtection="1"/>
    <xf numFmtId="44" fontId="16" fillId="6" borderId="60" xfId="0" applyNumberFormat="1" applyFont="1" applyFill="1" applyBorder="1" applyProtection="1"/>
    <xf numFmtId="0" fontId="16" fillId="0" borderId="16" xfId="0" applyFont="1" applyFill="1" applyBorder="1" applyProtection="1">
      <protection locked="0"/>
    </xf>
    <xf numFmtId="44" fontId="16" fillId="6" borderId="50" xfId="0" applyNumberFormat="1" applyFont="1" applyFill="1" applyBorder="1" applyProtection="1"/>
    <xf numFmtId="0" fontId="15" fillId="6" borderId="125" xfId="0" applyFont="1" applyFill="1" applyBorder="1" applyAlignment="1" applyProtection="1">
      <alignment horizontal="center"/>
    </xf>
    <xf numFmtId="0" fontId="15" fillId="6" borderId="116" xfId="0" applyFont="1" applyFill="1" applyBorder="1" applyAlignment="1" applyProtection="1">
      <alignment horizontal="center"/>
    </xf>
    <xf numFmtId="0" fontId="16" fillId="0" borderId="129" xfId="0" applyFont="1" applyFill="1" applyBorder="1" applyProtection="1">
      <protection locked="0"/>
    </xf>
    <xf numFmtId="0" fontId="23" fillId="0" borderId="0" xfId="0" applyFont="1" applyFill="1" applyBorder="1" applyProtection="1"/>
    <xf numFmtId="42" fontId="20" fillId="16" borderId="125" xfId="0" applyNumberFormat="1" applyFont="1" applyFill="1" applyBorder="1" applyAlignment="1" applyProtection="1">
      <alignment vertical="center"/>
    </xf>
    <xf numFmtId="0" fontId="20" fillId="16" borderId="7" xfId="0" applyFont="1" applyFill="1" applyBorder="1" applyAlignment="1" applyProtection="1">
      <alignment horizontal="center" wrapText="1"/>
    </xf>
    <xf numFmtId="166" fontId="43" fillId="16" borderId="118"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17" xfId="0" applyNumberFormat="1" applyFont="1" applyFill="1" applyBorder="1" applyAlignment="1" applyProtection="1">
      <alignment vertical="center"/>
      <protection locked="0"/>
    </xf>
    <xf numFmtId="165" fontId="41" fillId="0" borderId="166" xfId="0" applyNumberFormat="1" applyFont="1" applyFill="1" applyBorder="1" applyAlignment="1" applyProtection="1">
      <alignment vertical="center"/>
      <protection locked="0"/>
    </xf>
    <xf numFmtId="0" fontId="16" fillId="0" borderId="8" xfId="0" applyFont="1" applyFill="1" applyBorder="1" applyAlignment="1" applyProtection="1">
      <alignment textRotation="90" wrapText="1"/>
    </xf>
    <xf numFmtId="0" fontId="16" fillId="0" borderId="13" xfId="0" applyFont="1" applyFill="1" applyBorder="1" applyAlignment="1" applyProtection="1">
      <alignment horizontal="center" vertical="center" wrapText="1"/>
      <protection locked="0"/>
    </xf>
    <xf numFmtId="0" fontId="16" fillId="0" borderId="169" xfId="0" applyFont="1" applyFill="1" applyBorder="1" applyAlignment="1" applyProtection="1">
      <alignment horizontal="center" vertical="center" wrapText="1"/>
      <protection locked="0"/>
    </xf>
    <xf numFmtId="0" fontId="16" fillId="0" borderId="140" xfId="0" applyFont="1" applyFill="1" applyBorder="1" applyAlignment="1" applyProtection="1">
      <alignment horizontal="center" vertical="center" wrapText="1"/>
      <protection locked="0"/>
    </xf>
    <xf numFmtId="0" fontId="16" fillId="0" borderId="195" xfId="0" applyFont="1" applyFill="1" applyBorder="1" applyAlignment="1" applyProtection="1">
      <alignment vertical="top"/>
    </xf>
    <xf numFmtId="0" fontId="16" fillId="0" borderId="196" xfId="0" applyFont="1" applyFill="1" applyBorder="1" applyAlignment="1" applyProtection="1">
      <alignment vertical="top" wrapText="1"/>
    </xf>
    <xf numFmtId="0" fontId="16" fillId="0" borderId="63" xfId="0" applyFont="1" applyFill="1" applyBorder="1" applyAlignment="1" applyProtection="1">
      <alignment vertical="top"/>
    </xf>
    <xf numFmtId="0" fontId="16" fillId="0" borderId="197" xfId="0" applyFont="1" applyFill="1" applyBorder="1" applyAlignment="1" applyProtection="1">
      <alignment vertical="top" wrapText="1"/>
    </xf>
    <xf numFmtId="0" fontId="16" fillId="0" borderId="62" xfId="0" applyFont="1" applyFill="1" applyBorder="1" applyAlignment="1" applyProtection="1">
      <alignment vertical="top"/>
    </xf>
    <xf numFmtId="0" fontId="16" fillId="0" borderId="198" xfId="0" applyFont="1" applyFill="1" applyBorder="1" applyAlignment="1" applyProtection="1">
      <alignment vertical="top" wrapText="1"/>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 fontId="3" fillId="26" borderId="199" xfId="0" applyNumberFormat="1" applyFont="1" applyFill="1" applyBorder="1" applyAlignment="1" applyProtection="1">
      <alignment vertical="center" wrapText="1"/>
    </xf>
    <xf numFmtId="3" fontId="3" fillId="26" borderId="45" xfId="0" applyNumberFormat="1" applyFont="1" applyFill="1" applyBorder="1" applyAlignment="1" applyProtection="1">
      <alignment vertical="center" wrapText="1"/>
    </xf>
    <xf numFmtId="0" fontId="2" fillId="16" borderId="46" xfId="0" applyFont="1" applyFill="1" applyBorder="1" applyAlignment="1" applyProtection="1"/>
    <xf numFmtId="3" fontId="3" fillId="26" borderId="46" xfId="0" applyNumberFormat="1" applyFont="1" applyFill="1" applyBorder="1" applyAlignment="1" applyProtection="1">
      <alignment vertical="center" wrapText="1"/>
    </xf>
    <xf numFmtId="3" fontId="3" fillId="26" borderId="90" xfId="0" applyNumberFormat="1" applyFont="1" applyFill="1" applyBorder="1" applyAlignment="1" applyProtection="1">
      <alignment vertical="center" wrapText="1"/>
    </xf>
    <xf numFmtId="0" fontId="20" fillId="0" borderId="125" xfId="0" applyFont="1" applyFill="1" applyBorder="1" applyAlignment="1" applyProtection="1"/>
    <xf numFmtId="0" fontId="43" fillId="0" borderId="0" xfId="0" applyFont="1" applyFill="1" applyBorder="1" applyAlignment="1" applyProtection="1"/>
    <xf numFmtId="0" fontId="43" fillId="16" borderId="60" xfId="0" applyFont="1" applyFill="1" applyBorder="1" applyAlignment="1" applyProtection="1">
      <alignment vertical="center"/>
    </xf>
    <xf numFmtId="0" fontId="16" fillId="0" borderId="0" xfId="0" applyFont="1" applyFill="1" applyBorder="1" applyAlignment="1" applyProtection="1">
      <alignment wrapText="1"/>
    </xf>
    <xf numFmtId="0" fontId="16" fillId="0" borderId="200" xfId="0" applyFont="1" applyFill="1" applyBorder="1" applyProtection="1"/>
    <xf numFmtId="0" fontId="41" fillId="0" borderId="172" xfId="0" applyFont="1" applyFill="1" applyBorder="1" applyAlignment="1" applyProtection="1">
      <alignment vertical="center"/>
    </xf>
    <xf numFmtId="14" fontId="55" fillId="0" borderId="189" xfId="0" applyNumberFormat="1" applyFont="1" applyFill="1" applyBorder="1" applyAlignment="1" applyProtection="1">
      <alignment horizontal="left" vertical="center"/>
      <protection locked="0"/>
    </xf>
    <xf numFmtId="0" fontId="16" fillId="0" borderId="130" xfId="0" applyFont="1" applyFill="1" applyBorder="1" applyProtection="1"/>
    <xf numFmtId="0" fontId="43" fillId="16" borderId="192" xfId="0" applyFont="1" applyFill="1" applyBorder="1" applyAlignment="1" applyProtection="1">
      <alignment horizontal="center" vertical="center"/>
    </xf>
    <xf numFmtId="0" fontId="43" fillId="16" borderId="193" xfId="0" applyFont="1" applyFill="1" applyBorder="1" applyAlignment="1" applyProtection="1">
      <alignment horizontal="center" vertical="center"/>
    </xf>
    <xf numFmtId="0" fontId="38" fillId="0" borderId="184" xfId="0" applyFont="1" applyFill="1" applyBorder="1" applyAlignment="1" applyProtection="1">
      <alignment horizontal="center" vertical="center"/>
    </xf>
    <xf numFmtId="0" fontId="43" fillId="8" borderId="174" xfId="0" applyFont="1" applyFill="1" applyBorder="1" applyAlignment="1" applyProtection="1">
      <alignment horizontal="center" vertical="center"/>
    </xf>
    <xf numFmtId="0" fontId="43" fillId="8" borderId="177" xfId="0" applyFont="1" applyFill="1" applyBorder="1" applyAlignment="1" applyProtection="1">
      <alignment horizontal="center" vertical="center"/>
    </xf>
    <xf numFmtId="0" fontId="43" fillId="16" borderId="180" xfId="0" applyFont="1" applyFill="1" applyBorder="1" applyAlignment="1" applyProtection="1">
      <alignment horizontal="center" vertical="center"/>
    </xf>
    <xf numFmtId="14" fontId="55" fillId="6" borderId="189" xfId="0" applyNumberFormat="1" applyFont="1" applyFill="1" applyBorder="1" applyAlignment="1" applyProtection="1">
      <alignment horizontal="left" vertical="center"/>
    </xf>
    <xf numFmtId="0" fontId="16" fillId="0" borderId="131" xfId="0" applyFont="1" applyFill="1" applyBorder="1" applyProtection="1"/>
    <xf numFmtId="0" fontId="0" fillId="0" borderId="0" xfId="0" applyBorder="1"/>
    <xf numFmtId="0" fontId="20" fillId="16" borderId="192" xfId="0" applyFont="1" applyFill="1" applyBorder="1" applyAlignment="1" applyProtection="1">
      <alignment wrapText="1"/>
    </xf>
    <xf numFmtId="0" fontId="16" fillId="0" borderId="201" xfId="0" applyFont="1" applyFill="1" applyBorder="1" applyAlignment="1" applyProtection="1">
      <alignment vertical="center"/>
      <protection locked="0"/>
    </xf>
    <xf numFmtId="44" fontId="16" fillId="0" borderId="201" xfId="0" applyNumberFormat="1" applyFont="1" applyFill="1" applyBorder="1" applyAlignment="1" applyProtection="1">
      <alignment vertical="center"/>
      <protection locked="0"/>
    </xf>
    <xf numFmtId="44" fontId="16" fillId="0" borderId="202" xfId="0" applyNumberFormat="1" applyFont="1" applyFill="1" applyBorder="1" applyAlignment="1" applyProtection="1">
      <protection locked="0"/>
    </xf>
    <xf numFmtId="1" fontId="16" fillId="0" borderId="202" xfId="0" applyNumberFormat="1" applyFont="1" applyFill="1" applyBorder="1" applyAlignment="1" applyProtection="1">
      <protection locked="0"/>
    </xf>
    <xf numFmtId="0" fontId="16" fillId="0" borderId="202" xfId="0" applyFont="1" applyFill="1" applyBorder="1" applyAlignment="1" applyProtection="1">
      <protection locked="0"/>
    </xf>
    <xf numFmtId="0" fontId="16" fillId="0" borderId="206" xfId="0" applyFont="1" applyFill="1" applyBorder="1" applyAlignment="1" applyProtection="1">
      <alignment vertical="center"/>
      <protection locked="0"/>
    </xf>
    <xf numFmtId="44" fontId="16" fillId="0" borderId="206" xfId="0" applyNumberFormat="1" applyFont="1" applyFill="1" applyBorder="1" applyAlignment="1" applyProtection="1">
      <alignment vertical="center"/>
      <protection locked="0"/>
    </xf>
    <xf numFmtId="44" fontId="16" fillId="0" borderId="207" xfId="0" applyNumberFormat="1" applyFont="1" applyFill="1" applyBorder="1" applyAlignment="1" applyProtection="1">
      <protection locked="0"/>
    </xf>
    <xf numFmtId="1" fontId="16" fillId="0" borderId="207" xfId="0" applyNumberFormat="1" applyFont="1" applyFill="1" applyBorder="1" applyAlignment="1" applyProtection="1">
      <protection locked="0"/>
    </xf>
    <xf numFmtId="0" fontId="16" fillId="0" borderId="207" xfId="0" applyFont="1" applyFill="1" applyBorder="1" applyAlignment="1" applyProtection="1">
      <protection locked="0"/>
    </xf>
    <xf numFmtId="0" fontId="16" fillId="0" borderId="201" xfId="0" applyFont="1" applyFill="1" applyBorder="1" applyAlignment="1" applyProtection="1">
      <protection locked="0"/>
    </xf>
    <xf numFmtId="166" fontId="16" fillId="0" borderId="201" xfId="0" applyNumberFormat="1" applyFont="1" applyFill="1" applyBorder="1" applyAlignment="1" applyProtection="1">
      <protection locked="0"/>
    </xf>
    <xf numFmtId="0" fontId="16" fillId="0" borderId="221" xfId="0" applyFont="1" applyFill="1" applyBorder="1" applyAlignment="1" applyProtection="1">
      <protection locked="0"/>
    </xf>
    <xf numFmtId="0" fontId="16" fillId="0" borderId="223" xfId="0" applyFont="1" applyFill="1" applyBorder="1" applyAlignment="1" applyProtection="1">
      <protection locked="0"/>
    </xf>
    <xf numFmtId="0" fontId="16" fillId="0" borderId="225" xfId="0" applyFont="1" applyFill="1" applyBorder="1" applyAlignment="1" applyProtection="1">
      <protection locked="0"/>
    </xf>
    <xf numFmtId="0" fontId="16" fillId="0" borderId="206" xfId="0" applyFont="1" applyFill="1" applyBorder="1" applyAlignment="1" applyProtection="1">
      <protection locked="0"/>
    </xf>
    <xf numFmtId="166" fontId="16" fillId="0" borderId="206" xfId="0" applyNumberFormat="1" applyFont="1" applyFill="1" applyBorder="1" applyAlignment="1" applyProtection="1">
      <protection locked="0"/>
    </xf>
    <xf numFmtId="0" fontId="16" fillId="0" borderId="226" xfId="0" applyFont="1" applyFill="1" applyBorder="1" applyAlignment="1" applyProtection="1">
      <protection locked="0"/>
    </xf>
    <xf numFmtId="0" fontId="16" fillId="0" borderId="228" xfId="0" applyFont="1" applyFill="1" applyBorder="1" applyAlignment="1" applyProtection="1">
      <protection locked="0"/>
    </xf>
    <xf numFmtId="0" fontId="16" fillId="0" borderId="230" xfId="0" applyFont="1" applyFill="1" applyBorder="1" applyAlignment="1" applyProtection="1">
      <protection locked="0"/>
    </xf>
    <xf numFmtId="0" fontId="16" fillId="0" borderId="233" xfId="0" applyFont="1" applyFill="1" applyBorder="1" applyAlignment="1" applyProtection="1">
      <protection locked="0"/>
    </xf>
    <xf numFmtId="0" fontId="16" fillId="0" borderId="234" xfId="0" applyFont="1" applyFill="1" applyBorder="1" applyAlignment="1" applyProtection="1">
      <protection locked="0"/>
    </xf>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16" fillId="0" borderId="237" xfId="0" applyFont="1" applyFill="1" applyBorder="1" applyAlignment="1" applyProtection="1">
      <protection locked="0"/>
    </xf>
    <xf numFmtId="0" fontId="16" fillId="0" borderId="238" xfId="0" applyFont="1" applyFill="1" applyBorder="1" applyAlignment="1" applyProtection="1">
      <protection locked="0"/>
    </xf>
    <xf numFmtId="0" fontId="0" fillId="0" borderId="64" xfId="0" applyFill="1" applyBorder="1"/>
    <xf numFmtId="0" fontId="16" fillId="0" borderId="65" xfId="0" applyFont="1" applyFill="1" applyBorder="1" applyAlignment="1">
      <alignment vertical="center"/>
    </xf>
    <xf numFmtId="0" fontId="16" fillId="0" borderId="3" xfId="0" applyFont="1" applyFill="1" applyBorder="1" applyAlignment="1">
      <alignment vertical="center"/>
    </xf>
    <xf numFmtId="0" fontId="0" fillId="0" borderId="3" xfId="0" applyBorder="1"/>
    <xf numFmtId="0" fontId="0" fillId="0" borderId="65" xfId="0" applyBorder="1"/>
    <xf numFmtId="9" fontId="0" fillId="0" borderId="65" xfId="0" applyNumberFormat="1" applyBorder="1"/>
    <xf numFmtId="9" fontId="0" fillId="0" borderId="3" xfId="0" applyNumberFormat="1" applyBorder="1"/>
    <xf numFmtId="0" fontId="0" fillId="0" borderId="65" xfId="0" applyFill="1" applyBorder="1"/>
    <xf numFmtId="1" fontId="8" fillId="0" borderId="236" xfId="0" applyNumberFormat="1" applyFont="1" applyFill="1" applyBorder="1" applyAlignment="1" applyProtection="1">
      <protection locked="0"/>
    </xf>
    <xf numFmtId="42" fontId="8" fillId="0" borderId="236" xfId="0" applyNumberFormat="1" applyFont="1" applyFill="1" applyBorder="1" applyAlignment="1" applyProtection="1">
      <protection locked="0"/>
    </xf>
    <xf numFmtId="1" fontId="8" fillId="0" borderId="270" xfId="0" applyNumberFormat="1" applyFont="1" applyFill="1" applyBorder="1" applyAlignment="1" applyProtection="1">
      <protection locked="0"/>
    </xf>
    <xf numFmtId="165" fontId="16" fillId="0" borderId="0" xfId="0" applyNumberFormat="1" applyFont="1" applyFill="1" applyBorder="1" applyProtection="1"/>
    <xf numFmtId="0" fontId="16" fillId="0" borderId="54" xfId="0" applyFont="1" applyFill="1" applyBorder="1" applyProtection="1"/>
    <xf numFmtId="0" fontId="66" fillId="23" borderId="0" xfId="0" applyFont="1" applyFill="1" applyBorder="1" applyAlignment="1" applyProtection="1">
      <alignment vertical="center"/>
    </xf>
    <xf numFmtId="165" fontId="16" fillId="0" borderId="156" xfId="0" applyNumberFormat="1" applyFont="1" applyFill="1" applyBorder="1" applyProtection="1"/>
    <xf numFmtId="165" fontId="41" fillId="0" borderId="155" xfId="0" applyNumberFormat="1" applyFont="1" applyFill="1" applyBorder="1" applyAlignment="1" applyProtection="1">
      <alignment vertical="center"/>
    </xf>
    <xf numFmtId="165" fontId="41" fillId="0" borderId="156"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0" xfId="0" applyNumberFormat="1" applyFont="1" applyFill="1" applyBorder="1" applyAlignment="1" applyProtection="1">
      <alignment horizontal="right" vertical="center"/>
    </xf>
    <xf numFmtId="165" fontId="16" fillId="0" borderId="217" xfId="0" applyNumberFormat="1" applyFont="1" applyFill="1" applyBorder="1" applyProtection="1">
      <protection locked="0"/>
    </xf>
    <xf numFmtId="165" fontId="41" fillId="0" borderId="214" xfId="0" applyNumberFormat="1" applyFont="1" applyFill="1" applyBorder="1" applyAlignment="1" applyProtection="1">
      <alignment vertical="center"/>
      <protection locked="0"/>
    </xf>
    <xf numFmtId="165" fontId="41" fillId="0" borderId="330" xfId="0" applyNumberFormat="1" applyFont="1" applyFill="1" applyBorder="1" applyAlignment="1" applyProtection="1">
      <alignment vertical="center"/>
      <protection locked="0"/>
    </xf>
    <xf numFmtId="165" fontId="16" fillId="0" borderId="330" xfId="0" applyNumberFormat="1" applyFont="1" applyFill="1" applyBorder="1" applyProtection="1">
      <protection locked="0"/>
    </xf>
    <xf numFmtId="165" fontId="16" fillId="0" borderId="336" xfId="0" applyNumberFormat="1" applyFont="1" applyFill="1" applyBorder="1" applyProtection="1">
      <protection locked="0"/>
    </xf>
    <xf numFmtId="0" fontId="16" fillId="0" borderId="337" xfId="0" applyFont="1" applyFill="1" applyBorder="1" applyAlignment="1" applyProtection="1">
      <alignment horizontal="center" wrapText="1"/>
      <protection locked="0"/>
    </xf>
    <xf numFmtId="9" fontId="16" fillId="0" borderId="337" xfId="0" applyNumberFormat="1" applyFont="1" applyFill="1" applyBorder="1" applyAlignment="1" applyProtection="1">
      <alignment horizontal="right" wrapText="1"/>
      <protection locked="0"/>
    </xf>
    <xf numFmtId="0" fontId="16" fillId="0" borderId="285" xfId="0" applyFont="1" applyFill="1" applyBorder="1" applyAlignment="1" applyProtection="1">
      <alignment horizontal="center"/>
      <protection locked="0"/>
    </xf>
    <xf numFmtId="9" fontId="16" fillId="0" borderId="285" xfId="0" applyNumberFormat="1" applyFont="1" applyFill="1" applyBorder="1" applyAlignment="1" applyProtection="1">
      <alignment horizontal="right" wrapText="1"/>
      <protection locked="0"/>
    </xf>
    <xf numFmtId="0" fontId="41" fillId="0" borderId="248" xfId="0" applyFont="1" applyFill="1" applyBorder="1" applyAlignment="1" applyProtection="1">
      <alignment wrapText="1"/>
      <protection locked="0"/>
    </xf>
    <xf numFmtId="0" fontId="41" fillId="0" borderId="247" xfId="0" applyFont="1" applyFill="1" applyBorder="1" applyAlignment="1" applyProtection="1">
      <alignment horizontal="left"/>
      <protection locked="0"/>
    </xf>
    <xf numFmtId="0" fontId="16" fillId="0" borderId="247" xfId="0" applyFont="1" applyFill="1" applyBorder="1" applyAlignment="1" applyProtection="1">
      <alignment horizontal="center"/>
      <protection locked="0"/>
    </xf>
    <xf numFmtId="0" fontId="16" fillId="0" borderId="248" xfId="0" applyFont="1" applyFill="1" applyBorder="1" applyAlignment="1" applyProtection="1">
      <alignment horizontal="center"/>
      <protection locked="0"/>
    </xf>
    <xf numFmtId="0" fontId="3" fillId="6" borderId="351" xfId="0" applyFont="1" applyFill="1" applyBorder="1" applyAlignment="1" applyProtection="1">
      <alignment horizontal="center"/>
    </xf>
    <xf numFmtId="0" fontId="41" fillId="0" borderId="236" xfId="0" applyFont="1" applyFill="1" applyBorder="1" applyAlignment="1" applyProtection="1">
      <alignment wrapText="1"/>
      <protection locked="0"/>
    </xf>
    <xf numFmtId="0" fontId="41" fillId="0" borderId="244" xfId="0" applyFont="1" applyFill="1" applyBorder="1" applyAlignment="1" applyProtection="1">
      <alignment horizontal="center"/>
      <protection locked="0"/>
    </xf>
    <xf numFmtId="0" fontId="16" fillId="0" borderId="244" xfId="0" applyFont="1" applyFill="1" applyBorder="1" applyAlignment="1" applyProtection="1">
      <alignment horizontal="center"/>
      <protection locked="0"/>
    </xf>
    <xf numFmtId="0" fontId="16" fillId="0" borderId="236" xfId="0" applyFont="1" applyFill="1" applyBorder="1" applyAlignment="1" applyProtection="1">
      <alignment horizontal="center"/>
      <protection locked="0"/>
    </xf>
    <xf numFmtId="0" fontId="3" fillId="6" borderId="347" xfId="0" applyFont="1" applyFill="1" applyBorder="1" applyAlignment="1" applyProtection="1">
      <alignment horizontal="center"/>
    </xf>
    <xf numFmtId="0" fontId="1" fillId="6" borderId="347" xfId="0" applyFont="1" applyFill="1" applyBorder="1" applyAlignment="1" applyProtection="1">
      <alignment horizontal="center"/>
    </xf>
    <xf numFmtId="0" fontId="42" fillId="0" borderId="244" xfId="0" applyFont="1" applyFill="1" applyBorder="1" applyAlignment="1" applyProtection="1">
      <alignment horizontal="center"/>
      <protection locked="0"/>
    </xf>
    <xf numFmtId="0" fontId="0" fillId="0" borderId="244" xfId="0" applyFont="1" applyFill="1" applyBorder="1" applyAlignment="1" applyProtection="1">
      <alignment horizontal="center"/>
      <protection locked="0"/>
    </xf>
    <xf numFmtId="0" fontId="0" fillId="0" borderId="236" xfId="0" applyFont="1" applyFill="1" applyBorder="1" applyAlignment="1" applyProtection="1">
      <alignment horizontal="center"/>
      <protection locked="0"/>
    </xf>
    <xf numFmtId="0" fontId="41" fillId="0" borderId="252" xfId="0" applyFont="1" applyFill="1" applyBorder="1" applyAlignment="1" applyProtection="1">
      <alignment wrapText="1"/>
      <protection locked="0"/>
    </xf>
    <xf numFmtId="0" fontId="42" fillId="0" borderId="251" xfId="0" applyFont="1" applyFill="1" applyBorder="1" applyAlignment="1" applyProtection="1">
      <alignment horizontal="center"/>
      <protection locked="0"/>
    </xf>
    <xf numFmtId="0" fontId="0" fillId="0" borderId="251" xfId="0" applyFont="1" applyFill="1" applyBorder="1" applyAlignment="1" applyProtection="1">
      <alignment horizontal="center"/>
      <protection locked="0"/>
    </xf>
    <xf numFmtId="0" fontId="1" fillId="6" borderId="355" xfId="0" applyFont="1" applyFill="1" applyBorder="1" applyAlignment="1" applyProtection="1">
      <alignment horizontal="center"/>
    </xf>
    <xf numFmtId="0" fontId="0" fillId="0" borderId="252" xfId="0" applyFont="1" applyFill="1" applyBorder="1" applyAlignment="1" applyProtection="1">
      <alignment horizontal="center"/>
      <protection locked="0"/>
    </xf>
    <xf numFmtId="3" fontId="17" fillId="0" borderId="276" xfId="0" applyNumberFormat="1" applyFont="1" applyFill="1" applyBorder="1" applyAlignment="1" applyProtection="1">
      <alignment vertical="center"/>
      <protection locked="0"/>
    </xf>
    <xf numFmtId="3" fontId="15" fillId="6" borderId="351" xfId="0" applyNumberFormat="1" applyFont="1" applyFill="1" applyBorder="1" applyAlignment="1" applyProtection="1">
      <alignment vertical="center"/>
    </xf>
    <xf numFmtId="3" fontId="15" fillId="27" borderId="356" xfId="0" applyNumberFormat="1" applyFont="1" applyFill="1" applyBorder="1" applyAlignment="1" applyProtection="1">
      <alignment vertical="center"/>
    </xf>
    <xf numFmtId="3" fontId="15" fillId="0" borderId="357" xfId="0" applyNumberFormat="1" applyFont="1" applyFill="1" applyBorder="1" applyAlignment="1" applyProtection="1">
      <alignment vertical="center"/>
      <protection locked="0"/>
    </xf>
    <xf numFmtId="3" fontId="15" fillId="0" borderId="248" xfId="0" applyNumberFormat="1" applyFont="1" applyFill="1" applyBorder="1" applyAlignment="1" applyProtection="1">
      <alignment vertical="center"/>
      <protection locked="0"/>
    </xf>
    <xf numFmtId="3" fontId="15" fillId="0" borderId="209" xfId="0" applyNumberFormat="1" applyFont="1" applyFill="1" applyBorder="1" applyAlignment="1" applyProtection="1">
      <alignment vertical="center" wrapText="1"/>
      <protection locked="0"/>
    </xf>
    <xf numFmtId="3" fontId="15" fillId="0" borderId="243" xfId="0" applyNumberFormat="1" applyFont="1" applyFill="1" applyBorder="1" applyAlignment="1" applyProtection="1">
      <alignment vertical="center" wrapText="1"/>
      <protection locked="0"/>
    </xf>
    <xf numFmtId="3" fontId="15" fillId="0" borderId="244" xfId="0" applyNumberFormat="1" applyFont="1" applyFill="1" applyBorder="1" applyAlignment="1" applyProtection="1">
      <alignment vertical="center" wrapText="1"/>
      <protection locked="0"/>
    </xf>
    <xf numFmtId="3" fontId="15" fillId="0" borderId="236" xfId="0" applyNumberFormat="1" applyFont="1" applyFill="1" applyBorder="1" applyAlignment="1" applyProtection="1">
      <alignment vertical="center" wrapText="1"/>
      <protection locked="0"/>
    </xf>
    <xf numFmtId="3" fontId="15" fillId="6" borderId="347" xfId="0" applyNumberFormat="1" applyFont="1" applyFill="1" applyBorder="1" applyAlignment="1" applyProtection="1">
      <alignment vertical="center" wrapText="1"/>
    </xf>
    <xf numFmtId="3" fontId="15" fillId="27" borderId="347" xfId="0" applyNumberFormat="1" applyFont="1" applyFill="1" applyBorder="1" applyAlignment="1" applyProtection="1">
      <alignment vertical="center" wrapText="1"/>
    </xf>
    <xf numFmtId="3" fontId="15" fillId="0" borderId="359" xfId="0" applyNumberFormat="1" applyFont="1" applyFill="1" applyBorder="1" applyAlignment="1" applyProtection="1">
      <alignment vertical="center"/>
      <protection locked="0"/>
    </xf>
    <xf numFmtId="3" fontId="15" fillId="0" borderId="236" xfId="0" applyNumberFormat="1" applyFont="1" applyFill="1" applyBorder="1" applyAlignment="1" applyProtection="1">
      <alignment vertical="center"/>
      <protection locked="0"/>
    </xf>
    <xf numFmtId="3" fontId="15" fillId="0" borderId="209" xfId="0" applyNumberFormat="1" applyFont="1" applyFill="1" applyBorder="1" applyAlignment="1" applyProtection="1">
      <alignment vertical="center"/>
      <protection locked="0"/>
    </xf>
    <xf numFmtId="3" fontId="15" fillId="0" borderId="243" xfId="0" applyNumberFormat="1" applyFont="1" applyFill="1" applyBorder="1" applyAlignment="1" applyProtection="1">
      <alignment vertical="center"/>
      <protection locked="0"/>
    </xf>
    <xf numFmtId="3" fontId="15" fillId="0" borderId="244" xfId="0" applyNumberFormat="1" applyFont="1" applyFill="1" applyBorder="1" applyAlignment="1" applyProtection="1">
      <alignment vertical="center"/>
      <protection locked="0"/>
    </xf>
    <xf numFmtId="3" fontId="15" fillId="27" borderId="355" xfId="0" applyNumberFormat="1" applyFont="1" applyFill="1" applyBorder="1" applyAlignment="1" applyProtection="1">
      <alignment vertical="center" wrapText="1"/>
    </xf>
    <xf numFmtId="3" fontId="15" fillId="0" borderId="213" xfId="0" applyNumberFormat="1" applyFont="1" applyFill="1" applyBorder="1" applyAlignment="1" applyProtection="1">
      <alignment vertical="center" wrapText="1"/>
      <protection locked="0"/>
    </xf>
    <xf numFmtId="3" fontId="15" fillId="0" borderId="250" xfId="0" applyNumberFormat="1" applyFont="1" applyFill="1" applyBorder="1" applyAlignment="1" applyProtection="1">
      <alignment vertical="center" wrapText="1"/>
      <protection locked="0"/>
    </xf>
    <xf numFmtId="3" fontId="15" fillId="0" borderId="251" xfId="0" applyNumberFormat="1" applyFont="1" applyFill="1" applyBorder="1" applyAlignment="1" applyProtection="1">
      <alignment vertical="center" wrapText="1"/>
      <protection locked="0"/>
    </xf>
    <xf numFmtId="3" fontId="15" fillId="0" borderId="252" xfId="0" applyNumberFormat="1" applyFont="1" applyFill="1" applyBorder="1" applyAlignment="1" applyProtection="1">
      <alignment vertical="center" wrapText="1"/>
      <protection locked="0"/>
    </xf>
    <xf numFmtId="3" fontId="15" fillId="6" borderId="355" xfId="0" applyNumberFormat="1" applyFont="1" applyFill="1" applyBorder="1" applyAlignment="1" applyProtection="1">
      <alignment vertical="center" wrapText="1"/>
    </xf>
    <xf numFmtId="3" fontId="15" fillId="0" borderId="361" xfId="0" applyNumberFormat="1" applyFont="1" applyFill="1" applyBorder="1" applyAlignment="1" applyProtection="1">
      <alignment vertical="center"/>
      <protection locked="0"/>
    </xf>
    <xf numFmtId="3" fontId="15" fillId="0" borderId="252" xfId="0" applyNumberFormat="1" applyFont="1" applyFill="1" applyBorder="1" applyAlignment="1" applyProtection="1">
      <alignment vertical="center"/>
      <protection locked="0"/>
    </xf>
    <xf numFmtId="3" fontId="20" fillId="6" borderId="362" xfId="0" applyNumberFormat="1" applyFont="1" applyFill="1" applyBorder="1" applyAlignment="1" applyProtection="1">
      <alignment vertical="center"/>
    </xf>
    <xf numFmtId="3" fontId="20" fillId="6" borderId="363" xfId="0" applyNumberFormat="1" applyFont="1" applyFill="1" applyBorder="1" applyAlignment="1" applyProtection="1">
      <alignment vertical="center"/>
    </xf>
    <xf numFmtId="3" fontId="20" fillId="6" borderId="364" xfId="0" applyNumberFormat="1" applyFont="1" applyFill="1" applyBorder="1" applyAlignment="1" applyProtection="1">
      <alignment vertical="center"/>
    </xf>
    <xf numFmtId="0" fontId="24" fillId="5" borderId="247" xfId="0" applyFont="1" applyFill="1" applyBorder="1" applyAlignment="1" applyProtection="1">
      <protection locked="0"/>
    </xf>
    <xf numFmtId="0" fontId="16" fillId="0" borderId="248" xfId="0" applyFont="1" applyBorder="1" applyAlignment="1" applyProtection="1">
      <protection locked="0"/>
    </xf>
    <xf numFmtId="44" fontId="3" fillId="3" borderId="365" xfId="0" applyNumberFormat="1" applyFont="1" applyFill="1" applyBorder="1" applyAlignment="1" applyProtection="1">
      <protection locked="0"/>
    </xf>
    <xf numFmtId="0" fontId="3" fillId="3" borderId="366" xfId="0" applyFont="1" applyFill="1" applyBorder="1" applyAlignment="1" applyProtection="1">
      <protection locked="0"/>
    </xf>
    <xf numFmtId="44" fontId="3" fillId="2" borderId="283" xfId="0" applyNumberFormat="1" applyFont="1" applyFill="1" applyBorder="1" applyAlignment="1" applyProtection="1"/>
    <xf numFmtId="0" fontId="16" fillId="3" borderId="206" xfId="0" applyFont="1" applyFill="1" applyBorder="1" applyAlignment="1" applyProtection="1"/>
    <xf numFmtId="44" fontId="3" fillId="3" borderId="206" xfId="0" applyNumberFormat="1" applyFont="1" applyFill="1" applyBorder="1" applyAlignment="1" applyProtection="1">
      <protection locked="0"/>
    </xf>
    <xf numFmtId="0" fontId="3" fillId="3" borderId="207" xfId="0" applyFont="1" applyFill="1" applyBorder="1" applyAlignment="1" applyProtection="1">
      <protection locked="0"/>
    </xf>
    <xf numFmtId="44" fontId="3" fillId="2" borderId="286" xfId="0" applyNumberFormat="1" applyFont="1" applyFill="1" applyBorder="1" applyAlignment="1" applyProtection="1"/>
    <xf numFmtId="0" fontId="3" fillId="3" borderId="367" xfId="0" applyFont="1" applyFill="1" applyBorder="1" applyAlignment="1" applyProtection="1">
      <protection locked="0"/>
    </xf>
    <xf numFmtId="44" fontId="3" fillId="2" borderId="368" xfId="0" applyNumberFormat="1" applyFont="1" applyFill="1" applyBorder="1" applyAlignment="1" applyProtection="1"/>
    <xf numFmtId="0" fontId="16" fillId="3" borderId="369" xfId="0" applyFont="1" applyFill="1" applyBorder="1" applyAlignment="1" applyProtection="1"/>
    <xf numFmtId="44" fontId="3" fillId="3" borderId="289" xfId="0" applyNumberFormat="1" applyFont="1" applyFill="1" applyBorder="1" applyAlignment="1" applyProtection="1">
      <protection locked="0"/>
    </xf>
    <xf numFmtId="0" fontId="3" fillId="0" borderId="241" xfId="0" applyFont="1" applyBorder="1" applyAlignment="1" applyProtection="1">
      <alignment vertical="center"/>
      <protection locked="0"/>
    </xf>
    <xf numFmtId="0" fontId="4" fillId="0" borderId="235" xfId="0" applyFont="1" applyBorder="1" applyAlignment="1" applyProtection="1">
      <alignment vertical="center" wrapText="1"/>
      <protection locked="0"/>
    </xf>
    <xf numFmtId="0" fontId="4" fillId="0" borderId="238" xfId="0" applyFont="1" applyBorder="1" applyAlignment="1" applyProtection="1">
      <alignment vertical="center" wrapText="1"/>
      <protection locked="0"/>
    </xf>
    <xf numFmtId="0" fontId="3" fillId="0" borderId="238" xfId="0" applyFont="1" applyBorder="1" applyAlignment="1" applyProtection="1">
      <alignment vertical="center"/>
      <protection locked="0"/>
    </xf>
    <xf numFmtId="14" fontId="3" fillId="0" borderId="244" xfId="0" applyNumberFormat="1" applyFont="1" applyBorder="1" applyAlignment="1" applyProtection="1">
      <alignment vertical="center"/>
      <protection locked="0"/>
    </xf>
    <xf numFmtId="0" fontId="3" fillId="0" borderId="238" xfId="0" applyFont="1" applyBorder="1" applyAlignment="1" applyProtection="1">
      <alignment vertical="center" wrapText="1"/>
      <protection locked="0"/>
    </xf>
    <xf numFmtId="0" fontId="3" fillId="0" borderId="244" xfId="0" applyFont="1" applyFill="1" applyBorder="1" applyAlignment="1" applyProtection="1">
      <alignment vertical="center"/>
      <protection locked="0"/>
    </xf>
    <xf numFmtId="0" fontId="3" fillId="0" borderId="238" xfId="0" applyFont="1" applyFill="1" applyBorder="1" applyAlignment="1" applyProtection="1">
      <alignment vertical="center"/>
      <protection locked="0"/>
    </xf>
    <xf numFmtId="0" fontId="3" fillId="0" borderId="238" xfId="0" applyFont="1" applyFill="1" applyBorder="1" applyAlignment="1" applyProtection="1">
      <alignment vertical="center" wrapText="1"/>
      <protection locked="0"/>
    </xf>
    <xf numFmtId="9" fontId="23" fillId="17" borderId="370" xfId="0" applyNumberFormat="1" applyFont="1" applyFill="1" applyBorder="1" applyAlignment="1" applyProtection="1">
      <alignment vertical="center"/>
    </xf>
    <xf numFmtId="42" fontId="23" fillId="6" borderId="340" xfId="0" applyNumberFormat="1" applyFont="1" applyFill="1" applyBorder="1" applyAlignment="1" applyProtection="1">
      <alignment vertical="center"/>
    </xf>
    <xf numFmtId="42" fontId="23" fillId="0" borderId="371" xfId="0" applyNumberFormat="1" applyFont="1" applyFill="1" applyBorder="1" applyAlignment="1" applyProtection="1">
      <alignment vertical="center"/>
      <protection locked="0"/>
    </xf>
    <xf numFmtId="42" fontId="23" fillId="0" borderId="202" xfId="0" applyNumberFormat="1" applyFont="1" applyFill="1" applyBorder="1" applyAlignment="1" applyProtection="1">
      <alignment vertical="center"/>
      <protection locked="0"/>
    </xf>
    <xf numFmtId="9" fontId="23" fillId="17" borderId="358" xfId="0" applyNumberFormat="1" applyFont="1" applyFill="1" applyBorder="1" applyAlignment="1" applyProtection="1">
      <alignment vertical="center"/>
    </xf>
    <xf numFmtId="42" fontId="23" fillId="6" borderId="342" xfId="0" applyNumberFormat="1" applyFont="1" applyFill="1" applyBorder="1" applyAlignment="1" applyProtection="1">
      <alignment vertical="center"/>
    </xf>
    <xf numFmtId="42" fontId="23" fillId="0" borderId="350" xfId="0" applyNumberFormat="1" applyFont="1" applyFill="1" applyBorder="1" applyAlignment="1" applyProtection="1">
      <alignment vertical="center"/>
      <protection locked="0"/>
    </xf>
    <xf numFmtId="42" fontId="23" fillId="0" borderId="207" xfId="0" applyNumberFormat="1" applyFont="1" applyFill="1" applyBorder="1" applyAlignment="1" applyProtection="1">
      <alignment vertical="center"/>
      <protection locked="0"/>
    </xf>
    <xf numFmtId="9" fontId="23" fillId="17" borderId="372" xfId="0" applyNumberFormat="1" applyFont="1" applyFill="1" applyBorder="1" applyAlignment="1" applyProtection="1">
      <alignment vertical="center"/>
    </xf>
    <xf numFmtId="42" fontId="23" fillId="6" borderId="373"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wrapText="1"/>
      <protection locked="0"/>
    </xf>
    <xf numFmtId="42" fontId="23" fillId="0" borderId="374" xfId="0" applyNumberFormat="1" applyFont="1" applyFill="1" applyBorder="1" applyAlignment="1" applyProtection="1">
      <alignment vertical="center" wrapText="1"/>
      <protection locked="0"/>
    </xf>
    <xf numFmtId="42" fontId="23" fillId="6" borderId="204" xfId="0" applyNumberFormat="1" applyFont="1" applyFill="1" applyBorder="1" applyAlignment="1" applyProtection="1">
      <alignment vertical="center"/>
    </xf>
    <xf numFmtId="42" fontId="23" fillId="0" borderId="235" xfId="0" applyNumberFormat="1" applyFont="1" applyFill="1" applyBorder="1" applyAlignment="1" applyProtection="1">
      <alignment vertical="center"/>
      <protection locked="0"/>
    </xf>
    <xf numFmtId="42" fontId="23" fillId="6" borderId="209" xfId="0" applyNumberFormat="1" applyFont="1" applyFill="1" applyBorder="1" applyAlignment="1" applyProtection="1">
      <alignment vertical="center"/>
    </xf>
    <xf numFmtId="42" fontId="23" fillId="0" borderId="238" xfId="0" applyNumberFormat="1" applyFont="1" applyFill="1" applyBorder="1" applyAlignment="1" applyProtection="1">
      <alignment vertical="center"/>
      <protection locked="0"/>
    </xf>
    <xf numFmtId="42" fontId="23" fillId="6" borderId="279" xfId="0" applyNumberFormat="1" applyFont="1" applyFill="1" applyBorder="1" applyAlignment="1" applyProtection="1">
      <alignment vertical="center" wrapText="1"/>
    </xf>
    <xf numFmtId="42" fontId="23" fillId="0" borderId="375" xfId="0" applyNumberFormat="1" applyFont="1" applyFill="1" applyBorder="1" applyAlignment="1" applyProtection="1">
      <alignment vertical="center" wrapText="1"/>
      <protection locked="0"/>
    </xf>
    <xf numFmtId="42" fontId="23" fillId="12" borderId="240" xfId="0" applyNumberFormat="1" applyFont="1" applyFill="1" applyBorder="1" applyAlignment="1" applyProtection="1">
      <alignment vertical="center"/>
    </xf>
    <xf numFmtId="42" fontId="23" fillId="0" borderId="233" xfId="0" applyNumberFormat="1" applyFont="1" applyFill="1" applyBorder="1" applyAlignment="1" applyProtection="1">
      <alignment vertical="center"/>
      <protection locked="0"/>
    </xf>
    <xf numFmtId="42" fontId="23" fillId="6" borderId="243" xfId="0" applyNumberFormat="1" applyFont="1" applyFill="1" applyBorder="1" applyAlignment="1" applyProtection="1">
      <alignment vertical="center"/>
    </xf>
    <xf numFmtId="42" fontId="23" fillId="0" borderId="236" xfId="0" applyNumberFormat="1" applyFont="1" applyFill="1" applyBorder="1" applyAlignment="1" applyProtection="1">
      <alignment vertical="center"/>
      <protection locked="0"/>
    </xf>
    <xf numFmtId="42" fontId="23" fillId="6" borderId="250"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0" borderId="354" xfId="0" applyNumberFormat="1" applyFont="1" applyFill="1" applyBorder="1" applyAlignment="1" applyProtection="1">
      <alignment vertical="center"/>
      <protection locked="0"/>
    </xf>
    <xf numFmtId="42" fontId="23" fillId="12" borderId="204" xfId="0" applyNumberFormat="1" applyFont="1" applyFill="1" applyBorder="1" applyAlignment="1" applyProtection="1">
      <alignment vertical="center"/>
    </xf>
    <xf numFmtId="42" fontId="23" fillId="6" borderId="279" xfId="0" applyNumberFormat="1" applyFont="1" applyFill="1" applyBorder="1" applyAlignment="1" applyProtection="1">
      <alignment vertical="center"/>
    </xf>
    <xf numFmtId="42" fontId="23" fillId="0" borderId="375" xfId="0" applyNumberFormat="1" applyFont="1" applyFill="1" applyBorder="1" applyAlignment="1" applyProtection="1">
      <alignment vertical="center"/>
      <protection locked="0"/>
    </xf>
    <xf numFmtId="42" fontId="23" fillId="0" borderId="350" xfId="0" applyNumberFormat="1" applyFont="1" applyFill="1" applyBorder="1" applyAlignment="1" applyProtection="1">
      <alignment vertical="center" wrapText="1"/>
      <protection locked="0"/>
    </xf>
    <xf numFmtId="42" fontId="23" fillId="0" borderId="236" xfId="0" applyNumberFormat="1" applyFont="1" applyFill="1" applyBorder="1" applyAlignment="1" applyProtection="1">
      <alignment vertical="center" wrapText="1"/>
      <protection locked="0"/>
    </xf>
    <xf numFmtId="42" fontId="23" fillId="0" borderId="354" xfId="0" applyNumberFormat="1" applyFont="1" applyFill="1" applyBorder="1" applyAlignment="1" applyProtection="1">
      <alignment vertical="center" wrapText="1"/>
      <protection locked="0"/>
    </xf>
    <xf numFmtId="42" fontId="23" fillId="0" borderId="238" xfId="0" applyNumberFormat="1" applyFont="1" applyFill="1" applyBorder="1" applyAlignment="1" applyProtection="1">
      <alignment vertical="center" wrapText="1"/>
      <protection locked="0"/>
    </xf>
    <xf numFmtId="42" fontId="23" fillId="6" borderId="260" xfId="0" applyNumberFormat="1" applyFont="1" applyFill="1" applyBorder="1" applyAlignment="1" applyProtection="1">
      <alignment vertical="center"/>
    </xf>
    <xf numFmtId="42" fontId="23" fillId="12" borderId="243" xfId="0" applyNumberFormat="1" applyFont="1" applyFill="1" applyBorder="1" applyAlignment="1" applyProtection="1">
      <alignment vertical="center"/>
    </xf>
    <xf numFmtId="9" fontId="23" fillId="17" borderId="360" xfId="0" applyNumberFormat="1" applyFont="1" applyFill="1" applyBorder="1" applyAlignment="1" applyProtection="1">
      <alignment vertical="center"/>
    </xf>
    <xf numFmtId="42" fontId="23" fillId="12" borderId="260" xfId="0" applyNumberFormat="1" applyFont="1" applyFill="1" applyBorder="1" applyAlignment="1" applyProtection="1">
      <alignment vertical="center"/>
    </xf>
    <xf numFmtId="42" fontId="23" fillId="12" borderId="209" xfId="0" applyNumberFormat="1" applyFont="1" applyFill="1" applyBorder="1" applyAlignment="1" applyProtection="1">
      <alignment vertical="center"/>
    </xf>
    <xf numFmtId="42" fontId="23" fillId="12" borderId="279" xfId="0" applyNumberFormat="1" applyFont="1" applyFill="1" applyBorder="1" applyAlignment="1" applyProtection="1">
      <alignment vertical="center"/>
    </xf>
    <xf numFmtId="44" fontId="23" fillId="6" borderId="201" xfId="0" applyNumberFormat="1" applyFont="1" applyFill="1" applyBorder="1" applyAlignment="1" applyProtection="1">
      <alignment vertical="center"/>
    </xf>
    <xf numFmtId="44" fontId="23" fillId="6" borderId="206" xfId="0" applyNumberFormat="1" applyFont="1" applyFill="1" applyBorder="1" applyAlignment="1" applyProtection="1">
      <alignment vertical="center"/>
    </xf>
    <xf numFmtId="44" fontId="23" fillId="6" borderId="306" xfId="0" applyNumberFormat="1" applyFont="1" applyFill="1" applyBorder="1" applyAlignment="1" applyProtection="1">
      <alignment vertical="center"/>
    </xf>
    <xf numFmtId="42" fontId="16" fillId="0" borderId="377" xfId="0" applyNumberFormat="1" applyFont="1" applyFill="1" applyBorder="1" applyAlignment="1" applyProtection="1">
      <alignment vertical="center"/>
      <protection locked="0"/>
    </xf>
    <xf numFmtId="42" fontId="16" fillId="6" borderId="206" xfId="0" applyNumberFormat="1" applyFont="1" applyFill="1" applyBorder="1" applyAlignment="1" applyProtection="1">
      <alignment vertical="center"/>
    </xf>
    <xf numFmtId="42" fontId="16" fillId="0" borderId="350" xfId="0" applyNumberFormat="1" applyFont="1" applyFill="1" applyBorder="1" applyAlignment="1" applyProtection="1">
      <alignment vertical="center"/>
      <protection locked="0"/>
    </xf>
    <xf numFmtId="42" fontId="16" fillId="6" borderId="369" xfId="0" applyNumberFormat="1" applyFont="1" applyFill="1" applyBorder="1" applyAlignment="1" applyProtection="1">
      <alignment vertical="center"/>
    </xf>
    <xf numFmtId="42" fontId="16" fillId="0" borderId="278" xfId="0" applyNumberFormat="1" applyFont="1" applyFill="1" applyBorder="1" applyAlignment="1" applyProtection="1">
      <alignment vertical="center" wrapText="1"/>
      <protection locked="0"/>
    </xf>
    <xf numFmtId="42" fontId="16" fillId="6" borderId="201" xfId="0" applyNumberFormat="1" applyFont="1" applyFill="1" applyBorder="1" applyAlignment="1" applyProtection="1">
      <alignment vertical="center"/>
    </xf>
    <xf numFmtId="42" fontId="16" fillId="0" borderId="371" xfId="0" applyNumberFormat="1" applyFont="1" applyFill="1" applyBorder="1" applyAlignment="1" applyProtection="1">
      <alignment vertical="center"/>
      <protection locked="0"/>
    </xf>
    <xf numFmtId="42" fontId="16" fillId="0" borderId="301" xfId="0" applyNumberFormat="1" applyFont="1" applyFill="1" applyBorder="1" applyAlignment="1" applyProtection="1">
      <alignment vertical="center"/>
      <protection locked="0"/>
    </xf>
    <xf numFmtId="42" fontId="16" fillId="0" borderId="238" xfId="0" applyNumberFormat="1" applyFont="1" applyFill="1" applyBorder="1" applyAlignment="1" applyProtection="1">
      <alignment vertical="center"/>
      <protection locked="0"/>
    </xf>
    <xf numFmtId="42" fontId="16" fillId="0" borderId="378" xfId="0" applyNumberFormat="1" applyFont="1" applyFill="1" applyBorder="1" applyAlignment="1" applyProtection="1">
      <alignment vertical="center"/>
      <protection locked="0"/>
    </xf>
    <xf numFmtId="42" fontId="16" fillId="0" borderId="273" xfId="0" applyNumberFormat="1" applyFont="1" applyFill="1" applyBorder="1" applyAlignment="1" applyProtection="1">
      <alignment vertical="center"/>
      <protection locked="0"/>
    </xf>
    <xf numFmtId="42" fontId="16" fillId="0" borderId="271" xfId="0" applyNumberFormat="1" applyFont="1" applyFill="1" applyBorder="1" applyAlignment="1" applyProtection="1">
      <alignment vertical="center"/>
      <protection locked="0"/>
    </xf>
    <xf numFmtId="42" fontId="16" fillId="0" borderId="278" xfId="0" applyNumberFormat="1" applyFont="1" applyFill="1" applyBorder="1" applyAlignment="1" applyProtection="1">
      <alignment vertical="center"/>
      <protection locked="0"/>
    </xf>
    <xf numFmtId="42" fontId="16" fillId="0" borderId="375" xfId="0" applyNumberFormat="1" applyFont="1" applyBorder="1" applyAlignment="1" applyProtection="1">
      <alignment vertical="center" wrapText="1"/>
      <protection locked="0"/>
    </xf>
    <xf numFmtId="42" fontId="16" fillId="0" borderId="238" xfId="0" applyNumberFormat="1" applyFont="1" applyFill="1" applyBorder="1" applyAlignment="1" applyProtection="1">
      <alignment vertical="center" wrapText="1"/>
      <protection locked="0"/>
    </xf>
    <xf numFmtId="42" fontId="16" fillId="0" borderId="375" xfId="0" applyNumberFormat="1" applyFont="1" applyFill="1" applyBorder="1" applyAlignment="1" applyProtection="1">
      <alignment vertical="center" wrapText="1"/>
      <protection locked="0"/>
    </xf>
    <xf numFmtId="42" fontId="16" fillId="0" borderId="235" xfId="0" applyNumberFormat="1" applyFont="1" applyFill="1" applyBorder="1" applyAlignment="1" applyProtection="1">
      <alignment vertical="center"/>
      <protection locked="0"/>
    </xf>
    <xf numFmtId="42" fontId="16" fillId="6" borderId="358" xfId="0" applyNumberFormat="1" applyFont="1" applyFill="1" applyBorder="1" applyAlignment="1" applyProtection="1">
      <alignment vertical="center"/>
    </xf>
    <xf numFmtId="42" fontId="16" fillId="6" borderId="360" xfId="0" applyNumberFormat="1" applyFont="1" applyFill="1" applyBorder="1" applyAlignment="1" applyProtection="1">
      <alignment vertical="center"/>
    </xf>
    <xf numFmtId="42" fontId="16" fillId="6" borderId="370" xfId="0" applyNumberFormat="1" applyFont="1" applyFill="1" applyBorder="1" applyAlignment="1" applyProtection="1">
      <alignment vertical="center"/>
    </xf>
    <xf numFmtId="42" fontId="54" fillId="18" borderId="271" xfId="0" applyNumberFormat="1" applyFont="1" applyFill="1" applyBorder="1" applyProtection="1"/>
    <xf numFmtId="42" fontId="54" fillId="0" borderId="352" xfId="0" applyNumberFormat="1" applyFont="1" applyFill="1" applyBorder="1" applyProtection="1">
      <protection locked="0"/>
    </xf>
    <xf numFmtId="42" fontId="54" fillId="0" borderId="238" xfId="0" applyNumberFormat="1" applyFont="1" applyFill="1" applyBorder="1" applyProtection="1">
      <protection locked="0"/>
    </xf>
    <xf numFmtId="42" fontId="54" fillId="0" borderId="379" xfId="0" applyNumberFormat="1" applyFont="1" applyFill="1" applyBorder="1" applyProtection="1">
      <protection locked="0"/>
    </xf>
    <xf numFmtId="42" fontId="54" fillId="0" borderId="375" xfId="0" applyNumberFormat="1" applyFont="1" applyFill="1" applyBorder="1" applyProtection="1">
      <protection locked="0"/>
    </xf>
    <xf numFmtId="42" fontId="54" fillId="6" borderId="321" xfId="0" applyNumberFormat="1" applyFont="1" applyFill="1" applyBorder="1" applyProtection="1"/>
    <xf numFmtId="42" fontId="54" fillId="6" borderId="235" xfId="0" applyNumberFormat="1" applyFont="1" applyFill="1" applyBorder="1" applyProtection="1"/>
    <xf numFmtId="9" fontId="54" fillId="6" borderId="352" xfId="0" applyNumberFormat="1" applyFont="1" applyFill="1" applyBorder="1" applyProtection="1"/>
    <xf numFmtId="9" fontId="54" fillId="6" borderId="238" xfId="0" applyNumberFormat="1" applyFont="1" applyFill="1" applyBorder="1" applyProtection="1"/>
    <xf numFmtId="42" fontId="54" fillId="6" borderId="217" xfId="0" applyNumberFormat="1" applyFont="1" applyFill="1" applyBorder="1" applyProtection="1"/>
    <xf numFmtId="42" fontId="54" fillId="6" borderId="380" xfId="0" applyNumberFormat="1" applyFont="1" applyFill="1" applyBorder="1" applyProtection="1"/>
    <xf numFmtId="167" fontId="54" fillId="0" borderId="330" xfId="0" applyNumberFormat="1" applyFont="1" applyFill="1" applyBorder="1" applyProtection="1">
      <protection locked="0"/>
    </xf>
    <xf numFmtId="0" fontId="16" fillId="0" borderId="321" xfId="0" applyFont="1" applyFill="1" applyBorder="1" applyProtection="1">
      <protection locked="0"/>
    </xf>
    <xf numFmtId="44" fontId="16" fillId="6" borderId="233" xfId="0" applyNumberFormat="1" applyFont="1" applyFill="1" applyBorder="1" applyProtection="1"/>
    <xf numFmtId="0" fontId="16" fillId="0" borderId="242" xfId="0" applyFont="1" applyFill="1" applyBorder="1" applyProtection="1">
      <protection locked="0"/>
    </xf>
    <xf numFmtId="0" fontId="16" fillId="0" borderId="352" xfId="0" applyFont="1" applyFill="1" applyBorder="1" applyProtection="1">
      <protection locked="0"/>
    </xf>
    <xf numFmtId="44" fontId="16" fillId="6" borderId="236" xfId="0" applyNumberFormat="1" applyFont="1" applyFill="1" applyBorder="1" applyProtection="1"/>
    <xf numFmtId="0" fontId="16" fillId="0" borderId="245" xfId="0" applyFont="1" applyFill="1" applyBorder="1" applyProtection="1">
      <protection locked="0"/>
    </xf>
    <xf numFmtId="0" fontId="16" fillId="0" borderId="379" xfId="0" applyFont="1" applyFill="1" applyBorder="1" applyProtection="1">
      <protection locked="0"/>
    </xf>
    <xf numFmtId="44" fontId="16" fillId="6" borderId="354" xfId="0" applyNumberFormat="1" applyFont="1" applyFill="1" applyBorder="1" applyProtection="1"/>
    <xf numFmtId="0" fontId="16" fillId="0" borderId="381" xfId="0" applyFont="1" applyFill="1" applyBorder="1" applyProtection="1">
      <protection locked="0"/>
    </xf>
    <xf numFmtId="0" fontId="16" fillId="0" borderId="259" xfId="0" applyFont="1" applyFill="1" applyBorder="1" applyProtection="1">
      <protection locked="0"/>
    </xf>
    <xf numFmtId="0" fontId="16" fillId="0" borderId="382" xfId="0" applyFont="1" applyFill="1" applyBorder="1" applyProtection="1">
      <protection locked="0"/>
    </xf>
    <xf numFmtId="0" fontId="16" fillId="0" borderId="269" xfId="0" applyFont="1" applyFill="1" applyBorder="1" applyProtection="1">
      <protection locked="0"/>
    </xf>
    <xf numFmtId="42" fontId="16" fillId="0" borderId="245" xfId="0" applyNumberFormat="1" applyFont="1" applyFill="1" applyBorder="1" applyAlignment="1" applyProtection="1">
      <alignment vertical="center"/>
      <protection locked="0"/>
    </xf>
    <xf numFmtId="165" fontId="16" fillId="0" borderId="54" xfId="0" applyNumberFormat="1" applyFont="1" applyFill="1" applyBorder="1" applyProtection="1"/>
    <xf numFmtId="0" fontId="16" fillId="0" borderId="217" xfId="0" applyFont="1" applyFill="1" applyBorder="1" applyProtection="1">
      <protection locked="0"/>
    </xf>
    <xf numFmtId="0" fontId="16" fillId="0" borderId="330" xfId="0" applyFont="1" applyFill="1" applyBorder="1" applyProtection="1">
      <protection locked="0"/>
    </xf>
    <xf numFmtId="0" fontId="16" fillId="5" borderId="243" xfId="0" applyFont="1" applyFill="1" applyBorder="1" applyAlignment="1" applyProtection="1">
      <alignment horizontal="center" wrapText="1"/>
      <protection locked="0"/>
    </xf>
    <xf numFmtId="0" fontId="16" fillId="5" borderId="389" xfId="0" applyFont="1" applyFill="1" applyBorder="1" applyAlignment="1" applyProtection="1">
      <alignment horizontal="center" wrapText="1"/>
      <protection locked="0"/>
    </xf>
    <xf numFmtId="0" fontId="16" fillId="0" borderId="285" xfId="0" applyFont="1" applyBorder="1" applyAlignment="1" applyProtection="1">
      <alignment horizontal="center" wrapText="1"/>
      <protection locked="0"/>
    </xf>
    <xf numFmtId="0" fontId="16" fillId="0" borderId="285" xfId="0" applyFont="1" applyBorder="1" applyAlignment="1" applyProtection="1">
      <alignment horizontal="left" wrapText="1"/>
      <protection locked="0"/>
    </xf>
    <xf numFmtId="49" fontId="16" fillId="0" borderId="285" xfId="0" applyNumberFormat="1" applyFont="1" applyFill="1" applyBorder="1" applyAlignment="1" applyProtection="1">
      <alignment horizontal="center" wrapText="1"/>
      <protection locked="0"/>
    </xf>
    <xf numFmtId="49" fontId="16" fillId="0" borderId="286" xfId="0" applyNumberFormat="1" applyFont="1" applyFill="1" applyBorder="1" applyAlignment="1" applyProtection="1">
      <alignment horizontal="center" wrapText="1"/>
      <protection locked="0"/>
    </xf>
    <xf numFmtId="0" fontId="16" fillId="0" borderId="285" xfId="0" applyFont="1" applyFill="1" applyBorder="1" applyAlignment="1" applyProtection="1">
      <alignment horizontal="center" wrapText="1"/>
      <protection locked="0"/>
    </xf>
    <xf numFmtId="49" fontId="16" fillId="0" borderId="313" xfId="0" applyNumberFormat="1" applyFont="1" applyFill="1" applyBorder="1" applyAlignment="1" applyProtection="1">
      <alignment horizontal="center" wrapText="1"/>
      <protection locked="0"/>
    </xf>
    <xf numFmtId="0" fontId="16" fillId="0" borderId="285" xfId="0" applyFont="1" applyBorder="1" applyAlignment="1" applyProtection="1">
      <alignment wrapText="1"/>
      <protection locked="0"/>
    </xf>
    <xf numFmtId="0" fontId="16" fillId="0" borderId="285" xfId="0" applyFont="1" applyFill="1" applyBorder="1" applyAlignment="1" applyProtection="1">
      <alignment wrapText="1"/>
      <protection locked="0"/>
    </xf>
    <xf numFmtId="0" fontId="16" fillId="5" borderId="206" xfId="0" applyFont="1" applyFill="1" applyBorder="1" applyAlignment="1" applyProtection="1">
      <alignment wrapText="1"/>
      <protection locked="0"/>
    </xf>
    <xf numFmtId="0" fontId="16" fillId="5" borderId="206" xfId="0" applyFont="1" applyFill="1" applyBorder="1" applyAlignment="1" applyProtection="1">
      <alignment horizontal="left"/>
      <protection locked="0"/>
    </xf>
    <xf numFmtId="0" fontId="0" fillId="0" borderId="285" xfId="0" applyFont="1" applyBorder="1" applyProtection="1">
      <protection locked="0"/>
    </xf>
    <xf numFmtId="0" fontId="16" fillId="0" borderId="206" xfId="0" applyFont="1" applyBorder="1" applyAlignment="1" applyProtection="1">
      <protection locked="0"/>
    </xf>
    <xf numFmtId="0" fontId="16" fillId="0" borderId="243" xfId="0" applyFont="1" applyFill="1" applyBorder="1" applyAlignment="1" applyProtection="1">
      <protection locked="0"/>
    </xf>
    <xf numFmtId="0" fontId="16" fillId="0" borderId="244" xfId="0" applyFont="1" applyFill="1" applyBorder="1" applyAlignment="1" applyProtection="1">
      <alignment horizontal="center" wrapText="1"/>
      <protection locked="0"/>
    </xf>
    <xf numFmtId="0" fontId="16" fillId="0" borderId="391" xfId="0" applyFont="1" applyBorder="1" applyAlignment="1" applyProtection="1">
      <alignment horizontal="center" wrapText="1"/>
      <protection locked="0"/>
    </xf>
    <xf numFmtId="49" fontId="16" fillId="0" borderId="305" xfId="0" applyNumberFormat="1" applyFont="1" applyFill="1" applyBorder="1" applyAlignment="1" applyProtection="1">
      <alignment horizontal="center" wrapText="1"/>
      <protection locked="0"/>
    </xf>
    <xf numFmtId="0" fontId="16" fillId="0" borderId="392" xfId="0" applyFont="1" applyBorder="1" applyAlignment="1" applyProtection="1">
      <alignment horizontal="center" wrapText="1"/>
      <protection locked="0"/>
    </xf>
    <xf numFmtId="49" fontId="16" fillId="0" borderId="312" xfId="0" applyNumberFormat="1" applyFont="1" applyFill="1" applyBorder="1" applyAlignment="1" applyProtection="1">
      <alignment horizontal="center" wrapText="1"/>
      <protection locked="0"/>
    </xf>
    <xf numFmtId="49" fontId="16" fillId="0" borderId="305" xfId="0" applyNumberFormat="1" applyFont="1" applyFill="1" applyBorder="1" applyAlignment="1" applyProtection="1">
      <alignment horizontal="left" wrapText="1"/>
      <protection locked="0"/>
    </xf>
    <xf numFmtId="49" fontId="16" fillId="0" borderId="312" xfId="0" applyNumberFormat="1" applyFont="1" applyFill="1" applyBorder="1" applyAlignment="1" applyProtection="1">
      <alignment horizontal="left" wrapText="1"/>
      <protection locked="0"/>
    </xf>
    <xf numFmtId="49" fontId="16" fillId="0" borderId="285" xfId="0" applyNumberFormat="1" applyFont="1" applyFill="1" applyBorder="1" applyAlignment="1" applyProtection="1">
      <alignment horizontal="left" wrapText="1"/>
      <protection locked="0"/>
    </xf>
    <xf numFmtId="49" fontId="16" fillId="0" borderId="207" xfId="0" applyNumberFormat="1" applyFont="1" applyFill="1" applyBorder="1" applyAlignment="1" applyProtection="1">
      <alignment horizontal="center" wrapText="1"/>
      <protection locked="0"/>
    </xf>
    <xf numFmtId="0" fontId="0" fillId="0" borderId="12" xfId="0" applyBorder="1"/>
    <xf numFmtId="0" fontId="16" fillId="5" borderId="243" xfId="0" applyFont="1" applyFill="1" applyBorder="1" applyAlignment="1" applyProtection="1">
      <alignment horizontal="left" wrapText="1"/>
      <protection locked="0"/>
    </xf>
    <xf numFmtId="0" fontId="16" fillId="5" borderId="389" xfId="0" applyFont="1" applyFill="1" applyBorder="1" applyAlignment="1" applyProtection="1">
      <alignment horizontal="left" wrapText="1"/>
      <protection locked="0"/>
    </xf>
    <xf numFmtId="0" fontId="16" fillId="5" borderId="211" xfId="0" applyFont="1" applyFill="1" applyBorder="1" applyAlignment="1" applyProtection="1">
      <alignment horizontal="left"/>
      <protection locked="0"/>
    </xf>
    <xf numFmtId="0" fontId="16" fillId="5" borderId="250" xfId="0" applyFont="1" applyFill="1" applyBorder="1" applyAlignment="1" applyProtection="1">
      <alignment horizontal="center" wrapText="1"/>
      <protection locked="0"/>
    </xf>
    <xf numFmtId="0" fontId="16" fillId="5" borderId="393" xfId="0" applyFont="1" applyFill="1" applyBorder="1" applyAlignment="1" applyProtection="1">
      <alignment horizontal="center" wrapText="1"/>
      <protection locked="0"/>
    </xf>
    <xf numFmtId="0" fontId="16" fillId="0" borderId="394" xfId="0" applyFont="1" applyFill="1" applyBorder="1" applyAlignment="1" applyProtection="1">
      <alignment wrapText="1"/>
      <protection locked="0"/>
    </xf>
    <xf numFmtId="0" fontId="16" fillId="0" borderId="394" xfId="0" applyFont="1" applyBorder="1" applyAlignment="1" applyProtection="1">
      <alignment horizontal="left" wrapText="1"/>
      <protection locked="0"/>
    </xf>
    <xf numFmtId="49" fontId="16" fillId="0" borderId="394" xfId="0" applyNumberFormat="1" applyFont="1" applyFill="1" applyBorder="1" applyAlignment="1" applyProtection="1">
      <alignment horizontal="center" wrapText="1"/>
      <protection locked="0"/>
    </xf>
    <xf numFmtId="49" fontId="16" fillId="0" borderId="394" xfId="0" applyNumberFormat="1" applyFont="1" applyFill="1" applyBorder="1" applyAlignment="1" applyProtection="1">
      <alignment horizontal="left" wrapText="1"/>
      <protection locked="0"/>
    </xf>
    <xf numFmtId="49" fontId="16" fillId="0" borderId="212" xfId="0" applyNumberFormat="1" applyFont="1" applyFill="1" applyBorder="1" applyAlignment="1" applyProtection="1">
      <alignment horizontal="center" wrapText="1"/>
      <protection locked="0"/>
    </xf>
    <xf numFmtId="49" fontId="16" fillId="0" borderId="338" xfId="0" applyNumberFormat="1" applyFont="1" applyFill="1" applyBorder="1" applyAlignment="1" applyProtection="1">
      <alignment horizontal="center" wrapText="1"/>
      <protection locked="0"/>
    </xf>
    <xf numFmtId="0" fontId="16" fillId="5" borderId="211" xfId="0" applyFont="1" applyFill="1" applyBorder="1" applyAlignment="1" applyProtection="1">
      <alignment wrapText="1"/>
      <protection locked="0"/>
    </xf>
    <xf numFmtId="0" fontId="16" fillId="5" borderId="250" xfId="0" applyFont="1" applyFill="1" applyBorder="1" applyAlignment="1" applyProtection="1">
      <alignment horizontal="left" wrapText="1"/>
      <protection locked="0"/>
    </xf>
    <xf numFmtId="0" fontId="16" fillId="5" borderId="393" xfId="0" applyFont="1" applyFill="1" applyBorder="1" applyAlignment="1" applyProtection="1">
      <alignment horizontal="left" wrapText="1"/>
      <protection locked="0"/>
    </xf>
    <xf numFmtId="0" fontId="16" fillId="0" borderId="394" xfId="0" applyFont="1" applyFill="1" applyBorder="1" applyAlignment="1" applyProtection="1">
      <alignment horizontal="center" wrapText="1"/>
      <protection locked="0"/>
    </xf>
    <xf numFmtId="0" fontId="44" fillId="6" borderId="190" xfId="0" applyFont="1" applyFill="1" applyBorder="1" applyAlignment="1" applyProtection="1">
      <alignment vertical="center"/>
    </xf>
    <xf numFmtId="0" fontId="0" fillId="0" borderId="3" xfId="0" applyFill="1" applyBorder="1"/>
    <xf numFmtId="0" fontId="16" fillId="0" borderId="211" xfId="0" applyFont="1" applyFill="1" applyBorder="1" applyAlignment="1" applyProtection="1">
      <protection locked="0"/>
    </xf>
    <xf numFmtId="0" fontId="16" fillId="0" borderId="250" xfId="0" applyFont="1" applyFill="1" applyBorder="1" applyAlignment="1" applyProtection="1">
      <protection locked="0"/>
    </xf>
    <xf numFmtId="0" fontId="16" fillId="0" borderId="251" xfId="0" applyFont="1" applyFill="1" applyBorder="1" applyAlignment="1" applyProtection="1">
      <alignment horizontal="center" wrapText="1"/>
      <protection locked="0"/>
    </xf>
    <xf numFmtId="0" fontId="3" fillId="0" borderId="244" xfId="0" applyFont="1" applyBorder="1" applyAlignment="1" applyProtection="1">
      <alignment vertical="center" wrapText="1"/>
      <protection locked="0"/>
    </xf>
    <xf numFmtId="0" fontId="3" fillId="0" borderId="244" xfId="0" applyFont="1" applyBorder="1" applyAlignment="1" applyProtection="1">
      <alignment vertical="center"/>
      <protection locked="0"/>
    </xf>
    <xf numFmtId="0" fontId="0" fillId="5" borderId="244" xfId="0" applyFont="1" applyFill="1" applyBorder="1" applyAlignment="1" applyProtection="1">
      <protection locked="0"/>
    </xf>
    <xf numFmtId="0" fontId="16" fillId="0" borderId="236" xfId="0" applyFont="1" applyBorder="1" applyAlignment="1" applyProtection="1">
      <protection locked="0"/>
    </xf>
    <xf numFmtId="0" fontId="71" fillId="0" borderId="65" xfId="0" applyFont="1" applyBorder="1" applyAlignment="1">
      <alignment vertical="center"/>
    </xf>
    <xf numFmtId="0" fontId="0" fillId="0" borderId="0" xfId="0" applyFont="1" applyFill="1" applyAlignment="1" applyProtection="1"/>
    <xf numFmtId="0" fontId="16" fillId="0" borderId="388" xfId="0" applyFont="1" applyFill="1" applyBorder="1" applyAlignment="1" applyProtection="1">
      <alignment wrapText="1"/>
      <protection locked="0"/>
    </xf>
    <xf numFmtId="0" fontId="16" fillId="0" borderId="389" xfId="0" applyFont="1" applyFill="1" applyBorder="1" applyProtection="1">
      <protection locked="0"/>
    </xf>
    <xf numFmtId="3" fontId="18" fillId="0" borderId="184"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11" xfId="0" applyFont="1" applyFill="1" applyBorder="1" applyProtection="1">
      <protection locked="0"/>
    </xf>
    <xf numFmtId="9" fontId="16" fillId="0" borderId="394" xfId="0" applyNumberFormat="1" applyFont="1" applyFill="1" applyBorder="1" applyAlignment="1" applyProtection="1">
      <alignment horizontal="right" wrapText="1"/>
      <protection locked="0"/>
    </xf>
    <xf numFmtId="0" fontId="16" fillId="0" borderId="393" xfId="0" applyFont="1" applyFill="1" applyBorder="1" applyProtection="1">
      <protection locked="0"/>
    </xf>
    <xf numFmtId="0" fontId="15" fillId="0" borderId="357" xfId="0" applyFont="1" applyFill="1" applyBorder="1" applyAlignment="1" applyProtection="1">
      <alignment horizontal="center"/>
      <protection locked="0"/>
    </xf>
    <xf numFmtId="0" fontId="15" fillId="0" borderId="359" xfId="0" applyFont="1" applyFill="1" applyBorder="1" applyAlignment="1" applyProtection="1">
      <alignment horizontal="center"/>
      <protection locked="0"/>
    </xf>
    <xf numFmtId="14" fontId="3" fillId="0" borderId="276" xfId="0" applyNumberFormat="1" applyFont="1" applyFill="1" applyBorder="1" applyAlignment="1" applyProtection="1">
      <alignment horizontal="center"/>
      <protection locked="0"/>
    </xf>
    <xf numFmtId="14" fontId="3" fillId="0" borderId="209" xfId="0" applyNumberFormat="1" applyFont="1" applyFill="1" applyBorder="1" applyAlignment="1" applyProtection="1">
      <alignment horizontal="center"/>
      <protection locked="0"/>
    </xf>
    <xf numFmtId="14" fontId="3" fillId="0" borderId="213" xfId="0" applyNumberFormat="1" applyFont="1" applyFill="1" applyBorder="1" applyAlignment="1" applyProtection="1">
      <alignment horizontal="center"/>
      <protection locked="0"/>
    </xf>
    <xf numFmtId="0" fontId="20" fillId="16" borderId="93" xfId="0" applyFont="1" applyFill="1" applyBorder="1" applyAlignment="1" applyProtection="1">
      <alignment horizontal="center" vertical="center" wrapText="1"/>
    </xf>
    <xf numFmtId="9" fontId="20" fillId="16" borderId="94" xfId="0" applyNumberFormat="1" applyFont="1" applyFill="1" applyBorder="1" applyAlignment="1" applyProtection="1">
      <alignment horizontal="center" vertical="center" wrapText="1"/>
    </xf>
    <xf numFmtId="9" fontId="43" fillId="16" borderId="94" xfId="0" applyNumberFormat="1" applyFont="1" applyFill="1" applyBorder="1" applyAlignment="1" applyProtection="1">
      <alignment horizontal="center" vertical="center" wrapText="1"/>
    </xf>
    <xf numFmtId="9" fontId="20" fillId="16" borderId="101" xfId="0" applyNumberFormat="1" applyFont="1" applyFill="1" applyBorder="1" applyAlignment="1" applyProtection="1">
      <alignment horizontal="center" vertical="center" wrapText="1"/>
    </xf>
    <xf numFmtId="3" fontId="15" fillId="6" borderId="201" xfId="0" applyNumberFormat="1" applyFont="1" applyFill="1" applyBorder="1" applyAlignment="1" applyProtection="1">
      <alignment vertical="center"/>
    </xf>
    <xf numFmtId="3" fontId="15" fillId="6" borderId="206" xfId="0" applyNumberFormat="1" applyFont="1" applyFill="1" applyBorder="1" applyAlignment="1" applyProtection="1">
      <alignment vertical="center"/>
    </xf>
    <xf numFmtId="3" fontId="15" fillId="6" borderId="211" xfId="0" applyNumberFormat="1" applyFont="1" applyFill="1" applyBorder="1" applyAlignment="1" applyProtection="1">
      <alignment vertical="center"/>
    </xf>
    <xf numFmtId="0" fontId="24" fillId="5" borderId="276" xfId="0" applyFont="1" applyFill="1" applyBorder="1" applyAlignment="1" applyProtection="1">
      <protection locked="0"/>
    </xf>
    <xf numFmtId="0" fontId="0" fillId="5" borderId="209" xfId="0" applyFont="1" applyFill="1" applyBorder="1" applyAlignment="1" applyProtection="1">
      <protection locked="0"/>
    </xf>
    <xf numFmtId="0" fontId="0" fillId="5" borderId="248" xfId="0" applyFont="1" applyFill="1" applyBorder="1" applyAlignment="1" applyProtection="1">
      <protection locked="0"/>
    </xf>
    <xf numFmtId="0" fontId="0" fillId="5" borderId="236" xfId="0" applyFont="1" applyFill="1" applyBorder="1" applyAlignment="1" applyProtection="1">
      <protection locked="0"/>
    </xf>
    <xf numFmtId="0" fontId="17" fillId="16" borderId="175" xfId="0" applyFont="1" applyFill="1" applyBorder="1" applyAlignment="1" applyProtection="1"/>
    <xf numFmtId="0" fontId="17" fillId="16" borderId="94" xfId="0" applyFont="1" applyFill="1" applyBorder="1" applyAlignment="1" applyProtection="1">
      <alignment horizontal="center" wrapText="1"/>
    </xf>
    <xf numFmtId="0" fontId="17" fillId="16" borderId="127" xfId="0" applyFont="1" applyFill="1" applyBorder="1" applyAlignment="1" applyProtection="1"/>
    <xf numFmtId="0" fontId="17" fillId="16" borderId="404"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182" xfId="0" applyNumberFormat="1" applyFont="1" applyFill="1" applyBorder="1" applyAlignment="1" applyProtection="1">
      <alignment horizontal="center"/>
    </xf>
    <xf numFmtId="5" fontId="20" fillId="16" borderId="179" xfId="0" applyNumberFormat="1" applyFont="1" applyFill="1" applyBorder="1" applyAlignment="1" applyProtection="1">
      <alignment horizontal="center"/>
    </xf>
    <xf numFmtId="5" fontId="20" fillId="16" borderId="180" xfId="0" applyNumberFormat="1" applyFont="1" applyFill="1" applyBorder="1" applyAlignment="1" applyProtection="1">
      <alignment horizontal="center"/>
    </xf>
    <xf numFmtId="0" fontId="16" fillId="0" borderId="56" xfId="0" applyFont="1" applyFill="1" applyBorder="1" applyAlignment="1" applyProtection="1"/>
    <xf numFmtId="0" fontId="41" fillId="0" borderId="206" xfId="0" applyFont="1" applyFill="1" applyBorder="1" applyAlignment="1" applyProtection="1">
      <alignment vertical="center" wrapText="1"/>
      <protection locked="0"/>
    </xf>
    <xf numFmtId="0" fontId="41" fillId="0" borderId="211" xfId="0" applyFont="1" applyFill="1" applyBorder="1" applyAlignment="1" applyProtection="1">
      <alignment vertical="center" wrapText="1"/>
      <protection locked="0"/>
    </xf>
    <xf numFmtId="0" fontId="43" fillId="16" borderId="7" xfId="0" applyFont="1" applyFill="1" applyBorder="1" applyAlignment="1" applyProtection="1">
      <alignment vertical="center"/>
    </xf>
    <xf numFmtId="6" fontId="16" fillId="25" borderId="185" xfId="0" applyNumberFormat="1" applyFont="1" applyFill="1" applyBorder="1" applyAlignment="1" applyProtection="1"/>
    <xf numFmtId="0" fontId="43" fillId="6" borderId="118" xfId="0" applyNumberFormat="1" applyFont="1" applyFill="1" applyBorder="1" applyAlignment="1" applyProtection="1">
      <alignment horizontal="center" vertical="center" wrapText="1"/>
    </xf>
    <xf numFmtId="0" fontId="43" fillId="6" borderId="192" xfId="0" applyNumberFormat="1" applyFont="1" applyFill="1" applyBorder="1" applyAlignment="1" applyProtection="1">
      <alignment horizontal="center" vertical="center" wrapText="1"/>
    </xf>
    <xf numFmtId="0" fontId="43" fillId="6" borderId="193" xfId="0" applyNumberFormat="1" applyFont="1" applyFill="1" applyBorder="1" applyAlignment="1" applyProtection="1">
      <alignment horizontal="center" vertical="center" wrapText="1"/>
    </xf>
    <xf numFmtId="0" fontId="16" fillId="0" borderId="235" xfId="0" applyFont="1" applyFill="1" applyBorder="1" applyAlignment="1" applyProtection="1">
      <alignment vertical="center"/>
      <protection locked="0"/>
    </xf>
    <xf numFmtId="0" fontId="16" fillId="0" borderId="238" xfId="0" applyFont="1" applyFill="1" applyBorder="1" applyAlignment="1" applyProtection="1">
      <alignment vertical="center"/>
      <protection locked="0"/>
    </xf>
    <xf numFmtId="0" fontId="20" fillId="16" borderId="118"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16" xfId="0" applyNumberFormat="1" applyFont="1" applyFill="1" applyBorder="1" applyAlignment="1" applyProtection="1">
      <alignment wrapText="1"/>
    </xf>
    <xf numFmtId="0" fontId="18" fillId="16" borderId="117" xfId="0" applyFont="1" applyFill="1" applyBorder="1" applyAlignment="1" applyProtection="1">
      <alignment horizontal="center"/>
    </xf>
    <xf numFmtId="0" fontId="3" fillId="3" borderId="105" xfId="0" applyFont="1" applyFill="1" applyBorder="1" applyProtection="1"/>
    <xf numFmtId="0" fontId="3" fillId="25" borderId="68" xfId="0" applyFont="1" applyFill="1" applyBorder="1" applyAlignment="1" applyProtection="1">
      <alignment vertical="center"/>
      <protection locked="0"/>
    </xf>
    <xf numFmtId="0" fontId="3" fillId="25" borderId="40" xfId="0" applyFont="1" applyFill="1" applyBorder="1" applyAlignment="1" applyProtection="1">
      <alignment vertical="center" wrapText="1"/>
      <protection locked="0"/>
    </xf>
    <xf numFmtId="0" fontId="0" fillId="0" borderId="65" xfId="0" quotePrefix="1" applyBorder="1"/>
    <xf numFmtId="0" fontId="3" fillId="0" borderId="206" xfId="0" applyFont="1" applyBorder="1" applyAlignment="1" applyProtection="1">
      <alignment vertical="center" wrapText="1"/>
      <protection locked="0"/>
    </xf>
    <xf numFmtId="0" fontId="3" fillId="25" borderId="49" xfId="0" applyFont="1" applyFill="1" applyBorder="1" applyAlignment="1" applyProtection="1">
      <alignment vertical="center" wrapText="1"/>
      <protection locked="0"/>
    </xf>
    <xf numFmtId="0" fontId="42" fillId="0" borderId="248" xfId="0" applyFont="1" applyBorder="1" applyAlignment="1" applyProtection="1">
      <alignment wrapText="1"/>
      <protection locked="0"/>
    </xf>
    <xf numFmtId="0" fontId="42" fillId="0" borderId="236" xfId="0" applyFont="1" applyBorder="1" applyAlignment="1" applyProtection="1">
      <alignment wrapText="1"/>
      <protection locked="0"/>
    </xf>
    <xf numFmtId="0" fontId="42" fillId="0" borderId="252" xfId="0" applyFont="1" applyBorder="1" applyAlignment="1" applyProtection="1">
      <alignment wrapText="1"/>
      <protection locked="0"/>
    </xf>
    <xf numFmtId="0" fontId="5" fillId="16" borderId="125" xfId="0" applyFont="1" applyFill="1" applyBorder="1" applyAlignment="1" applyProtection="1">
      <alignment vertical="center" wrapText="1"/>
    </xf>
    <xf numFmtId="0" fontId="3" fillId="0" borderId="201" xfId="0" applyFont="1" applyBorder="1" applyAlignment="1" applyProtection="1">
      <alignment vertical="center" wrapText="1"/>
      <protection locked="0"/>
    </xf>
    <xf numFmtId="0" fontId="3" fillId="0" borderId="206" xfId="0" applyFont="1" applyBorder="1" applyAlignment="1" applyProtection="1">
      <alignment vertical="center"/>
      <protection locked="0"/>
    </xf>
    <xf numFmtId="0" fontId="3" fillId="0" borderId="206"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158" xfId="0" applyFont="1" applyBorder="1" applyProtection="1"/>
    <xf numFmtId="0" fontId="0" fillId="0" borderId="0" xfId="0" applyBorder="1" applyProtection="1"/>
    <xf numFmtId="0" fontId="16" fillId="0" borderId="28" xfId="0" applyFont="1" applyBorder="1" applyAlignment="1" applyProtection="1"/>
    <xf numFmtId="0" fontId="16" fillId="0" borderId="28" xfId="0" applyFont="1" applyBorder="1" applyProtection="1"/>
    <xf numFmtId="0" fontId="41" fillId="0" borderId="47" xfId="0" applyNumberFormat="1" applyFont="1" applyFill="1" applyBorder="1" applyProtection="1"/>
    <xf numFmtId="44" fontId="41" fillId="6" borderId="124" xfId="0" applyNumberFormat="1" applyFont="1" applyFill="1" applyBorder="1" applyProtection="1"/>
    <xf numFmtId="44" fontId="41" fillId="6" borderId="123" xfId="0" applyNumberFormat="1" applyFont="1" applyFill="1" applyBorder="1" applyProtection="1"/>
    <xf numFmtId="44" fontId="41" fillId="6" borderId="122" xfId="0" applyNumberFormat="1" applyFont="1" applyFill="1" applyBorder="1" applyProtection="1"/>
    <xf numFmtId="44" fontId="41" fillId="6" borderId="117" xfId="0" applyNumberFormat="1" applyFont="1" applyFill="1" applyBorder="1" applyProtection="1"/>
    <xf numFmtId="44" fontId="41" fillId="5" borderId="174" xfId="0" applyNumberFormat="1" applyFont="1" applyFill="1" applyBorder="1" applyProtection="1">
      <protection locked="0"/>
    </xf>
    <xf numFmtId="44" fontId="41" fillId="5" borderId="408" xfId="0" applyNumberFormat="1" applyFont="1" applyFill="1" applyBorder="1" applyProtection="1">
      <protection locked="0"/>
    </xf>
    <xf numFmtId="44" fontId="41" fillId="5" borderId="211" xfId="0" applyNumberFormat="1" applyFont="1" applyFill="1" applyBorder="1" applyProtection="1">
      <protection locked="0"/>
    </xf>
    <xf numFmtId="44" fontId="41" fillId="5" borderId="252" xfId="0" applyNumberFormat="1" applyFont="1" applyFill="1" applyBorder="1" applyProtection="1">
      <protection locked="0"/>
    </xf>
    <xf numFmtId="44" fontId="41" fillId="5" borderId="306" xfId="0" applyNumberFormat="1" applyFont="1" applyFill="1" applyBorder="1" applyProtection="1">
      <protection locked="0"/>
    </xf>
    <xf numFmtId="44" fontId="41" fillId="5" borderId="268" xfId="0" applyNumberFormat="1" applyFont="1" applyFill="1" applyBorder="1" applyProtection="1">
      <protection locked="0"/>
    </xf>
    <xf numFmtId="44" fontId="41" fillId="0" borderId="174" xfId="0" applyNumberFormat="1" applyFont="1" applyBorder="1" applyProtection="1">
      <protection locked="0"/>
    </xf>
    <xf numFmtId="44" fontId="41" fillId="0" borderId="408" xfId="0" applyNumberFormat="1" applyFont="1" applyBorder="1" applyProtection="1">
      <protection locked="0"/>
    </xf>
    <xf numFmtId="44" fontId="41" fillId="0" borderId="211" xfId="0" applyNumberFormat="1" applyFont="1" applyBorder="1" applyProtection="1">
      <protection locked="0"/>
    </xf>
    <xf numFmtId="44" fontId="41" fillId="0" borderId="252" xfId="0" applyNumberFormat="1" applyFont="1" applyBorder="1" applyProtection="1">
      <protection locked="0"/>
    </xf>
    <xf numFmtId="44" fontId="41" fillId="0" borderId="306" xfId="0" applyNumberFormat="1" applyFont="1" applyBorder="1" applyProtection="1">
      <protection locked="0"/>
    </xf>
    <xf numFmtId="44" fontId="41" fillId="0" borderId="268" xfId="0" applyNumberFormat="1" applyFont="1" applyBorder="1" applyProtection="1">
      <protection locked="0"/>
    </xf>
    <xf numFmtId="9" fontId="8" fillId="0" borderId="174" xfId="0" applyNumberFormat="1" applyFont="1" applyBorder="1" applyAlignment="1" applyProtection="1">
      <alignment vertical="center"/>
      <protection locked="0"/>
    </xf>
    <xf numFmtId="1" fontId="8" fillId="0" borderId="408" xfId="0" applyNumberFormat="1" applyFont="1" applyBorder="1" applyAlignment="1" applyProtection="1">
      <protection locked="0"/>
    </xf>
    <xf numFmtId="42" fontId="8" fillId="0" borderId="408" xfId="0" applyNumberFormat="1" applyFont="1" applyBorder="1" applyAlignment="1" applyProtection="1">
      <protection locked="0"/>
    </xf>
    <xf numFmtId="9" fontId="8" fillId="0" borderId="211" xfId="0" applyNumberFormat="1" applyFont="1" applyBorder="1" applyAlignment="1" applyProtection="1">
      <alignment vertical="center"/>
      <protection locked="0"/>
    </xf>
    <xf numFmtId="1" fontId="8" fillId="0" borderId="252" xfId="0" applyNumberFormat="1" applyFont="1" applyBorder="1" applyAlignment="1" applyProtection="1">
      <protection locked="0"/>
    </xf>
    <xf numFmtId="42" fontId="8" fillId="0" borderId="252" xfId="0" applyNumberFormat="1" applyFont="1" applyBorder="1" applyAlignment="1" applyProtection="1">
      <protection locked="0"/>
    </xf>
    <xf numFmtId="9" fontId="8" fillId="0" borderId="206" xfId="0" applyNumberFormat="1" applyFont="1" applyBorder="1" applyAlignment="1" applyProtection="1">
      <alignment vertical="center"/>
      <protection locked="0"/>
    </xf>
    <xf numFmtId="1" fontId="8" fillId="0" borderId="236" xfId="0" applyNumberFormat="1" applyFont="1" applyBorder="1" applyAlignment="1" applyProtection="1">
      <protection locked="0"/>
    </xf>
    <xf numFmtId="42" fontId="8" fillId="0" borderId="236" xfId="0" applyNumberFormat="1" applyFont="1" applyBorder="1" applyAlignment="1" applyProtection="1">
      <protection locked="0"/>
    </xf>
    <xf numFmtId="0" fontId="41" fillId="0" borderId="201" xfId="0" applyFont="1" applyFill="1" applyBorder="1" applyAlignment="1" applyProtection="1">
      <alignment vertical="center" wrapText="1"/>
      <protection locked="0"/>
    </xf>
    <xf numFmtId="6" fontId="20" fillId="16" borderId="371" xfId="0" applyNumberFormat="1" applyFont="1" applyFill="1" applyBorder="1" applyAlignment="1" applyProtection="1">
      <alignment horizontal="center" wrapText="1"/>
    </xf>
    <xf numFmtId="0" fontId="41" fillId="0" borderId="410" xfId="0" applyFont="1" applyFill="1" applyBorder="1" applyAlignment="1" applyProtection="1">
      <alignment vertical="center" wrapText="1"/>
      <protection locked="0"/>
    </xf>
    <xf numFmtId="0" fontId="41" fillId="0" borderId="412" xfId="0" applyFont="1" applyFill="1" applyBorder="1" applyAlignment="1" applyProtection="1">
      <alignment vertical="center" wrapText="1"/>
      <protection locked="0"/>
    </xf>
    <xf numFmtId="0" fontId="41" fillId="0" borderId="414" xfId="0" applyFont="1" applyFill="1" applyBorder="1" applyAlignment="1" applyProtection="1">
      <alignment vertical="center" wrapText="1"/>
      <protection locked="0"/>
    </xf>
    <xf numFmtId="44" fontId="41" fillId="6" borderId="281" xfId="0" applyNumberFormat="1" applyFont="1" applyFill="1" applyBorder="1" applyAlignment="1" applyProtection="1">
      <alignment horizontal="right" vertical="center"/>
    </xf>
    <xf numFmtId="44" fontId="41" fillId="0" borderId="282" xfId="0" applyNumberFormat="1" applyFont="1" applyFill="1" applyBorder="1" applyAlignment="1" applyProtection="1">
      <alignment horizontal="right" vertical="center"/>
      <protection locked="0"/>
    </xf>
    <xf numFmtId="44" fontId="41" fillId="0" borderId="283" xfId="0" applyNumberFormat="1" applyFont="1" applyFill="1" applyBorder="1" applyAlignment="1" applyProtection="1">
      <alignment horizontal="right" vertical="center"/>
      <protection locked="0"/>
    </xf>
    <xf numFmtId="44" fontId="41" fillId="6" borderId="284" xfId="0" applyNumberFormat="1" applyFont="1" applyFill="1" applyBorder="1" applyAlignment="1" applyProtection="1">
      <alignment vertical="center"/>
    </xf>
    <xf numFmtId="44" fontId="41" fillId="0" borderId="285" xfId="0" applyNumberFormat="1" applyFont="1" applyFill="1" applyBorder="1" applyAlignment="1" applyProtection="1">
      <alignment horizontal="right" vertical="center"/>
      <protection locked="0"/>
    </xf>
    <xf numFmtId="44" fontId="41" fillId="6" borderId="287" xfId="0" applyNumberFormat="1" applyFont="1" applyFill="1" applyBorder="1" applyAlignment="1" applyProtection="1">
      <alignment horizontal="right" vertical="center"/>
    </xf>
    <xf numFmtId="44" fontId="41" fillId="0" borderId="288" xfId="0" applyNumberFormat="1" applyFont="1" applyFill="1" applyBorder="1" applyAlignment="1" applyProtection="1">
      <alignment horizontal="right" vertical="center"/>
      <protection locked="0"/>
    </xf>
    <xf numFmtId="44" fontId="41" fillId="0" borderId="385" xfId="0" applyNumberFormat="1" applyFont="1" applyFill="1" applyBorder="1" applyAlignment="1" applyProtection="1">
      <alignment horizontal="right" vertical="center"/>
      <protection locked="0"/>
    </xf>
    <xf numFmtId="44" fontId="41" fillId="0" borderId="386" xfId="0" applyNumberFormat="1" applyFont="1" applyFill="1" applyBorder="1" applyAlignment="1" applyProtection="1">
      <alignment horizontal="right" vertical="center"/>
      <protection locked="0"/>
    </xf>
    <xf numFmtId="44" fontId="41" fillId="0" borderId="290" xfId="0" applyNumberFormat="1" applyFont="1" applyFill="1" applyBorder="1" applyAlignment="1" applyProtection="1">
      <alignment horizontal="right" vertical="center"/>
      <protection locked="0"/>
    </xf>
    <xf numFmtId="44" fontId="41" fillId="0" borderId="291" xfId="0" applyNumberFormat="1" applyFont="1" applyFill="1" applyBorder="1" applyAlignment="1" applyProtection="1">
      <alignment horizontal="right" vertical="center"/>
      <protection locked="0"/>
    </xf>
    <xf numFmtId="44" fontId="41" fillId="6" borderId="162" xfId="0" applyNumberFormat="1" applyFont="1" applyFill="1" applyBorder="1" applyAlignment="1" applyProtection="1">
      <alignment horizontal="right" vertical="center"/>
    </xf>
    <xf numFmtId="44" fontId="41" fillId="6" borderId="163" xfId="0" applyNumberFormat="1" applyFont="1" applyFill="1" applyBorder="1" applyAlignment="1" applyProtection="1">
      <alignment horizontal="right" vertical="center"/>
    </xf>
    <xf numFmtId="44" fontId="41" fillId="6" borderId="164" xfId="0" applyNumberFormat="1" applyFont="1" applyFill="1" applyBorder="1" applyAlignment="1" applyProtection="1">
      <alignment horizontal="right" vertical="center"/>
    </xf>
    <xf numFmtId="44" fontId="41" fillId="0" borderId="154" xfId="0" applyNumberFormat="1" applyFont="1" applyFill="1" applyBorder="1" applyAlignment="1" applyProtection="1">
      <alignment vertical="center"/>
      <protection locked="0"/>
    </xf>
    <xf numFmtId="44" fontId="41" fillId="0" borderId="144" xfId="0" applyNumberFormat="1" applyFont="1" applyFill="1" applyBorder="1" applyAlignment="1" applyProtection="1">
      <alignment vertical="center"/>
      <protection locked="0"/>
    </xf>
    <xf numFmtId="44" fontId="41" fillId="0" borderId="145" xfId="0" applyNumberFormat="1" applyFont="1" applyFill="1" applyBorder="1" applyAlignment="1" applyProtection="1">
      <alignment vertical="center"/>
      <protection locked="0"/>
    </xf>
    <xf numFmtId="44" fontId="43" fillId="6" borderId="146" xfId="0" applyNumberFormat="1" applyFont="1" applyFill="1" applyBorder="1" applyAlignment="1" applyProtection="1">
      <alignment vertical="center"/>
    </xf>
    <xf numFmtId="44" fontId="43" fillId="6" borderId="147" xfId="0" applyNumberFormat="1" applyFont="1" applyFill="1" applyBorder="1" applyAlignment="1" applyProtection="1">
      <alignment vertical="center"/>
    </xf>
    <xf numFmtId="44" fontId="43" fillId="6" borderId="148" xfId="0" applyNumberFormat="1" applyFont="1" applyFill="1" applyBorder="1" applyAlignment="1" applyProtection="1">
      <alignment vertical="center"/>
    </xf>
    <xf numFmtId="44" fontId="64" fillId="6" borderId="292" xfId="0" applyNumberFormat="1" applyFont="1" applyFill="1" applyBorder="1" applyAlignment="1" applyProtection="1">
      <alignment vertical="center"/>
    </xf>
    <xf numFmtId="44" fontId="64" fillId="6" borderId="256" xfId="0" applyNumberFormat="1" applyFont="1" applyFill="1" applyBorder="1" applyAlignment="1" applyProtection="1">
      <alignment vertical="center"/>
    </xf>
    <xf numFmtId="44" fontId="64" fillId="6" borderId="293" xfId="0" applyNumberFormat="1" applyFont="1" applyFill="1" applyBorder="1" applyAlignment="1" applyProtection="1">
      <alignment vertical="center"/>
    </xf>
    <xf numFmtId="44" fontId="64" fillId="6" borderId="294" xfId="0" applyNumberFormat="1" applyFont="1" applyFill="1" applyBorder="1" applyAlignment="1" applyProtection="1">
      <alignment vertical="center"/>
    </xf>
    <xf numFmtId="44" fontId="64" fillId="6" borderId="295" xfId="0" applyNumberFormat="1" applyFont="1" applyFill="1" applyBorder="1" applyAlignment="1" applyProtection="1">
      <alignment vertical="center"/>
    </xf>
    <xf numFmtId="44" fontId="64" fillId="6" borderId="296" xfId="0" applyNumberFormat="1" applyFont="1" applyFill="1" applyBorder="1" applyAlignment="1" applyProtection="1">
      <alignment vertical="center"/>
    </xf>
    <xf numFmtId="44" fontId="43" fillId="6" borderId="135" xfId="0" applyNumberFormat="1" applyFont="1" applyFill="1" applyBorder="1" applyAlignment="1" applyProtection="1">
      <alignment vertical="center"/>
    </xf>
    <xf numFmtId="44" fontId="43" fillId="6" borderId="136" xfId="0" applyNumberFormat="1" applyFont="1" applyFill="1" applyBorder="1" applyAlignment="1" applyProtection="1">
      <alignment vertical="center"/>
    </xf>
    <xf numFmtId="44" fontId="43" fillId="6" borderId="137" xfId="0" applyNumberFormat="1" applyFont="1" applyFill="1" applyBorder="1" applyAlignment="1" applyProtection="1">
      <alignment vertical="center"/>
    </xf>
    <xf numFmtId="44" fontId="43" fillId="6" borderId="152"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3" fillId="6" borderId="119" xfId="0" applyNumberFormat="1" applyFont="1" applyFill="1" applyBorder="1" applyAlignment="1" applyProtection="1">
      <alignment vertical="center"/>
    </xf>
    <xf numFmtId="44" fontId="41" fillId="0" borderId="299" xfId="0" applyNumberFormat="1" applyFont="1" applyFill="1" applyBorder="1" applyAlignment="1" applyProtection="1">
      <alignment horizontal="right" vertical="center"/>
      <protection locked="0"/>
    </xf>
    <xf numFmtId="44" fontId="41" fillId="0" borderId="300" xfId="0" applyNumberFormat="1" applyFont="1" applyFill="1" applyBorder="1" applyAlignment="1" applyProtection="1">
      <alignment horizontal="right" vertical="center"/>
      <protection locked="0"/>
    </xf>
    <xf numFmtId="44" fontId="41" fillId="0" borderId="301" xfId="0" applyNumberFormat="1" applyFont="1" applyFill="1" applyBorder="1" applyAlignment="1" applyProtection="1">
      <alignment vertical="center"/>
      <protection locked="0"/>
    </xf>
    <xf numFmtId="44" fontId="41" fillId="0" borderId="304" xfId="0" applyNumberFormat="1" applyFont="1" applyFill="1" applyBorder="1" applyAlignment="1" applyProtection="1">
      <alignment horizontal="right" vertical="center"/>
      <protection locked="0"/>
    </xf>
    <xf numFmtId="44" fontId="41" fillId="0" borderId="305" xfId="0" applyNumberFormat="1" applyFont="1" applyFill="1" applyBorder="1" applyAlignment="1" applyProtection="1">
      <alignment horizontal="right" vertical="center"/>
      <protection locked="0"/>
    </xf>
    <xf numFmtId="44" fontId="41" fillId="0" borderId="286" xfId="0" applyNumberFormat="1" applyFont="1" applyFill="1" applyBorder="1" applyAlignment="1" applyProtection="1">
      <alignment vertical="center"/>
      <protection locked="0"/>
    </xf>
    <xf numFmtId="44" fontId="41" fillId="0" borderId="311" xfId="0" applyNumberFormat="1" applyFont="1" applyFill="1" applyBorder="1" applyAlignment="1" applyProtection="1">
      <alignment horizontal="right" vertical="center"/>
      <protection locked="0"/>
    </xf>
    <xf numFmtId="44" fontId="41" fillId="0" borderId="312" xfId="0" applyNumberFormat="1" applyFont="1" applyFill="1" applyBorder="1" applyAlignment="1" applyProtection="1">
      <alignment horizontal="right" vertical="center"/>
      <protection locked="0"/>
    </xf>
    <xf numFmtId="44" fontId="41" fillId="0" borderId="313" xfId="0" applyNumberFormat="1" applyFont="1" applyFill="1" applyBorder="1" applyAlignment="1" applyProtection="1">
      <alignment vertical="center"/>
      <protection locked="0"/>
    </xf>
    <xf numFmtId="44" fontId="41" fillId="6" borderId="314" xfId="0" applyNumberFormat="1" applyFont="1" applyFill="1" applyBorder="1" applyAlignment="1" applyProtection="1">
      <alignment horizontal="right" vertical="center"/>
    </xf>
    <xf numFmtId="44" fontId="41" fillId="6" borderId="315" xfId="0" applyNumberFormat="1" applyFont="1" applyFill="1" applyBorder="1" applyAlignment="1" applyProtection="1">
      <alignment horizontal="right" vertical="center"/>
    </xf>
    <xf numFmtId="44" fontId="41" fillId="6" borderId="316" xfId="0" applyNumberFormat="1" applyFont="1" applyFill="1" applyBorder="1" applyAlignment="1" applyProtection="1">
      <alignment horizontal="right" vertical="center"/>
    </xf>
    <xf numFmtId="44" fontId="41" fillId="6" borderId="317" xfId="0" applyNumberFormat="1" applyFont="1" applyFill="1" applyBorder="1" applyAlignment="1" applyProtection="1">
      <alignment horizontal="right" vertical="center"/>
    </xf>
    <xf numFmtId="44" fontId="41" fillId="6" borderId="318" xfId="0" applyNumberFormat="1" applyFont="1" applyFill="1" applyBorder="1" applyAlignment="1" applyProtection="1">
      <alignment horizontal="right" vertical="center"/>
    </xf>
    <xf numFmtId="44" fontId="41" fillId="6" borderId="313" xfId="0" applyNumberFormat="1" applyFont="1" applyFill="1" applyBorder="1" applyAlignment="1" applyProtection="1">
      <alignment horizontal="right" vertical="center"/>
    </xf>
    <xf numFmtId="44" fontId="41" fillId="0" borderId="235" xfId="0" applyNumberFormat="1" applyFont="1" applyFill="1" applyBorder="1" applyAlignment="1" applyProtection="1">
      <alignment vertical="center"/>
      <protection locked="0"/>
    </xf>
    <xf numFmtId="44" fontId="41" fillId="0" borderId="238" xfId="0" applyNumberFormat="1" applyFont="1" applyFill="1" applyBorder="1" applyAlignment="1" applyProtection="1">
      <alignment vertical="center"/>
      <protection locked="0"/>
    </xf>
    <xf numFmtId="44" fontId="41" fillId="0" borderId="319" xfId="0" applyNumberFormat="1" applyFont="1" applyFill="1" applyBorder="1" applyAlignment="1" applyProtection="1">
      <alignment horizontal="right" vertical="center"/>
      <protection locked="0"/>
    </xf>
    <xf numFmtId="44" fontId="41" fillId="0" borderId="320" xfId="0" applyNumberFormat="1" applyFont="1" applyFill="1" applyBorder="1" applyAlignment="1" applyProtection="1">
      <alignment horizontal="right" vertical="center"/>
      <protection locked="0"/>
    </xf>
    <xf numFmtId="44" fontId="41" fillId="0" borderId="296" xfId="0" applyNumberFormat="1" applyFont="1" applyFill="1" applyBorder="1" applyAlignment="1" applyProtection="1">
      <alignment vertical="center"/>
      <protection locked="0"/>
    </xf>
    <xf numFmtId="44" fontId="41" fillId="6" borderId="138" xfId="0" applyNumberFormat="1" applyFont="1" applyFill="1" applyBorder="1" applyAlignment="1" applyProtection="1">
      <alignment horizontal="right" vertical="center"/>
    </xf>
    <xf numFmtId="44" fontId="41" fillId="6" borderId="139" xfId="0" applyNumberFormat="1" applyFont="1" applyFill="1" applyBorder="1" applyAlignment="1" applyProtection="1">
      <alignment horizontal="right" vertical="center"/>
    </xf>
    <xf numFmtId="44" fontId="41" fillId="6" borderId="161" xfId="0" applyNumberFormat="1" applyFont="1" applyFill="1" applyBorder="1" applyAlignment="1" applyProtection="1">
      <alignment horizontal="right" vertical="center"/>
    </xf>
    <xf numFmtId="44" fontId="41" fillId="6" borderId="322" xfId="0" applyNumberFormat="1" applyFont="1" applyFill="1" applyBorder="1" applyProtection="1"/>
    <xf numFmtId="44" fontId="41" fillId="6" borderId="255" xfId="0" applyNumberFormat="1" applyFont="1" applyFill="1" applyBorder="1" applyProtection="1"/>
    <xf numFmtId="44" fontId="41" fillId="6" borderId="323" xfId="0" applyNumberFormat="1" applyFont="1" applyFill="1" applyBorder="1" applyProtection="1"/>
    <xf numFmtId="43" fontId="41" fillId="6" borderId="284" xfId="0" applyNumberFormat="1" applyFont="1" applyFill="1" applyBorder="1" applyAlignment="1" applyProtection="1">
      <alignment horizontal="right" vertical="center"/>
    </xf>
    <xf numFmtId="43" fontId="41" fillId="6" borderId="285" xfId="0" applyNumberFormat="1" applyFont="1" applyFill="1" applyBorder="1" applyAlignment="1" applyProtection="1">
      <alignment horizontal="right" vertical="center"/>
    </xf>
    <xf numFmtId="43" fontId="41" fillId="6" borderId="286" xfId="0" applyNumberFormat="1" applyFont="1" applyFill="1" applyBorder="1" applyAlignment="1" applyProtection="1">
      <alignment horizontal="right" vertical="center"/>
    </xf>
    <xf numFmtId="43" fontId="41" fillId="6" borderId="321" xfId="0" applyNumberFormat="1" applyFont="1" applyFill="1" applyBorder="1" applyAlignment="1" applyProtection="1">
      <alignment horizontal="right" vertical="center"/>
    </xf>
    <xf numFmtId="43" fontId="41" fillId="6" borderId="241" xfId="0" applyNumberFormat="1" applyFont="1" applyFill="1" applyBorder="1" applyAlignment="1" applyProtection="1">
      <alignment horizontal="right" vertical="center"/>
    </xf>
    <xf numFmtId="43" fontId="41" fillId="6" borderId="235" xfId="0" applyNumberFormat="1" applyFont="1" applyFill="1" applyBorder="1" applyAlignment="1" applyProtection="1">
      <alignment horizontal="right" vertical="center"/>
    </xf>
    <xf numFmtId="44" fontId="41" fillId="0" borderId="325" xfId="0" applyNumberFormat="1" applyFont="1" applyFill="1" applyBorder="1" applyAlignment="1" applyProtection="1">
      <alignment vertical="center"/>
      <protection locked="0"/>
    </xf>
    <xf numFmtId="44" fontId="41" fillId="0" borderId="326"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vertical="center"/>
      <protection locked="0"/>
    </xf>
    <xf numFmtId="44" fontId="41" fillId="0" borderId="328" xfId="0" applyNumberFormat="1" applyFont="1" applyFill="1" applyBorder="1" applyAlignment="1" applyProtection="1">
      <alignment vertical="center"/>
      <protection locked="0"/>
    </xf>
    <xf numFmtId="44" fontId="41" fillId="0" borderId="329" xfId="0" applyNumberFormat="1" applyFont="1" applyFill="1" applyBorder="1" applyAlignment="1" applyProtection="1">
      <alignment vertical="center"/>
      <protection locked="0"/>
    </xf>
    <xf numFmtId="44" fontId="41" fillId="0" borderId="332" xfId="0" applyNumberFormat="1" applyFont="1" applyFill="1" applyBorder="1" applyAlignment="1" applyProtection="1">
      <alignment vertical="center"/>
      <protection locked="0"/>
    </xf>
    <xf numFmtId="44" fontId="41" fillId="0" borderId="333" xfId="0" applyNumberFormat="1" applyFont="1" applyFill="1" applyBorder="1" applyAlignment="1" applyProtection="1">
      <alignment vertical="center"/>
      <protection locked="0"/>
    </xf>
    <xf numFmtId="44" fontId="41" fillId="0" borderId="281" xfId="0" applyNumberFormat="1" applyFont="1" applyFill="1" applyBorder="1" applyAlignment="1" applyProtection="1">
      <alignment horizontal="right" vertical="center"/>
      <protection locked="0"/>
    </xf>
    <xf numFmtId="44" fontId="41" fillId="0" borderId="334" xfId="0" applyNumberFormat="1" applyFont="1" applyFill="1" applyBorder="1" applyAlignment="1" applyProtection="1">
      <alignment vertical="center"/>
      <protection locked="0"/>
    </xf>
    <xf numFmtId="44" fontId="41" fillId="0" borderId="335" xfId="0" applyNumberFormat="1" applyFont="1" applyFill="1" applyBorder="1" applyAlignment="1" applyProtection="1">
      <alignment vertical="center"/>
      <protection locked="0"/>
    </xf>
    <xf numFmtId="44" fontId="41" fillId="0" borderId="289" xfId="0" applyNumberFormat="1" applyFont="1" applyFill="1" applyBorder="1" applyAlignment="1" applyProtection="1">
      <alignment horizontal="right" vertical="center"/>
      <protection locked="0"/>
    </xf>
    <xf numFmtId="44" fontId="41" fillId="6" borderId="146" xfId="0" applyNumberFormat="1" applyFont="1" applyFill="1" applyBorder="1" applyAlignment="1" applyProtection="1">
      <alignment horizontal="right" vertical="center"/>
    </xf>
    <xf numFmtId="44" fontId="41" fillId="0" borderId="168" xfId="0" applyNumberFormat="1" applyFont="1" applyFill="1" applyBorder="1" applyAlignment="1" applyProtection="1">
      <alignment vertical="center"/>
      <protection locked="0"/>
    </xf>
    <xf numFmtId="44" fontId="41" fillId="0" borderId="148" xfId="0" applyNumberFormat="1" applyFont="1" applyFill="1" applyBorder="1" applyAlignment="1" applyProtection="1">
      <alignment horizontal="right" vertical="center"/>
      <protection locked="0"/>
    </xf>
    <xf numFmtId="44" fontId="41" fillId="0" borderId="154" xfId="0" applyNumberFormat="1" applyFont="1" applyFill="1" applyBorder="1" applyAlignment="1" applyProtection="1">
      <alignment horizontal="right" vertical="center"/>
      <protection locked="0"/>
    </xf>
    <xf numFmtId="44" fontId="41" fillId="0" borderId="144" xfId="0" applyNumberFormat="1" applyFont="1" applyFill="1" applyBorder="1" applyAlignment="1" applyProtection="1">
      <alignment horizontal="right" vertical="center"/>
      <protection locked="0"/>
    </xf>
    <xf numFmtId="44" fontId="41" fillId="0" borderId="145" xfId="0" applyNumberFormat="1" applyFont="1" applyFill="1" applyBorder="1" applyAlignment="1" applyProtection="1">
      <alignment horizontal="right" vertical="center"/>
      <protection locked="0"/>
    </xf>
    <xf numFmtId="44" fontId="41" fillId="6" borderId="149" xfId="0" applyNumberFormat="1" applyFont="1" applyFill="1" applyBorder="1" applyAlignment="1" applyProtection="1">
      <alignment horizontal="right" vertical="center"/>
    </xf>
    <xf numFmtId="44" fontId="41" fillId="6" borderId="150" xfId="0" applyNumberFormat="1" applyFont="1" applyFill="1" applyBorder="1" applyAlignment="1" applyProtection="1">
      <alignment horizontal="right" vertical="center"/>
    </xf>
    <xf numFmtId="44" fontId="41" fillId="6" borderId="151" xfId="0" applyNumberFormat="1" applyFont="1" applyFill="1" applyBorder="1" applyAlignment="1" applyProtection="1">
      <alignment horizontal="right" vertical="center"/>
    </xf>
    <xf numFmtId="0" fontId="41" fillId="0" borderId="0" xfId="0" applyFont="1" applyFill="1" applyBorder="1" applyProtection="1"/>
    <xf numFmtId="0" fontId="38" fillId="0" borderId="177" xfId="0" applyFont="1" applyFill="1" applyBorder="1" applyAlignment="1" applyProtection="1">
      <alignment horizontal="right" vertical="center"/>
    </xf>
    <xf numFmtId="0" fontId="38" fillId="0" borderId="158"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6" fillId="5" borderId="0" xfId="0" applyFont="1" applyFill="1" applyBorder="1" applyAlignment="1" applyProtection="1">
      <alignment vertical="top"/>
    </xf>
    <xf numFmtId="0" fontId="16" fillId="0" borderId="14" xfId="0" applyFont="1" applyFill="1" applyBorder="1" applyProtection="1"/>
    <xf numFmtId="0" fontId="16" fillId="0" borderId="19" xfId="0" applyFont="1" applyFill="1" applyBorder="1" applyProtection="1"/>
    <xf numFmtId="0" fontId="16" fillId="0" borderId="15" xfId="0" applyFont="1" applyFill="1" applyBorder="1" applyProtection="1"/>
    <xf numFmtId="0" fontId="16" fillId="5" borderId="171" xfId="0" applyFont="1" applyFill="1" applyBorder="1" applyAlignment="1" applyProtection="1">
      <alignment horizontal="center" vertical="center"/>
      <protection locked="0"/>
    </xf>
    <xf numFmtId="0" fontId="0" fillId="0" borderId="64" xfId="0" applyFill="1" applyBorder="1" applyProtection="1"/>
    <xf numFmtId="0" fontId="0" fillId="0" borderId="65" xfId="0" applyFill="1" applyBorder="1" applyProtection="1"/>
    <xf numFmtId="0" fontId="0" fillId="0" borderId="3" xfId="0" applyFill="1" applyBorder="1" applyProtection="1"/>
    <xf numFmtId="0" fontId="70" fillId="0" borderId="189" xfId="0" applyFont="1" applyBorder="1" applyAlignment="1">
      <alignment horizontal="center"/>
    </xf>
    <xf numFmtId="0" fontId="71" fillId="0" borderId="3" xfId="0" applyFont="1" applyBorder="1" applyAlignment="1">
      <alignment vertical="center"/>
    </xf>
    <xf numFmtId="10" fontId="54" fillId="0" borderId="379" xfId="0" applyNumberFormat="1" applyFont="1" applyFill="1" applyBorder="1" applyProtection="1">
      <protection locked="0"/>
    </xf>
    <xf numFmtId="42" fontId="16" fillId="0" borderId="371" xfId="0" applyNumberFormat="1" applyFont="1" applyFill="1" applyBorder="1" applyAlignment="1" applyProtection="1">
      <protection locked="0"/>
    </xf>
    <xf numFmtId="42" fontId="16" fillId="0" borderId="350" xfId="0" applyNumberFormat="1" applyFont="1" applyFill="1" applyBorder="1" applyAlignment="1" applyProtection="1">
      <protection locked="0"/>
    </xf>
    <xf numFmtId="42" fontId="16" fillId="0" borderId="400" xfId="0" applyNumberFormat="1" applyFont="1" applyFill="1" applyBorder="1" applyAlignment="1" applyProtection="1">
      <protection locked="0"/>
    </xf>
    <xf numFmtId="42" fontId="16" fillId="0" borderId="398" xfId="0" applyNumberFormat="1" applyFont="1" applyFill="1" applyBorder="1" applyAlignment="1" applyProtection="1">
      <protection locked="0"/>
    </xf>
    <xf numFmtId="42" fontId="16" fillId="6" borderId="44" xfId="0" applyNumberFormat="1" applyFont="1" applyFill="1" applyBorder="1" applyAlignment="1" applyProtection="1"/>
    <xf numFmtId="42" fontId="20" fillId="6" borderId="73" xfId="0" applyNumberFormat="1" applyFont="1" applyFill="1" applyBorder="1" applyAlignment="1" applyProtection="1"/>
    <xf numFmtId="42" fontId="16" fillId="6" borderId="11" xfId="0" applyNumberFormat="1" applyFont="1" applyFill="1" applyBorder="1" applyAlignment="1" applyProtection="1"/>
    <xf numFmtId="42" fontId="16" fillId="6" borderId="73" xfId="0" applyNumberFormat="1" applyFont="1" applyFill="1" applyBorder="1" applyAlignment="1" applyProtection="1"/>
    <xf numFmtId="42" fontId="16" fillId="0" borderId="337" xfId="0" applyNumberFormat="1" applyFont="1" applyFill="1" applyBorder="1" applyAlignment="1" applyProtection="1">
      <alignment horizontal="right" wrapText="1"/>
      <protection locked="0"/>
    </xf>
    <xf numFmtId="42" fontId="16" fillId="0" borderId="285" xfId="0" applyNumberFormat="1" applyFont="1" applyFill="1" applyBorder="1" applyAlignment="1" applyProtection="1">
      <alignment horizontal="right" wrapText="1"/>
      <protection locked="0"/>
    </xf>
    <xf numFmtId="42" fontId="16" fillId="0" borderId="285"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73" xfId="0" applyNumberFormat="1" applyFont="1" applyFill="1" applyBorder="1" applyProtection="1"/>
    <xf numFmtId="42" fontId="16" fillId="0" borderId="339" xfId="0" applyNumberFormat="1" applyFont="1" applyFill="1" applyBorder="1" applyAlignment="1" applyProtection="1">
      <alignment horizontal="right"/>
      <protection locked="0"/>
    </xf>
    <xf numFmtId="42" fontId="16" fillId="0" borderId="337" xfId="0" applyNumberFormat="1" applyFont="1" applyFill="1" applyBorder="1" applyAlignment="1" applyProtection="1">
      <alignment horizontal="right"/>
      <protection locked="0"/>
    </xf>
    <xf numFmtId="42" fontId="16" fillId="0" borderId="301" xfId="0" applyNumberFormat="1" applyFont="1" applyFill="1" applyBorder="1" applyAlignment="1" applyProtection="1">
      <alignment horizontal="right"/>
      <protection locked="0"/>
    </xf>
    <xf numFmtId="42" fontId="16" fillId="0" borderId="284" xfId="0" applyNumberFormat="1" applyFont="1" applyFill="1" applyBorder="1" applyAlignment="1" applyProtection="1">
      <alignment horizontal="right"/>
      <protection locked="0"/>
    </xf>
    <xf numFmtId="42" fontId="16" fillId="0" borderId="286" xfId="0" applyNumberFormat="1" applyFont="1" applyFill="1" applyBorder="1" applyAlignment="1" applyProtection="1">
      <alignment horizontal="right"/>
      <protection locked="0"/>
    </xf>
    <xf numFmtId="42" fontId="16" fillId="0" borderId="397" xfId="0" applyNumberFormat="1" applyFont="1" applyFill="1" applyBorder="1" applyAlignment="1" applyProtection="1">
      <alignment horizontal="right"/>
      <protection locked="0"/>
    </xf>
    <xf numFmtId="42" fontId="16" fillId="0" borderId="338" xfId="0" applyNumberFormat="1" applyFont="1" applyFill="1" applyBorder="1" applyAlignment="1" applyProtection="1">
      <alignment horizontal="right"/>
      <protection locked="0"/>
    </xf>
    <xf numFmtId="42" fontId="17" fillId="6" borderId="17" xfId="0" applyNumberFormat="1" applyFont="1" applyFill="1" applyBorder="1" applyProtection="1"/>
    <xf numFmtId="42" fontId="17" fillId="6" borderId="10" xfId="0" applyNumberFormat="1" applyFont="1" applyFill="1" applyBorder="1" applyProtection="1"/>
    <xf numFmtId="42" fontId="17" fillId="6" borderId="16" xfId="0" applyNumberFormat="1" applyFont="1" applyFill="1" applyBorder="1" applyProtection="1"/>
    <xf numFmtId="42" fontId="16" fillId="0" borderId="346" xfId="0" applyNumberFormat="1" applyFont="1" applyFill="1" applyBorder="1" applyAlignment="1" applyProtection="1">
      <protection locked="0"/>
    </xf>
    <xf numFmtId="42" fontId="16" fillId="0" borderId="347" xfId="0" applyNumberFormat="1" applyFont="1" applyFill="1" applyBorder="1" applyAlignment="1" applyProtection="1">
      <protection locked="0"/>
    </xf>
    <xf numFmtId="42" fontId="16" fillId="0" borderId="348" xfId="0" applyNumberFormat="1" applyFont="1" applyFill="1" applyBorder="1" applyAlignment="1" applyProtection="1">
      <protection locked="0"/>
    </xf>
    <xf numFmtId="42" fontId="16" fillId="0" borderId="340" xfId="0" applyNumberFormat="1" applyFont="1" applyFill="1" applyBorder="1" applyAlignment="1" applyProtection="1">
      <alignment horizontal="right"/>
      <protection locked="0"/>
    </xf>
    <xf numFmtId="42" fontId="16" fillId="0" borderId="341" xfId="0" applyNumberFormat="1" applyFont="1" applyFill="1" applyBorder="1" applyAlignment="1" applyProtection="1">
      <alignment horizontal="right"/>
      <protection locked="0"/>
    </xf>
    <xf numFmtId="42" fontId="16" fillId="0" borderId="342" xfId="0" applyNumberFormat="1" applyFont="1" applyFill="1" applyBorder="1" applyAlignment="1" applyProtection="1">
      <alignment horizontal="right"/>
      <protection locked="0"/>
    </xf>
    <xf numFmtId="42" fontId="16" fillId="0" borderId="343" xfId="0" applyNumberFormat="1" applyFont="1" applyFill="1" applyBorder="1" applyAlignment="1" applyProtection="1">
      <alignment horizontal="right"/>
      <protection locked="0"/>
    </xf>
    <xf numFmtId="42" fontId="16" fillId="0" borderId="344" xfId="0" applyNumberFormat="1" applyFont="1" applyFill="1" applyBorder="1" applyAlignment="1" applyProtection="1">
      <alignment horizontal="right"/>
      <protection locked="0"/>
    </xf>
    <xf numFmtId="42" fontId="16" fillId="0" borderId="290" xfId="0" applyNumberFormat="1" applyFont="1" applyFill="1" applyBorder="1" applyAlignment="1" applyProtection="1">
      <alignment horizontal="right"/>
      <protection locked="0"/>
    </xf>
    <xf numFmtId="42" fontId="16" fillId="0" borderId="345" xfId="0" applyNumberFormat="1" applyFont="1" applyFill="1" applyBorder="1" applyAlignment="1" applyProtection="1">
      <alignment horizontal="right"/>
      <protection locked="0"/>
    </xf>
    <xf numFmtId="42" fontId="17" fillId="6" borderId="73" xfId="0" applyNumberFormat="1" applyFont="1" applyFill="1" applyBorder="1" applyAlignment="1" applyProtection="1"/>
    <xf numFmtId="42" fontId="17" fillId="6" borderId="118"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21" xfId="0" applyNumberFormat="1" applyFont="1" applyFill="1" applyBorder="1" applyAlignment="1" applyProtection="1">
      <protection locked="0"/>
    </xf>
    <xf numFmtId="0" fontId="75" fillId="0" borderId="34" xfId="0" applyFont="1" applyBorder="1" applyProtection="1"/>
    <xf numFmtId="0" fontId="75" fillId="0" borderId="0" xfId="0" applyFont="1" applyBorder="1" applyProtection="1"/>
    <xf numFmtId="0" fontId="75" fillId="0" borderId="35" xfId="0" applyFont="1" applyBorder="1" applyProtection="1"/>
    <xf numFmtId="0" fontId="76" fillId="0" borderId="0" xfId="0" applyFont="1" applyProtection="1">
      <protection locked="0"/>
    </xf>
    <xf numFmtId="42" fontId="75" fillId="6" borderId="73" xfId="0" applyNumberFormat="1" applyFont="1" applyFill="1" applyBorder="1" applyProtection="1"/>
    <xf numFmtId="42" fontId="54" fillId="6" borderId="189" xfId="0" applyNumberFormat="1" applyFont="1" applyFill="1" applyBorder="1" applyProtection="1"/>
    <xf numFmtId="170" fontId="16" fillId="0" borderId="206" xfId="0" applyNumberFormat="1" applyFont="1" applyFill="1" applyBorder="1" applyAlignment="1" applyProtection="1">
      <protection locked="0"/>
    </xf>
    <xf numFmtId="171" fontId="16" fillId="0" borderId="229" xfId="0" applyNumberFormat="1" applyFont="1" applyFill="1" applyBorder="1" applyAlignment="1" applyProtection="1">
      <protection locked="0"/>
    </xf>
    <xf numFmtId="0" fontId="3" fillId="0" borderId="418" xfId="0" applyFont="1" applyBorder="1" applyAlignment="1" applyProtection="1">
      <alignment vertical="center"/>
      <protection locked="0"/>
    </xf>
    <xf numFmtId="0" fontId="3" fillId="0" borderId="403" xfId="0" applyFont="1" applyBorder="1" applyAlignment="1" applyProtection="1">
      <alignment vertical="center"/>
      <protection locked="0"/>
    </xf>
    <xf numFmtId="0" fontId="1" fillId="0" borderId="0" xfId="0" applyFont="1" applyFill="1" applyProtection="1"/>
    <xf numFmtId="0" fontId="1" fillId="0" borderId="22" xfId="0" applyFont="1" applyFill="1" applyBorder="1" applyProtection="1"/>
    <xf numFmtId="0" fontId="1" fillId="0" borderId="23" xfId="0" applyFont="1" applyFill="1" applyBorder="1" applyProtection="1"/>
    <xf numFmtId="0" fontId="1" fillId="0" borderId="24" xfId="0" applyFont="1" applyFill="1" applyBorder="1" applyProtection="1"/>
    <xf numFmtId="0" fontId="1" fillId="0" borderId="25" xfId="0" applyFont="1" applyFill="1" applyBorder="1" applyProtection="1"/>
    <xf numFmtId="0" fontId="1" fillId="0" borderId="26"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5" xfId="0" applyFont="1" applyFill="1" applyBorder="1" applyAlignment="1" applyProtection="1">
      <alignment horizontal="left"/>
    </xf>
    <xf numFmtId="0" fontId="20" fillId="16" borderId="42" xfId="0" applyFont="1" applyFill="1" applyBorder="1" applyAlignment="1" applyProtection="1">
      <alignment horizontal="center" wrapText="1"/>
    </xf>
    <xf numFmtId="0" fontId="20" fillId="16" borderId="190" xfId="0" applyFont="1" applyFill="1" applyBorder="1" applyAlignment="1" applyProtection="1">
      <alignment horizontal="left" wrapText="1"/>
    </xf>
    <xf numFmtId="0" fontId="20" fillId="16" borderId="190" xfId="0" applyFont="1" applyFill="1" applyBorder="1" applyAlignment="1" applyProtection="1">
      <alignment horizontal="center" wrapText="1"/>
    </xf>
    <xf numFmtId="0" fontId="40" fillId="16" borderId="190" xfId="0" applyFont="1" applyFill="1" applyBorder="1" applyProtection="1"/>
    <xf numFmtId="0" fontId="2" fillId="16" borderId="43" xfId="0" applyFont="1" applyFill="1" applyBorder="1" applyAlignment="1" applyProtection="1">
      <alignment horizontal="left"/>
    </xf>
    <xf numFmtId="0" fontId="0" fillId="0" borderId="428" xfId="0" applyFont="1" applyFill="1" applyBorder="1" applyAlignment="1" applyProtection="1">
      <alignment horizontal="center"/>
    </xf>
    <xf numFmtId="0" fontId="0" fillId="0" borderId="432" xfId="0" applyFont="1" applyFill="1" applyBorder="1" applyProtection="1"/>
    <xf numFmtId="0" fontId="16" fillId="0" borderId="433" xfId="0" applyFont="1" applyFill="1" applyBorder="1" applyAlignment="1" applyProtection="1">
      <alignment horizontal="center" vertical="top" wrapText="1"/>
      <protection locked="0"/>
    </xf>
    <xf numFmtId="0" fontId="0" fillId="0" borderId="434" xfId="0" applyFont="1" applyFill="1" applyBorder="1" applyAlignment="1" applyProtection="1">
      <alignment horizontal="center"/>
    </xf>
    <xf numFmtId="0" fontId="0" fillId="0" borderId="438" xfId="0" applyFont="1" applyFill="1" applyBorder="1" applyProtection="1"/>
    <xf numFmtId="0" fontId="1" fillId="0" borderId="439" xfId="0" applyFont="1" applyFill="1" applyBorder="1" applyAlignment="1" applyProtection="1">
      <alignment horizontal="center"/>
    </xf>
    <xf numFmtId="0" fontId="0" fillId="0" borderId="440" xfId="0" applyFont="1" applyFill="1" applyBorder="1" applyProtection="1"/>
    <xf numFmtId="0" fontId="0" fillId="0" borderId="439" xfId="0" applyFont="1" applyFill="1" applyBorder="1" applyAlignment="1" applyProtection="1">
      <alignment horizontal="center"/>
    </xf>
    <xf numFmtId="0" fontId="1" fillId="8" borderId="42" xfId="0" applyFont="1" applyFill="1" applyBorder="1" applyAlignment="1" applyProtection="1">
      <alignment horizontal="center"/>
    </xf>
    <xf numFmtId="0" fontId="1" fillId="8" borderId="190" xfId="0" applyFont="1" applyFill="1" applyBorder="1" applyProtection="1"/>
    <xf numFmtId="0" fontId="1" fillId="8" borderId="190" xfId="0" applyFont="1" applyFill="1" applyBorder="1" applyAlignment="1" applyProtection="1">
      <alignment horizontal="center"/>
    </xf>
    <xf numFmtId="0" fontId="1" fillId="16" borderId="43" xfId="0" applyFont="1" applyFill="1" applyBorder="1" applyAlignment="1" applyProtection="1">
      <alignment horizontal="right"/>
    </xf>
    <xf numFmtId="0" fontId="1" fillId="6" borderId="189" xfId="0" applyFont="1" applyFill="1" applyBorder="1" applyProtection="1"/>
    <xf numFmtId="0" fontId="1" fillId="0" borderId="12" xfId="0" applyFont="1" applyFill="1" applyBorder="1" applyAlignment="1" applyProtection="1">
      <alignment horizontal="center"/>
    </xf>
    <xf numFmtId="0" fontId="0" fillId="0" borderId="0" xfId="0" applyFill="1" applyBorder="1" applyProtection="1"/>
    <xf numFmtId="0" fontId="1" fillId="0" borderId="12" xfId="0" applyFont="1" applyFill="1" applyBorder="1" applyProtection="1"/>
    <xf numFmtId="0" fontId="20" fillId="0" borderId="0" xfId="0" applyFont="1" applyFill="1" applyBorder="1" applyAlignment="1" applyProtection="1">
      <alignment horizontal="left"/>
    </xf>
    <xf numFmtId="0" fontId="1" fillId="0" borderId="18" xfId="0" applyFont="1" applyFill="1" applyBorder="1" applyAlignment="1" applyProtection="1">
      <alignment horizontal="center"/>
    </xf>
    <xf numFmtId="0" fontId="1" fillId="0" borderId="447" xfId="0" applyFont="1" applyFill="1" applyBorder="1" applyAlignment="1" applyProtection="1">
      <alignment horizontal="center"/>
    </xf>
    <xf numFmtId="0" fontId="0" fillId="0" borderId="448" xfId="0" applyFont="1" applyFill="1" applyBorder="1" applyProtection="1"/>
    <xf numFmtId="0" fontId="49" fillId="0" borderId="26" xfId="0" applyFont="1" applyFill="1" applyBorder="1" applyProtection="1"/>
    <xf numFmtId="0" fontId="0" fillId="0" borderId="447" xfId="0" applyFont="1" applyFill="1" applyBorder="1" applyAlignment="1" applyProtection="1">
      <alignment horizontal="center"/>
    </xf>
    <xf numFmtId="0" fontId="1" fillId="0" borderId="25" xfId="0" applyFont="1" applyFill="1" applyBorder="1" applyAlignment="1" applyProtection="1"/>
    <xf numFmtId="0" fontId="1" fillId="0" borderId="26" xfId="0" applyFont="1" applyFill="1" applyBorder="1" applyAlignment="1" applyProtection="1"/>
    <xf numFmtId="0" fontId="0" fillId="0" borderId="447" xfId="0" quotePrefix="1" applyFont="1" applyFill="1" applyBorder="1" applyAlignment="1" applyProtection="1">
      <alignment horizontal="center"/>
    </xf>
    <xf numFmtId="0" fontId="1" fillId="0" borderId="18" xfId="0" applyNumberFormat="1" applyFont="1" applyFill="1" applyBorder="1" applyAlignment="1" applyProtection="1">
      <alignment horizontal="center"/>
    </xf>
    <xf numFmtId="0" fontId="0" fillId="0" borderId="454" xfId="0" applyFont="1" applyFill="1" applyBorder="1" applyProtection="1"/>
    <xf numFmtId="0" fontId="1" fillId="0" borderId="447" xfId="0" applyNumberFormat="1" applyFont="1" applyFill="1" applyBorder="1" applyAlignment="1" applyProtection="1">
      <alignment horizontal="center"/>
    </xf>
    <xf numFmtId="0" fontId="0" fillId="0" borderId="455" xfId="0" applyFont="1" applyFill="1" applyBorder="1" applyProtection="1"/>
    <xf numFmtId="0" fontId="20" fillId="29" borderId="42" xfId="0" applyFont="1" applyFill="1" applyBorder="1" applyAlignment="1" applyProtection="1">
      <alignment horizontal="center" wrapText="1"/>
    </xf>
    <xf numFmtId="0" fontId="20" fillId="29" borderId="190" xfId="0" applyFont="1" applyFill="1" applyBorder="1" applyAlignment="1" applyProtection="1">
      <alignment horizontal="left" wrapText="1"/>
    </xf>
    <xf numFmtId="0" fontId="20" fillId="29" borderId="190" xfId="0" applyFont="1" applyFill="1" applyBorder="1" applyAlignment="1" applyProtection="1">
      <alignment horizontal="center" wrapText="1"/>
    </xf>
    <xf numFmtId="0" fontId="40" fillId="29" borderId="190" xfId="0" applyFont="1" applyFill="1" applyBorder="1" applyProtection="1"/>
    <xf numFmtId="0" fontId="2" fillId="29" borderId="43" xfId="0" applyFont="1" applyFill="1" applyBorder="1" applyAlignment="1" applyProtection="1">
      <alignment horizontal="left"/>
    </xf>
    <xf numFmtId="0" fontId="0" fillId="0" borderId="456" xfId="0" applyFont="1" applyFill="1" applyBorder="1" applyAlignment="1" applyProtection="1">
      <alignment horizontal="center"/>
    </xf>
    <xf numFmtId="0" fontId="0" fillId="0" borderId="430" xfId="0" applyFont="1" applyFill="1" applyBorder="1" applyProtection="1"/>
    <xf numFmtId="0" fontId="0" fillId="0" borderId="458" xfId="0" applyFont="1" applyFill="1" applyBorder="1" applyAlignment="1" applyProtection="1">
      <alignment horizontal="center"/>
    </xf>
    <xf numFmtId="16" fontId="0" fillId="0" borderId="459" xfId="0" applyNumberFormat="1" applyFont="1" applyFill="1" applyBorder="1" applyProtection="1"/>
    <xf numFmtId="0" fontId="0" fillId="0" borderId="436" xfId="0" applyFont="1" applyFill="1" applyBorder="1" applyProtection="1"/>
    <xf numFmtId="0" fontId="1" fillId="0" borderId="460" xfId="0" applyNumberFormat="1" applyFont="1" applyFill="1" applyBorder="1" applyAlignment="1" applyProtection="1">
      <alignment horizontal="center"/>
    </xf>
    <xf numFmtId="0" fontId="0" fillId="0" borderId="463" xfId="0" applyFont="1" applyFill="1" applyBorder="1" applyProtection="1"/>
    <xf numFmtId="0" fontId="1" fillId="0" borderId="465" xfId="0" applyFont="1" applyFill="1" applyBorder="1" applyAlignment="1" applyProtection="1">
      <alignment horizontal="center"/>
    </xf>
    <xf numFmtId="16" fontId="0" fillId="0" borderId="442" xfId="0" applyNumberFormat="1" applyFont="1" applyFill="1" applyBorder="1" applyProtection="1"/>
    <xf numFmtId="16" fontId="1" fillId="0" borderId="442" xfId="0" applyNumberFormat="1" applyFont="1" applyFill="1" applyBorder="1" applyProtection="1"/>
    <xf numFmtId="0" fontId="0" fillId="0" borderId="466" xfId="0" applyFont="1" applyFill="1" applyBorder="1" applyProtection="1"/>
    <xf numFmtId="0" fontId="2" fillId="0" borderId="25" xfId="0" applyFont="1" applyFill="1" applyBorder="1" applyProtection="1"/>
    <xf numFmtId="0" fontId="2" fillId="0" borderId="27" xfId="0" applyFont="1" applyFill="1" applyBorder="1" applyProtection="1"/>
    <xf numFmtId="0" fontId="2" fillId="0" borderId="28" xfId="0" applyFont="1" applyFill="1" applyBorder="1" applyProtection="1"/>
    <xf numFmtId="0" fontId="1" fillId="0" borderId="467" xfId="0" applyFont="1" applyFill="1" applyBorder="1" applyAlignment="1" applyProtection="1">
      <alignment horizontal="center"/>
    </xf>
    <xf numFmtId="0" fontId="1" fillId="0" borderId="467" xfId="0" applyFont="1" applyFill="1" applyBorder="1" applyProtection="1"/>
    <xf numFmtId="0" fontId="0" fillId="0" borderId="28" xfId="0" applyFill="1" applyBorder="1" applyProtection="1"/>
    <xf numFmtId="0" fontId="1" fillId="0" borderId="28" xfId="0" applyFont="1" applyFill="1" applyBorder="1" applyProtection="1"/>
    <xf numFmtId="0" fontId="1" fillId="0" borderId="29" xfId="0" applyFont="1" applyFill="1" applyBorder="1" applyProtection="1"/>
    <xf numFmtId="0" fontId="2" fillId="0" borderId="22" xfId="0" applyFont="1" applyFill="1" applyBorder="1" applyProtection="1"/>
    <xf numFmtId="0" fontId="2" fillId="0" borderId="23" xfId="0" applyFont="1" applyFill="1" applyBorder="1" applyProtection="1"/>
    <xf numFmtId="0" fontId="1" fillId="0" borderId="23" xfId="0" applyFont="1" applyFill="1" applyBorder="1" applyAlignment="1" applyProtection="1">
      <alignment horizontal="center"/>
    </xf>
    <xf numFmtId="0" fontId="0" fillId="0" borderId="23" xfId="0" applyFill="1" applyBorder="1" applyProtection="1"/>
    <xf numFmtId="0" fontId="2" fillId="0" borderId="0" xfId="0" applyFont="1" applyFill="1" applyBorder="1" applyAlignment="1" applyProtection="1">
      <alignment horizontal="left"/>
    </xf>
    <xf numFmtId="0" fontId="0" fillId="0" borderId="468" xfId="0" applyFont="1" applyFill="1" applyBorder="1" applyAlignment="1" applyProtection="1">
      <alignment horizontal="center"/>
    </xf>
    <xf numFmtId="0" fontId="0" fillId="0" borderId="471" xfId="0" applyFont="1" applyFill="1" applyBorder="1" applyAlignment="1" applyProtection="1">
      <alignment horizontal="center"/>
    </xf>
    <xf numFmtId="0" fontId="0" fillId="0" borderId="461" xfId="0" applyFont="1" applyFill="1" applyBorder="1" applyProtection="1"/>
    <xf numFmtId="0" fontId="1" fillId="0" borderId="471" xfId="0" applyNumberFormat="1" applyFont="1" applyFill="1" applyBorder="1" applyAlignment="1" applyProtection="1">
      <alignment horizontal="center"/>
    </xf>
    <xf numFmtId="0" fontId="0" fillId="0" borderId="471" xfId="0" quotePrefix="1" applyNumberFormat="1" applyFont="1" applyFill="1" applyBorder="1" applyAlignment="1" applyProtection="1">
      <alignment horizontal="center"/>
    </xf>
    <xf numFmtId="0" fontId="1" fillId="0" borderId="471" xfId="0" applyFont="1" applyFill="1" applyBorder="1" applyAlignment="1" applyProtection="1">
      <alignment horizontal="center"/>
    </xf>
    <xf numFmtId="0" fontId="1" fillId="0" borderId="473" xfId="0" applyFont="1" applyFill="1" applyBorder="1" applyAlignment="1" applyProtection="1">
      <alignment horizontal="center"/>
    </xf>
    <xf numFmtId="0" fontId="1" fillId="0" borderId="468" xfId="0" applyNumberFormat="1" applyFont="1" applyFill="1" applyBorder="1" applyAlignment="1" applyProtection="1">
      <alignment horizontal="center"/>
    </xf>
    <xf numFmtId="0" fontId="0" fillId="0" borderId="476" xfId="0" applyFont="1" applyFill="1" applyBorder="1" applyProtection="1"/>
    <xf numFmtId="0" fontId="0" fillId="0" borderId="477" xfId="0" applyFont="1" applyFill="1" applyBorder="1" applyProtection="1"/>
    <xf numFmtId="0" fontId="1" fillId="0" borderId="25" xfId="0" applyFont="1" applyFill="1" applyBorder="1" applyAlignment="1" applyProtection="1">
      <alignment vertical="top"/>
    </xf>
    <xf numFmtId="0" fontId="1" fillId="0" borderId="0" xfId="0" applyFont="1" applyFill="1" applyBorder="1" applyAlignment="1" applyProtection="1">
      <alignment vertical="top"/>
    </xf>
    <xf numFmtId="0" fontId="1" fillId="0" borderId="471" xfId="0" applyFont="1" applyFill="1" applyBorder="1" applyAlignment="1" applyProtection="1">
      <alignment horizontal="center" vertical="top"/>
    </xf>
    <xf numFmtId="0" fontId="1" fillId="0" borderId="26" xfId="0" applyFont="1" applyFill="1" applyBorder="1" applyAlignment="1" applyProtection="1">
      <alignment vertical="top"/>
    </xf>
    <xf numFmtId="2" fontId="0" fillId="0" borderId="471" xfId="0" quotePrefix="1" applyNumberFormat="1" applyFont="1" applyFill="1" applyBorder="1" applyAlignment="1" applyProtection="1">
      <alignment horizontal="center"/>
    </xf>
    <xf numFmtId="0" fontId="1" fillId="0" borderId="27" xfId="0" applyFont="1" applyFill="1" applyBorder="1" applyProtection="1"/>
    <xf numFmtId="0" fontId="0" fillId="0" borderId="478" xfId="0" applyFont="1" applyFill="1" applyBorder="1" applyAlignment="1" applyProtection="1">
      <alignment horizontal="center"/>
    </xf>
    <xf numFmtId="16" fontId="0" fillId="0" borderId="479"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0" fontId="1" fillId="0" borderId="473" xfId="0" applyNumberFormat="1" applyFont="1" applyFill="1" applyBorder="1" applyAlignment="1" applyProtection="1">
      <alignment horizontal="center"/>
    </xf>
    <xf numFmtId="0" fontId="1" fillId="0" borderId="482" xfId="0" applyFont="1" applyFill="1" applyBorder="1" applyAlignment="1" applyProtection="1">
      <alignment horizontal="right"/>
    </xf>
    <xf numFmtId="0" fontId="1" fillId="6" borderId="483" xfId="0" applyFont="1" applyFill="1" applyBorder="1" applyProtection="1"/>
    <xf numFmtId="0" fontId="1" fillId="0" borderId="484" xfId="0" applyFont="1" applyFill="1" applyBorder="1" applyAlignment="1" applyProtection="1">
      <alignment horizontal="right"/>
    </xf>
    <xf numFmtId="0" fontId="1" fillId="6" borderId="485" xfId="0" applyFont="1" applyFill="1" applyBorder="1" applyProtection="1"/>
    <xf numFmtId="0" fontId="1" fillId="0" borderId="486" xfId="0" applyFont="1" applyFill="1" applyBorder="1" applyAlignment="1" applyProtection="1">
      <alignment horizontal="right"/>
    </xf>
    <xf numFmtId="0" fontId="1" fillId="6" borderId="487" xfId="0" applyFont="1" applyFill="1" applyBorder="1" applyProtection="1"/>
    <xf numFmtId="0" fontId="1" fillId="0" borderId="7" xfId="0" applyFont="1" applyFill="1" applyBorder="1" applyAlignment="1" applyProtection="1">
      <alignment horizontal="right"/>
    </xf>
    <xf numFmtId="0" fontId="1" fillId="6" borderId="16"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189" xfId="0" applyFont="1" applyBorder="1" applyAlignment="1">
      <alignment horizontal="center" vertical="center"/>
    </xf>
    <xf numFmtId="0" fontId="1" fillId="8" borderId="428" xfId="0" applyFont="1" applyFill="1" applyBorder="1" applyAlignment="1" applyProtection="1">
      <alignment horizontal="center"/>
    </xf>
    <xf numFmtId="0" fontId="0" fillId="8" borderId="488" xfId="0" applyFill="1" applyBorder="1" applyProtection="1"/>
    <xf numFmtId="0" fontId="0" fillId="30" borderId="189" xfId="0" applyFill="1" applyBorder="1" applyAlignment="1">
      <alignment horizontal="center" vertical="center"/>
    </xf>
    <xf numFmtId="0" fontId="0" fillId="0" borderId="189" xfId="0" applyBorder="1" applyAlignment="1">
      <alignment horizontal="center"/>
    </xf>
    <xf numFmtId="0" fontId="1" fillId="8" borderId="465" xfId="0" applyFont="1" applyFill="1" applyBorder="1" applyAlignment="1" applyProtection="1">
      <alignment horizontal="center"/>
    </xf>
    <xf numFmtId="0" fontId="0" fillId="8" borderId="489" xfId="0" applyFill="1" applyBorder="1" applyProtection="1"/>
    <xf numFmtId="0" fontId="1" fillId="8" borderId="18" xfId="0" applyFont="1" applyFill="1" applyBorder="1" applyAlignment="1" applyProtection="1">
      <alignment horizontal="center"/>
    </xf>
    <xf numFmtId="0" fontId="1" fillId="8" borderId="447" xfId="0" applyFont="1" applyFill="1" applyBorder="1" applyAlignment="1" applyProtection="1">
      <alignment horizontal="center"/>
    </xf>
    <xf numFmtId="0" fontId="0" fillId="8" borderId="490" xfId="0" applyFill="1" applyBorder="1" applyProtection="1"/>
    <xf numFmtId="0" fontId="0" fillId="30" borderId="189" xfId="0" applyFill="1" applyBorder="1" applyAlignment="1">
      <alignment horizontal="center" vertical="center" wrapText="1"/>
    </xf>
    <xf numFmtId="0" fontId="0" fillId="0" borderId="0" xfId="0" applyNumberFormat="1" applyAlignment="1">
      <alignment horizontal="center"/>
    </xf>
    <xf numFmtId="0" fontId="0" fillId="8" borderId="447" xfId="0" applyFont="1" applyFill="1" applyBorder="1" applyAlignment="1" applyProtection="1">
      <alignment horizontal="center"/>
    </xf>
    <xf numFmtId="0" fontId="1" fillId="8" borderId="447" xfId="0" quotePrefix="1" applyFont="1" applyFill="1" applyBorder="1" applyAlignment="1" applyProtection="1">
      <alignment horizontal="center"/>
    </xf>
    <xf numFmtId="0" fontId="16" fillId="8" borderId="490"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491" xfId="0" applyFont="1" applyFill="1" applyBorder="1" applyAlignment="1" applyProtection="1">
      <alignment horizontal="center"/>
    </xf>
    <xf numFmtId="0" fontId="0" fillId="8" borderId="432" xfId="0" applyFill="1" applyBorder="1" applyProtection="1"/>
    <xf numFmtId="0" fontId="1" fillId="8" borderId="460" xfId="0" applyFont="1" applyFill="1" applyBorder="1" applyAlignment="1" applyProtection="1">
      <alignment horizontal="center"/>
    </xf>
    <xf numFmtId="0" fontId="0" fillId="8" borderId="492" xfId="0" applyFill="1" applyBorder="1" applyProtection="1"/>
    <xf numFmtId="0" fontId="0" fillId="0" borderId="0" xfId="0" applyNumberFormat="1" applyBorder="1" applyAlignment="1">
      <alignment horizontal="center"/>
    </xf>
    <xf numFmtId="0" fontId="0" fillId="8" borderId="493" xfId="0" applyFill="1" applyBorder="1" applyProtection="1"/>
    <xf numFmtId="0" fontId="1" fillId="8" borderId="468" xfId="0" applyFont="1" applyFill="1" applyBorder="1" applyAlignment="1" applyProtection="1">
      <alignment horizontal="center"/>
    </xf>
    <xf numFmtId="0" fontId="0" fillId="8" borderId="494" xfId="0" applyFill="1" applyBorder="1" applyProtection="1"/>
    <xf numFmtId="0" fontId="0" fillId="8" borderId="471" xfId="0" applyFont="1" applyFill="1" applyBorder="1" applyAlignment="1" applyProtection="1">
      <alignment horizontal="center"/>
    </xf>
    <xf numFmtId="0" fontId="0" fillId="8" borderId="495" xfId="0" applyFill="1" applyBorder="1" applyProtection="1"/>
    <xf numFmtId="0" fontId="1" fillId="8" borderId="471" xfId="0" applyFont="1" applyFill="1" applyBorder="1" applyAlignment="1" applyProtection="1">
      <alignment horizontal="center"/>
    </xf>
    <xf numFmtId="0" fontId="16" fillId="8" borderId="495" xfId="0" applyFont="1" applyFill="1" applyBorder="1" applyProtection="1"/>
    <xf numFmtId="16" fontId="0" fillId="30" borderId="189" xfId="0" quotePrefix="1" applyNumberFormat="1" applyFill="1" applyBorder="1" applyAlignment="1">
      <alignment horizontal="center" vertical="center" wrapText="1"/>
    </xf>
    <xf numFmtId="0" fontId="1" fillId="8" borderId="473" xfId="0" applyFont="1" applyFill="1" applyBorder="1" applyAlignment="1" applyProtection="1">
      <alignment horizontal="center"/>
    </xf>
    <xf numFmtId="0" fontId="0" fillId="8" borderId="496" xfId="0" applyFill="1" applyBorder="1" applyProtection="1"/>
    <xf numFmtId="0" fontId="0" fillId="0" borderId="189" xfId="0" quotePrefix="1" applyBorder="1" applyAlignment="1">
      <alignment horizontal="center"/>
    </xf>
    <xf numFmtId="0" fontId="1" fillId="8" borderId="471" xfId="0" applyFont="1" applyFill="1" applyBorder="1" applyAlignment="1" applyProtection="1">
      <alignment horizontal="center" vertical="top"/>
    </xf>
    <xf numFmtId="0" fontId="1" fillId="8" borderId="497" xfId="0" applyFont="1" applyFill="1" applyBorder="1" applyAlignment="1" applyProtection="1">
      <alignment horizontal="center"/>
    </xf>
    <xf numFmtId="0" fontId="0" fillId="8" borderId="498" xfId="0" applyFill="1" applyBorder="1" applyProtection="1"/>
    <xf numFmtId="0" fontId="0" fillId="0" borderId="64" xfId="0" applyBorder="1" applyAlignment="1">
      <alignment horizontal="center"/>
    </xf>
    <xf numFmtId="0" fontId="1" fillId="8" borderId="134" xfId="0" applyFont="1" applyFill="1" applyBorder="1" applyAlignment="1" applyProtection="1">
      <alignment horizontal="center"/>
    </xf>
    <xf numFmtId="0" fontId="0" fillId="8" borderId="134" xfId="0" applyFill="1" applyBorder="1" applyProtection="1"/>
    <xf numFmtId="0" fontId="1" fillId="8" borderId="434" xfId="0" applyFont="1" applyFill="1" applyBorder="1" applyAlignment="1" applyProtection="1">
      <alignment horizontal="center"/>
    </xf>
    <xf numFmtId="0" fontId="0" fillId="8" borderId="499" xfId="0" applyFill="1" applyBorder="1" applyProtection="1"/>
    <xf numFmtId="0" fontId="3" fillId="8" borderId="500" xfId="0" applyFont="1" applyFill="1" applyBorder="1" applyAlignment="1" applyProtection="1">
      <alignment wrapText="1"/>
    </xf>
    <xf numFmtId="0" fontId="0" fillId="0" borderId="3" xfId="0" applyBorder="1" applyAlignment="1">
      <alignment horizontal="center"/>
    </xf>
    <xf numFmtId="0" fontId="3" fillId="8" borderId="501" xfId="0" applyFont="1" applyFill="1" applyBorder="1" applyAlignment="1" applyProtection="1">
      <alignment wrapText="1"/>
    </xf>
    <xf numFmtId="0" fontId="0" fillId="0" borderId="134" xfId="0" applyNumberFormat="1" applyBorder="1" applyAlignment="1">
      <alignment horizontal="center"/>
    </xf>
    <xf numFmtId="0" fontId="0" fillId="0" borderId="502" xfId="0" applyFill="1" applyBorder="1" applyProtection="1"/>
    <xf numFmtId="0" fontId="0" fillId="0" borderId="503" xfId="0" applyFill="1" applyBorder="1" applyProtection="1"/>
    <xf numFmtId="0" fontId="0" fillId="0" borderId="504" xfId="0" applyBorder="1" applyAlignment="1">
      <alignment horizontal="center"/>
    </xf>
    <xf numFmtId="16" fontId="0" fillId="0" borderId="189" xfId="0" quotePrefix="1" applyNumberFormat="1" applyBorder="1" applyAlignment="1">
      <alignment horizontal="center"/>
    </xf>
    <xf numFmtId="0" fontId="1" fillId="8" borderId="0" xfId="0" applyFont="1" applyFill="1" applyBorder="1" applyAlignment="1" applyProtection="1">
      <alignment horizontal="center"/>
    </xf>
    <xf numFmtId="0" fontId="0" fillId="8" borderId="505" xfId="0" applyFill="1" applyBorder="1" applyProtection="1"/>
    <xf numFmtId="0" fontId="3" fillId="8" borderId="506" xfId="0" applyFont="1" applyFill="1" applyBorder="1" applyAlignment="1" applyProtection="1">
      <alignment wrapText="1"/>
    </xf>
    <xf numFmtId="0" fontId="0" fillId="0" borderId="65" xfId="0" applyBorder="1" applyAlignment="1">
      <alignment horizontal="center"/>
    </xf>
    <xf numFmtId="0" fontId="1" fillId="8" borderId="9" xfId="0" applyFont="1" applyFill="1" applyBorder="1" applyAlignment="1" applyProtection="1">
      <alignment horizontal="center"/>
    </xf>
    <xf numFmtId="0" fontId="0" fillId="8" borderId="507" xfId="0" applyFill="1" applyBorder="1" applyProtection="1"/>
    <xf numFmtId="0" fontId="0" fillId="30" borderId="504" xfId="0" applyFill="1" applyBorder="1" applyAlignment="1">
      <alignment horizontal="center" vertical="center" wrapText="1"/>
    </xf>
    <xf numFmtId="0" fontId="0" fillId="0" borderId="502" xfId="0" applyBorder="1"/>
    <xf numFmtId="0" fontId="0" fillId="30" borderId="3" xfId="0" applyFill="1" applyBorder="1" applyAlignment="1">
      <alignment horizontal="center" vertical="center" wrapText="1"/>
    </xf>
    <xf numFmtId="0" fontId="3" fillId="8" borderId="508" xfId="0" applyFont="1" applyFill="1" applyBorder="1" applyAlignment="1" applyProtection="1">
      <alignment wrapText="1"/>
    </xf>
    <xf numFmtId="0" fontId="0" fillId="30" borderId="64" xfId="0" applyFill="1" applyBorder="1" applyAlignment="1">
      <alignment horizontal="center" vertical="center" wrapText="1"/>
    </xf>
    <xf numFmtId="0" fontId="3" fillId="8" borderId="0" xfId="0" applyFont="1" applyFill="1" applyBorder="1" applyAlignment="1" applyProtection="1">
      <alignment wrapText="1"/>
    </xf>
    <xf numFmtId="0" fontId="0" fillId="0" borderId="502" xfId="0" applyBorder="1" applyProtection="1"/>
    <xf numFmtId="0" fontId="0" fillId="0" borderId="503" xfId="0" applyBorder="1"/>
    <xf numFmtId="0" fontId="0" fillId="0" borderId="18"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189"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47" xfId="0" applyNumberFormat="1" applyFont="1" applyFill="1" applyBorder="1" applyAlignment="1" applyProtection="1">
      <alignment vertical="center"/>
      <protection locked="0"/>
    </xf>
    <xf numFmtId="42" fontId="23" fillId="0" borderId="348" xfId="0" applyNumberFormat="1" applyFont="1" applyFill="1" applyBorder="1" applyAlignment="1" applyProtection="1">
      <alignment vertical="center"/>
      <protection locked="0"/>
    </xf>
    <xf numFmtId="42" fontId="23" fillId="0" borderId="179"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46" xfId="0" applyNumberFormat="1" applyFont="1" applyFill="1" applyBorder="1" applyAlignment="1" applyProtection="1">
      <alignment horizontal="right"/>
    </xf>
    <xf numFmtId="166" fontId="17" fillId="0" borderId="511" xfId="0" applyNumberFormat="1" applyFont="1" applyFill="1" applyBorder="1" applyProtection="1"/>
    <xf numFmtId="9" fontId="16" fillId="0" borderId="290" xfId="0" applyNumberFormat="1" applyFont="1" applyFill="1" applyBorder="1" applyAlignment="1" applyProtection="1">
      <alignment horizontal="right" wrapText="1"/>
      <protection locked="0"/>
    </xf>
    <xf numFmtId="0" fontId="24" fillId="0" borderId="0" xfId="0" applyFont="1"/>
    <xf numFmtId="0" fontId="24" fillId="0" borderId="174" xfId="0" applyFont="1" applyBorder="1"/>
    <xf numFmtId="0" fontId="24" fillId="0" borderId="158" xfId="0" applyFont="1" applyBorder="1"/>
    <xf numFmtId="0" fontId="24" fillId="0" borderId="177" xfId="0" applyFont="1" applyBorder="1"/>
    <xf numFmtId="0" fontId="24" fillId="0" borderId="509" xfId="0" applyFont="1" applyBorder="1"/>
    <xf numFmtId="0" fontId="24" fillId="0" borderId="125" xfId="0" applyFont="1" applyBorder="1"/>
    <xf numFmtId="0" fontId="24" fillId="0" borderId="395" xfId="0" applyFont="1" applyBorder="1"/>
    <xf numFmtId="0" fontId="24" fillId="0" borderId="396" xfId="0" applyFont="1" applyBorder="1"/>
    <xf numFmtId="0" fontId="24" fillId="0" borderId="2" xfId="0" applyFont="1" applyBorder="1"/>
    <xf numFmtId="0" fontId="24" fillId="0" borderId="0" xfId="0" applyFont="1" applyBorder="1"/>
    <xf numFmtId="0" fontId="40" fillId="0" borderId="125" xfId="0" applyFont="1" applyBorder="1"/>
    <xf numFmtId="0" fontId="40" fillId="0" borderId="395" xfId="0" applyFont="1" applyBorder="1"/>
    <xf numFmtId="0" fontId="40" fillId="0" borderId="396" xfId="0" applyFont="1" applyBorder="1"/>
    <xf numFmtId="0" fontId="79" fillId="0" borderId="0" xfId="0" applyFont="1" applyBorder="1"/>
    <xf numFmtId="0" fontId="40" fillId="0" borderId="0" xfId="0" applyFont="1"/>
    <xf numFmtId="0" fontId="24" fillId="0" borderId="7" xfId="0" applyFont="1" applyBorder="1"/>
    <xf numFmtId="0" fontId="24" fillId="0" borderId="185" xfId="0" applyFont="1" applyBorder="1"/>
    <xf numFmtId="0" fontId="40" fillId="6" borderId="117" xfId="0" applyFont="1" applyFill="1" applyBorder="1"/>
    <xf numFmtId="0" fontId="16" fillId="16" borderId="10" xfId="0" applyFont="1" applyFill="1" applyBorder="1" applyAlignment="1" applyProtection="1">
      <alignment wrapText="1"/>
    </xf>
    <xf numFmtId="166" fontId="16" fillId="16" borderId="10" xfId="0" applyNumberFormat="1" applyFont="1" applyFill="1" applyBorder="1" applyAlignment="1" applyProtection="1">
      <alignment wrapText="1"/>
    </xf>
    <xf numFmtId="9" fontId="16" fillId="16" borderId="10" xfId="0" applyNumberFormat="1" applyFont="1" applyFill="1" applyBorder="1" applyAlignment="1" applyProtection="1">
      <alignment wrapText="1"/>
    </xf>
    <xf numFmtId="166" fontId="16" fillId="16" borderId="16" xfId="0" applyNumberFormat="1" applyFont="1" applyFill="1" applyBorder="1" applyAlignment="1" applyProtection="1">
      <alignment wrapText="1"/>
    </xf>
    <xf numFmtId="0" fontId="0" fillId="0" borderId="513" xfId="0" applyFont="1" applyFill="1" applyBorder="1" applyProtection="1"/>
    <xf numFmtId="0" fontId="0" fillId="0" borderId="512" xfId="0" applyFont="1" applyFill="1" applyBorder="1" applyProtection="1"/>
    <xf numFmtId="3" fontId="15" fillId="0" borderId="155" xfId="0" applyNumberFormat="1" applyFont="1" applyFill="1" applyBorder="1" applyAlignment="1" applyProtection="1">
      <alignment horizontal="left"/>
    </xf>
    <xf numFmtId="0" fontId="0" fillId="0" borderId="155" xfId="0" applyFont="1" applyFill="1" applyBorder="1" applyProtection="1"/>
    <xf numFmtId="0" fontId="0" fillId="0" borderId="514" xfId="0" applyFont="1" applyFill="1" applyBorder="1" applyProtection="1"/>
    <xf numFmtId="3" fontId="3" fillId="26" borderId="60" xfId="0" applyNumberFormat="1" applyFont="1" applyFill="1" applyBorder="1" applyAlignment="1" applyProtection="1">
      <alignment horizontal="center" vertical="center" wrapText="1"/>
    </xf>
    <xf numFmtId="42" fontId="8" fillId="0" borderId="244" xfId="0" applyNumberFormat="1" applyFont="1" applyFill="1" applyBorder="1" applyAlignment="1" applyProtection="1">
      <protection locked="0"/>
    </xf>
    <xf numFmtId="0" fontId="0" fillId="5" borderId="0" xfId="0" applyFill="1"/>
    <xf numFmtId="0" fontId="20" fillId="16" borderId="127" xfId="0" applyFont="1" applyFill="1" applyBorder="1" applyAlignment="1" applyProtection="1">
      <alignment horizontal="center" vertical="center" wrapText="1"/>
    </xf>
    <xf numFmtId="0" fontId="0" fillId="0" borderId="83" xfId="0" applyBorder="1" applyProtection="1"/>
    <xf numFmtId="0" fontId="0" fillId="0" borderId="84" xfId="0" applyBorder="1" applyProtection="1"/>
    <xf numFmtId="0" fontId="3" fillId="0" borderId="77" xfId="0" applyFont="1" applyBorder="1" applyProtection="1"/>
    <xf numFmtId="0" fontId="0" fillId="0" borderId="78" xfId="0" applyBorder="1" applyProtection="1"/>
    <xf numFmtId="0" fontId="0" fillId="0" borderId="25" xfId="0" applyBorder="1" applyProtection="1"/>
    <xf numFmtId="0" fontId="24" fillId="0" borderId="0" xfId="0" applyFont="1" applyProtection="1"/>
    <xf numFmtId="0" fontId="0" fillId="0" borderId="105" xfId="0" applyBorder="1" applyProtection="1"/>
    <xf numFmtId="0" fontId="40" fillId="16" borderId="173" xfId="0" applyFont="1" applyFill="1" applyBorder="1" applyProtection="1"/>
    <xf numFmtId="0" fontId="0" fillId="0" borderId="27" xfId="0" applyBorder="1" applyProtection="1"/>
    <xf numFmtId="0" fontId="0" fillId="0" borderId="29"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7" xfId="0" applyFont="1" applyFill="1" applyBorder="1" applyAlignment="1" applyProtection="1"/>
    <xf numFmtId="0" fontId="0" fillId="8" borderId="274" xfId="0" applyFont="1" applyFill="1" applyBorder="1" applyAlignment="1" applyProtection="1"/>
    <xf numFmtId="0" fontId="16" fillId="8" borderId="231" xfId="0" applyFont="1" applyFill="1" applyBorder="1" applyAlignment="1" applyProtection="1"/>
    <xf numFmtId="0" fontId="0" fillId="8" borderId="403" xfId="0" applyFont="1" applyFill="1" applyBorder="1" applyAlignment="1" applyProtection="1"/>
    <xf numFmtId="42" fontId="23" fillId="12" borderId="44" xfId="0" applyNumberFormat="1" applyFont="1" applyFill="1" applyBorder="1" applyAlignment="1" applyProtection="1">
      <alignment vertical="center"/>
    </xf>
    <xf numFmtId="42" fontId="23" fillId="12" borderId="69" xfId="0" applyNumberFormat="1" applyFont="1" applyFill="1" applyBorder="1" applyAlignment="1" applyProtection="1">
      <alignment vertical="center"/>
    </xf>
    <xf numFmtId="42" fontId="23" fillId="12" borderId="41" xfId="0" applyNumberFormat="1" applyFont="1" applyFill="1" applyBorder="1" applyAlignment="1" applyProtection="1">
      <alignment vertical="center"/>
    </xf>
    <xf numFmtId="42" fontId="23" fillId="12" borderId="11" xfId="0" applyNumberFormat="1" applyFont="1" applyFill="1" applyBorder="1" applyAlignment="1" applyProtection="1">
      <alignment vertical="center"/>
    </xf>
    <xf numFmtId="42" fontId="23" fillId="12" borderId="75" xfId="0" applyNumberFormat="1" applyFont="1" applyFill="1" applyBorder="1" applyAlignment="1" applyProtection="1">
      <alignment vertical="center"/>
    </xf>
    <xf numFmtId="42" fontId="23" fillId="12" borderId="113" xfId="0" applyNumberFormat="1" applyFont="1" applyFill="1" applyBorder="1" applyAlignment="1" applyProtection="1">
      <alignment vertical="center"/>
    </xf>
    <xf numFmtId="0" fontId="54" fillId="6" borderId="217" xfId="0" applyFont="1" applyFill="1" applyBorder="1" applyProtection="1"/>
    <xf numFmtId="0" fontId="0" fillId="0" borderId="34" xfId="0" applyFont="1" applyBorder="1" applyProtection="1"/>
    <xf numFmtId="0" fontId="0" fillId="0" borderId="35" xfId="0" applyFont="1" applyBorder="1" applyProtection="1"/>
    <xf numFmtId="0" fontId="16" fillId="8" borderId="306" xfId="0" applyFont="1" applyFill="1" applyBorder="1" applyAlignment="1" applyProtection="1">
      <alignment vertical="center"/>
    </xf>
    <xf numFmtId="0" fontId="16" fillId="8" borderId="310" xfId="0" applyFont="1" applyFill="1" applyBorder="1" applyAlignment="1" applyProtection="1">
      <alignment vertical="center"/>
    </xf>
    <xf numFmtId="44" fontId="16" fillId="8" borderId="7" xfId="0" applyNumberFormat="1" applyFont="1" applyFill="1" applyBorder="1" applyAlignment="1" applyProtection="1">
      <alignment vertical="center"/>
    </xf>
    <xf numFmtId="44" fontId="16" fillId="8" borderId="215" xfId="0" applyNumberFormat="1" applyFont="1" applyFill="1" applyBorder="1" applyAlignment="1" applyProtection="1"/>
    <xf numFmtId="9" fontId="16" fillId="8" borderId="7" xfId="0" applyNumberFormat="1" applyFont="1" applyFill="1" applyBorder="1" applyAlignment="1" applyProtection="1"/>
    <xf numFmtId="1" fontId="16" fillId="8" borderId="215" xfId="0" applyNumberFormat="1" applyFont="1" applyFill="1" applyBorder="1" applyAlignment="1" applyProtection="1"/>
    <xf numFmtId="0" fontId="16" fillId="8" borderId="215" xfId="0" applyFont="1" applyFill="1" applyBorder="1" applyAlignment="1" applyProtection="1"/>
    <xf numFmtId="0" fontId="16" fillId="8" borderId="306" xfId="0" applyFont="1" applyFill="1" applyBorder="1" applyAlignment="1" applyProtection="1"/>
    <xf numFmtId="0" fontId="16" fillId="8" borderId="310" xfId="0" applyFont="1" applyFill="1" applyBorder="1" applyAlignment="1" applyProtection="1"/>
    <xf numFmtId="166" fontId="16" fillId="8" borderId="7" xfId="0" applyNumberFormat="1" applyFont="1" applyFill="1" applyBorder="1" applyAlignment="1" applyProtection="1"/>
    <xf numFmtId="0" fontId="16" fillId="8" borderId="218" xfId="0" applyFont="1" applyFill="1" applyBorder="1" applyAlignment="1" applyProtection="1"/>
    <xf numFmtId="9" fontId="16" fillId="8" borderId="219" xfId="0" applyNumberFormat="1" applyFont="1" applyFill="1" applyBorder="1" applyAlignment="1" applyProtection="1"/>
    <xf numFmtId="0" fontId="16" fillId="8" borderId="220" xfId="0" applyFont="1" applyFill="1" applyBorder="1" applyAlignment="1" applyProtection="1"/>
    <xf numFmtId="0" fontId="16" fillId="8" borderId="232" xfId="0" applyFont="1" applyFill="1" applyBorder="1" applyAlignment="1" applyProtection="1"/>
    <xf numFmtId="0" fontId="16" fillId="8" borderId="87" xfId="0" applyFont="1" applyFill="1" applyBorder="1" applyAlignment="1" applyProtection="1"/>
    <xf numFmtId="0" fontId="0" fillId="0" borderId="25" xfId="0" applyFont="1" applyFill="1" applyBorder="1" applyProtection="1"/>
    <xf numFmtId="0" fontId="0" fillId="0" borderId="26" xfId="0" applyFont="1" applyFill="1" applyBorder="1" applyProtection="1"/>
    <xf numFmtId="0" fontId="0" fillId="0" borderId="23" xfId="0" applyBorder="1" applyProtection="1"/>
    <xf numFmtId="0" fontId="0" fillId="0" borderId="24" xfId="0" applyBorder="1" applyProtection="1"/>
    <xf numFmtId="0" fontId="0" fillId="0" borderId="26" xfId="0" applyBorder="1" applyProtection="1"/>
    <xf numFmtId="0" fontId="0" fillId="0" borderId="26" xfId="0" applyFill="1" applyBorder="1" applyProtection="1"/>
    <xf numFmtId="0" fontId="42" fillId="0" borderId="48" xfId="0" applyNumberFormat="1" applyFont="1" applyBorder="1" applyProtection="1"/>
    <xf numFmtId="0" fontId="0" fillId="0" borderId="28" xfId="0" applyBorder="1" applyProtection="1"/>
    <xf numFmtId="9" fontId="8" fillId="8" borderId="53" xfId="0" applyNumberFormat="1" applyFont="1" applyFill="1" applyBorder="1" applyAlignment="1" applyProtection="1">
      <alignment vertical="center"/>
    </xf>
    <xf numFmtId="1" fontId="8" fillId="8" borderId="57" xfId="0" applyNumberFormat="1" applyFont="1" applyFill="1" applyBorder="1" applyAlignment="1" applyProtection="1"/>
    <xf numFmtId="42" fontId="8" fillId="8" borderId="57" xfId="0" applyNumberFormat="1" applyFont="1" applyFill="1" applyBorder="1" applyAlignment="1" applyProtection="1"/>
    <xf numFmtId="42" fontId="5" fillId="8" borderId="57" xfId="0" applyNumberFormat="1" applyFont="1" applyFill="1" applyBorder="1" applyAlignment="1" applyProtection="1">
      <alignment wrapText="1"/>
    </xf>
    <xf numFmtId="42" fontId="5" fillId="8" borderId="88" xfId="0" applyNumberFormat="1" applyFont="1" applyFill="1" applyBorder="1" applyAlignment="1" applyProtection="1">
      <alignment wrapText="1"/>
    </xf>
    <xf numFmtId="42" fontId="5" fillId="6" borderId="270" xfId="0" applyNumberFormat="1" applyFont="1" applyFill="1" applyBorder="1" applyAlignment="1" applyProtection="1">
      <alignment wrapText="1"/>
    </xf>
    <xf numFmtId="42" fontId="5" fillId="6" borderId="271" xfId="0" applyNumberFormat="1" applyFont="1" applyFill="1" applyBorder="1" applyAlignment="1" applyProtection="1">
      <alignment wrapText="1"/>
    </xf>
    <xf numFmtId="0" fontId="0" fillId="0" borderId="25" xfId="0" applyFill="1" applyBorder="1" applyProtection="1"/>
    <xf numFmtId="0" fontId="43" fillId="16" borderId="201" xfId="0" applyFont="1" applyFill="1" applyBorder="1" applyAlignment="1" applyProtection="1">
      <alignment horizontal="center" vertical="center" wrapText="1"/>
    </xf>
    <xf numFmtId="6" fontId="20" fillId="16" borderId="242" xfId="0" applyNumberFormat="1" applyFont="1" applyFill="1" applyBorder="1" applyAlignment="1" applyProtection="1"/>
    <xf numFmtId="42" fontId="16" fillId="6" borderId="371" xfId="0" applyNumberFormat="1" applyFont="1" applyFill="1" applyBorder="1" applyAlignment="1" applyProtection="1"/>
    <xf numFmtId="42" fontId="16" fillId="6" borderId="350" xfId="0" applyNumberFormat="1" applyFont="1" applyFill="1" applyBorder="1" applyAlignment="1" applyProtection="1"/>
    <xf numFmtId="42" fontId="16" fillId="6" borderId="400" xfId="0" applyNumberFormat="1" applyFont="1" applyFill="1" applyBorder="1" applyAlignment="1" applyProtection="1"/>
    <xf numFmtId="42" fontId="16" fillId="6" borderId="398" xfId="0" applyNumberFormat="1" applyFont="1" applyFill="1" applyBorder="1" applyAlignment="1" applyProtection="1"/>
    <xf numFmtId="42" fontId="41" fillId="25" borderId="45" xfId="0" applyNumberFormat="1" applyFont="1" applyFill="1" applyBorder="1" applyAlignment="1" applyProtection="1"/>
    <xf numFmtId="0" fontId="0" fillId="0" borderId="83" xfId="0" applyFont="1" applyFill="1" applyBorder="1" applyProtection="1"/>
    <xf numFmtId="0" fontId="0" fillId="0" borderId="84" xfId="0" applyFont="1" applyFill="1" applyBorder="1" applyProtection="1"/>
    <xf numFmtId="42" fontId="41" fillId="25" borderId="74" xfId="0" applyNumberFormat="1" applyFont="1" applyFill="1" applyBorder="1" applyAlignment="1" applyProtection="1"/>
    <xf numFmtId="42" fontId="16" fillId="6" borderId="337" xfId="0" applyNumberFormat="1" applyFont="1" applyFill="1" applyBorder="1" applyAlignment="1" applyProtection="1">
      <alignment horizontal="right" wrapText="1"/>
    </xf>
    <xf numFmtId="42" fontId="16" fillId="6" borderId="301" xfId="0" applyNumberFormat="1" applyFont="1" applyFill="1" applyBorder="1" applyAlignment="1" applyProtection="1">
      <alignment horizontal="right" wrapText="1"/>
    </xf>
    <xf numFmtId="42" fontId="16" fillId="6" borderId="285" xfId="0" applyNumberFormat="1" applyFont="1" applyFill="1" applyBorder="1" applyAlignment="1" applyProtection="1">
      <alignment horizontal="right" wrapText="1"/>
    </xf>
    <xf numFmtId="42" fontId="16" fillId="6" borderId="286" xfId="0" applyNumberFormat="1" applyFont="1" applyFill="1" applyBorder="1" applyAlignment="1" applyProtection="1">
      <alignment horizontal="right" wrapText="1"/>
    </xf>
    <xf numFmtId="42" fontId="16" fillId="6" borderId="394" xfId="0" applyNumberFormat="1" applyFont="1" applyFill="1" applyBorder="1" applyAlignment="1" applyProtection="1">
      <alignment horizontal="right" wrapText="1"/>
    </xf>
    <xf numFmtId="42" fontId="16" fillId="6" borderId="290" xfId="0" applyNumberFormat="1" applyFont="1" applyFill="1" applyBorder="1" applyAlignment="1" applyProtection="1">
      <alignment horizontal="right" wrapText="1"/>
    </xf>
    <xf numFmtId="42" fontId="16" fillId="6" borderId="338" xfId="0" applyNumberFormat="1" applyFont="1" applyFill="1" applyBorder="1" applyAlignment="1" applyProtection="1">
      <alignment horizontal="right" wrapText="1"/>
    </xf>
    <xf numFmtId="0" fontId="16" fillId="28" borderId="509"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49" xfId="0" applyNumberFormat="1" applyFont="1" applyFill="1" applyBorder="1" applyAlignment="1" applyProtection="1">
      <alignment horizontal="right" wrapText="1"/>
    </xf>
    <xf numFmtId="6" fontId="16" fillId="28" borderId="146" xfId="0" applyNumberFormat="1" applyFont="1" applyFill="1" applyBorder="1" applyAlignment="1" applyProtection="1">
      <alignment horizontal="right"/>
    </xf>
    <xf numFmtId="6" fontId="16" fillId="28" borderId="147" xfId="0" applyNumberFormat="1" applyFont="1" applyFill="1" applyBorder="1" applyAlignment="1" applyProtection="1">
      <alignment horizontal="right"/>
    </xf>
    <xf numFmtId="6" fontId="16" fillId="28" borderId="148" xfId="0" applyNumberFormat="1" applyFont="1" applyFill="1" applyBorder="1" applyAlignment="1" applyProtection="1">
      <alignment horizontal="right"/>
    </xf>
    <xf numFmtId="42" fontId="16" fillId="6" borderId="399" xfId="0" applyNumberFormat="1" applyFont="1" applyFill="1" applyBorder="1" applyAlignment="1" applyProtection="1">
      <alignment horizontal="right" wrapText="1"/>
    </xf>
    <xf numFmtId="0" fontId="0" fillId="0" borderId="26" xfId="0" applyFont="1" applyBorder="1" applyProtection="1"/>
    <xf numFmtId="0" fontId="0" fillId="0" borderId="131" xfId="0" applyFont="1" applyFill="1" applyBorder="1" applyProtection="1"/>
    <xf numFmtId="0" fontId="0" fillId="0" borderId="48" xfId="0" applyFont="1" applyFill="1" applyBorder="1" applyProtection="1"/>
    <xf numFmtId="0" fontId="0" fillId="0" borderId="55" xfId="0" applyFont="1" applyFill="1" applyBorder="1" applyProtection="1"/>
    <xf numFmtId="5" fontId="41" fillId="8" borderId="142" xfId="0" applyNumberFormat="1" applyFont="1" applyFill="1" applyBorder="1" applyAlignment="1" applyProtection="1">
      <alignment horizontal="right" vertical="center"/>
    </xf>
    <xf numFmtId="5" fontId="41" fillId="8" borderId="143" xfId="0" applyNumberFormat="1" applyFont="1" applyFill="1" applyBorder="1" applyAlignment="1" applyProtection="1">
      <alignment horizontal="right" vertical="center"/>
    </xf>
    <xf numFmtId="0" fontId="0" fillId="0" borderId="56" xfId="0" applyFont="1" applyFill="1" applyBorder="1" applyProtection="1"/>
    <xf numFmtId="0" fontId="0" fillId="0" borderId="387" xfId="0" applyFont="1" applyFill="1" applyBorder="1" applyProtection="1"/>
    <xf numFmtId="0" fontId="0" fillId="0" borderId="200" xfId="0" applyFont="1" applyFill="1" applyBorder="1" applyProtection="1"/>
    <xf numFmtId="0" fontId="0" fillId="0" borderId="130" xfId="0" applyBorder="1" applyProtection="1"/>
    <xf numFmtId="0" fontId="0" fillId="0" borderId="131" xfId="0" applyBorder="1" applyProtection="1"/>
    <xf numFmtId="0" fontId="16" fillId="0" borderId="532" xfId="0" applyFont="1" applyFill="1" applyBorder="1" applyAlignment="1" applyProtection="1">
      <alignment vertical="top"/>
    </xf>
    <xf numFmtId="0" fontId="0" fillId="0" borderId="24" xfId="0" applyFont="1" applyFill="1" applyBorder="1" applyProtection="1"/>
    <xf numFmtId="0" fontId="16" fillId="0" borderId="12"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29" xfId="0" applyFont="1" applyFill="1" applyBorder="1" applyProtection="1"/>
    <xf numFmtId="0" fontId="20" fillId="8" borderId="306" xfId="0" applyFont="1" applyFill="1" applyBorder="1" applyAlignment="1" applyProtection="1">
      <alignment wrapText="1"/>
    </xf>
    <xf numFmtId="0" fontId="20" fillId="8" borderId="307" xfId="0" applyFont="1" applyFill="1" applyBorder="1" applyAlignment="1" applyProtection="1">
      <alignment horizontal="left" wrapText="1"/>
    </xf>
    <xf numFmtId="0" fontId="20" fillId="8" borderId="307" xfId="0" applyFont="1" applyFill="1" applyBorder="1" applyAlignment="1" applyProtection="1">
      <alignment horizontal="center" wrapText="1"/>
    </xf>
    <xf numFmtId="0" fontId="20" fillId="8" borderId="307" xfId="0" applyFont="1" applyFill="1" applyBorder="1" applyAlignment="1" applyProtection="1">
      <alignment wrapText="1"/>
    </xf>
    <xf numFmtId="49" fontId="16" fillId="8" borderId="307" xfId="0" applyNumberFormat="1" applyFont="1" applyFill="1" applyBorder="1" applyAlignment="1" applyProtection="1">
      <alignment horizontal="center" wrapText="1"/>
    </xf>
    <xf numFmtId="49" fontId="16" fillId="8" borderId="310" xfId="0" applyNumberFormat="1" applyFont="1" applyFill="1" applyBorder="1" applyAlignment="1" applyProtection="1">
      <alignment horizontal="center" wrapText="1"/>
    </xf>
    <xf numFmtId="0" fontId="20" fillId="8" borderId="306" xfId="0" applyFont="1" applyFill="1" applyBorder="1" applyAlignment="1" applyProtection="1">
      <alignment horizontal="left"/>
    </xf>
    <xf numFmtId="49" fontId="16" fillId="8" borderId="307" xfId="0" applyNumberFormat="1" applyFont="1" applyFill="1" applyBorder="1" applyAlignment="1" applyProtection="1">
      <alignment horizontal="left" wrapText="1"/>
    </xf>
    <xf numFmtId="0" fontId="16" fillId="8" borderId="254" xfId="0" applyFont="1" applyFill="1" applyBorder="1" applyAlignment="1" applyProtection="1">
      <alignment horizontal="center" wrapText="1"/>
    </xf>
    <xf numFmtId="0" fontId="16" fillId="8" borderId="390" xfId="0" applyFont="1" applyFill="1" applyBorder="1" applyAlignment="1" applyProtection="1">
      <alignment horizontal="center" wrapText="1"/>
    </xf>
    <xf numFmtId="0" fontId="0" fillId="8" borderId="318" xfId="0" applyFont="1" applyFill="1" applyBorder="1" applyProtection="1"/>
    <xf numFmtId="0" fontId="16" fillId="8" borderId="318" xfId="0" applyFont="1" applyFill="1" applyBorder="1" applyAlignment="1" applyProtection="1">
      <alignment horizontal="center" wrapText="1"/>
    </xf>
    <xf numFmtId="0" fontId="16" fillId="8" borderId="318" xfId="0" applyFont="1" applyFill="1" applyBorder="1" applyAlignment="1" applyProtection="1">
      <alignment wrapText="1"/>
    </xf>
    <xf numFmtId="49" fontId="16" fillId="8" borderId="318" xfId="0" applyNumberFormat="1" applyFont="1" applyFill="1" applyBorder="1" applyAlignment="1" applyProtection="1">
      <alignment horizontal="center" wrapText="1"/>
    </xf>
    <xf numFmtId="49" fontId="16" fillId="8" borderId="313" xfId="0" applyNumberFormat="1" applyFont="1" applyFill="1" applyBorder="1" applyAlignment="1" applyProtection="1">
      <alignment horizontal="center" wrapText="1"/>
    </xf>
    <xf numFmtId="0" fontId="16" fillId="8" borderId="254" xfId="0" applyFont="1" applyFill="1" applyBorder="1" applyAlignment="1" applyProtection="1"/>
    <xf numFmtId="0" fontId="16" fillId="8" borderId="255"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20"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21" xfId="0" applyFont="1" applyBorder="1" applyAlignment="1" applyProtection="1">
      <alignment horizontal="center" vertical="top" wrapText="1"/>
      <protection locked="0"/>
    </xf>
    <xf numFmtId="0" fontId="24" fillId="0" borderId="422" xfId="0" applyFont="1" applyBorder="1" applyAlignment="1" applyProtection="1">
      <alignment horizontal="center" vertical="top" wrapText="1"/>
      <protection locked="0"/>
    </xf>
    <xf numFmtId="0" fontId="24" fillId="0" borderId="419" xfId="0" applyFont="1" applyBorder="1" applyAlignment="1" applyProtection="1">
      <alignment horizontal="center" vertical="top" wrapText="1"/>
      <protection locked="0"/>
    </xf>
    <xf numFmtId="0" fontId="0" fillId="0" borderId="22" xfId="0" applyBorder="1" applyProtection="1"/>
    <xf numFmtId="0" fontId="0" fillId="0" borderId="23" xfId="0" applyBorder="1" applyAlignment="1" applyProtection="1">
      <alignment wrapText="1"/>
    </xf>
    <xf numFmtId="0" fontId="0" fillId="0" borderId="23"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25" xfId="0" applyBorder="1" applyAlignment="1" applyProtection="1">
      <alignment vertical="top"/>
    </xf>
    <xf numFmtId="0" fontId="74" fillId="0" borderId="158" xfId="0" applyFont="1" applyBorder="1" applyAlignment="1" applyProtection="1">
      <alignment horizontal="center" vertical="top"/>
    </xf>
    <xf numFmtId="0" fontId="24" fillId="0" borderId="424" xfId="0" applyFont="1" applyBorder="1" applyAlignment="1" applyProtection="1">
      <alignment horizontal="center" vertical="top" wrapText="1"/>
    </xf>
    <xf numFmtId="0" fontId="0" fillId="0" borderId="26" xfId="0" applyBorder="1" applyAlignment="1" applyProtection="1">
      <alignment vertical="top"/>
    </xf>
    <xf numFmtId="0" fontId="74" fillId="0" borderId="0" xfId="0" applyFont="1" applyBorder="1" applyAlignment="1" applyProtection="1">
      <alignment horizontal="center" vertical="top"/>
    </xf>
    <xf numFmtId="0" fontId="24" fillId="0" borderId="425" xfId="0" applyFont="1" applyBorder="1" applyAlignment="1" applyProtection="1">
      <alignment horizontal="center" vertical="top" wrapText="1"/>
    </xf>
    <xf numFmtId="0" fontId="24" fillId="0" borderId="42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395" xfId="0" applyFont="1" applyBorder="1" applyAlignment="1" applyProtection="1">
      <alignment horizontal="center" vertical="top"/>
    </xf>
    <xf numFmtId="0" fontId="24" fillId="0" borderId="423" xfId="0" applyFont="1" applyBorder="1" applyAlignment="1" applyProtection="1">
      <alignment horizontal="center" vertical="top" wrapText="1"/>
    </xf>
    <xf numFmtId="0" fontId="24" fillId="0" borderId="427" xfId="0" applyFont="1" applyBorder="1" applyAlignment="1" applyProtection="1">
      <alignment horizontal="center" vertical="top" wrapText="1"/>
    </xf>
    <xf numFmtId="0" fontId="74" fillId="0" borderId="0" xfId="0" applyFont="1" applyBorder="1" applyAlignment="1" applyProtection="1">
      <alignment vertical="top" wrapText="1"/>
    </xf>
    <xf numFmtId="0" fontId="0" fillId="0" borderId="28" xfId="0" applyBorder="1" applyAlignment="1" applyProtection="1">
      <alignment wrapText="1"/>
    </xf>
    <xf numFmtId="0" fontId="0" fillId="0" borderId="28" xfId="0" applyBorder="1" applyAlignment="1" applyProtection="1"/>
    <xf numFmtId="0" fontId="3" fillId="0" borderId="247" xfId="0" applyNumberFormat="1" applyFont="1" applyFill="1" applyBorder="1" applyAlignment="1" applyProtection="1">
      <alignment horizontal="center"/>
      <protection locked="0"/>
    </xf>
    <xf numFmtId="0" fontId="3" fillId="0" borderId="244" xfId="0" applyNumberFormat="1" applyFont="1" applyFill="1" applyBorder="1" applyAlignment="1" applyProtection="1">
      <alignment horizontal="center"/>
      <protection locked="0"/>
    </xf>
    <xf numFmtId="0" fontId="3" fillId="0" borderId="251" xfId="0" applyNumberFormat="1" applyFont="1" applyFill="1" applyBorder="1" applyAlignment="1" applyProtection="1">
      <alignment horizontal="center"/>
      <protection locked="0"/>
    </xf>
    <xf numFmtId="0" fontId="16" fillId="0" borderId="206" xfId="0" applyFont="1" applyFill="1" applyBorder="1" applyAlignment="1" applyProtection="1">
      <alignment wrapText="1"/>
      <protection locked="0"/>
    </xf>
    <xf numFmtId="0" fontId="16" fillId="0" borderId="306" xfId="0" applyFont="1" applyFill="1" applyBorder="1" applyAlignment="1" applyProtection="1">
      <alignment wrapText="1"/>
      <protection locked="0"/>
    </xf>
    <xf numFmtId="0" fontId="16" fillId="0" borderId="206" xfId="0" applyFont="1" applyBorder="1" applyAlignment="1" applyProtection="1">
      <alignment wrapText="1"/>
      <protection locked="0"/>
    </xf>
    <xf numFmtId="0" fontId="16" fillId="16" borderId="42" xfId="0" applyFont="1" applyFill="1" applyBorder="1" applyAlignment="1" applyProtection="1"/>
    <xf numFmtId="0" fontId="0" fillId="0" borderId="157" xfId="0" applyFont="1" applyFill="1" applyBorder="1" applyProtection="1"/>
    <xf numFmtId="44" fontId="43" fillId="6" borderId="217" xfId="0" applyNumberFormat="1" applyFont="1" applyFill="1" applyBorder="1" applyAlignment="1" applyProtection="1">
      <alignment vertical="center"/>
    </xf>
    <xf numFmtId="44" fontId="43" fillId="6" borderId="214" xfId="0" applyNumberFormat="1" applyFont="1" applyFill="1" applyBorder="1" applyAlignment="1" applyProtection="1">
      <alignment vertical="center"/>
    </xf>
    <xf numFmtId="44" fontId="43" fillId="6" borderId="330" xfId="0" applyNumberFormat="1" applyFont="1" applyFill="1" applyBorder="1" applyAlignment="1" applyProtection="1">
      <alignment vertical="center"/>
    </xf>
    <xf numFmtId="44" fontId="43" fillId="6" borderId="167" xfId="0" applyNumberFormat="1" applyFont="1" applyFill="1" applyBorder="1" applyAlignment="1" applyProtection="1">
      <alignment vertical="center"/>
    </xf>
    <xf numFmtId="44" fontId="43" fillId="6" borderId="117"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22" xfId="0" applyNumberFormat="1" applyFont="1" applyFill="1" applyBorder="1" applyAlignment="1" applyProtection="1">
      <alignment wrapText="1"/>
      <protection locked="0"/>
    </xf>
    <xf numFmtId="166" fontId="16" fillId="0" borderId="227" xfId="0" applyNumberFormat="1" applyFont="1" applyFill="1" applyBorder="1" applyAlignment="1" applyProtection="1">
      <alignment wrapText="1"/>
      <protection locked="0"/>
    </xf>
    <xf numFmtId="166" fontId="16" fillId="8" borderId="184" xfId="0" applyNumberFormat="1" applyFont="1" applyFill="1" applyBorder="1" applyAlignment="1" applyProtection="1">
      <alignment wrapText="1"/>
    </xf>
    <xf numFmtId="166" fontId="16" fillId="0" borderId="535" xfId="0" applyNumberFormat="1" applyFont="1" applyFill="1" applyBorder="1" applyAlignment="1" applyProtection="1">
      <alignment wrapText="1"/>
      <protection locked="0"/>
    </xf>
    <xf numFmtId="166" fontId="16" fillId="0" borderId="536" xfId="0" applyNumberFormat="1" applyFont="1" applyFill="1" applyBorder="1" applyAlignment="1" applyProtection="1">
      <alignment wrapText="1"/>
      <protection locked="0"/>
    </xf>
    <xf numFmtId="166" fontId="16" fillId="0" borderId="204" xfId="0" applyNumberFormat="1" applyFont="1" applyFill="1" applyBorder="1" applyAlignment="1" applyProtection="1">
      <alignment wrapText="1"/>
      <protection locked="0"/>
    </xf>
    <xf numFmtId="166" fontId="16" fillId="0" borderId="209" xfId="0" applyNumberFormat="1" applyFont="1" applyFill="1" applyBorder="1" applyAlignment="1" applyProtection="1">
      <alignment wrapText="1"/>
      <protection locked="0"/>
    </xf>
    <xf numFmtId="0" fontId="16" fillId="0" borderId="537" xfId="0" applyFont="1" applyFill="1" applyBorder="1" applyAlignment="1" applyProtection="1">
      <protection locked="0"/>
    </xf>
    <xf numFmtId="0" fontId="16" fillId="0" borderId="538" xfId="0" applyFont="1" applyFill="1" applyBorder="1" applyAlignment="1" applyProtection="1">
      <protection locked="0"/>
    </xf>
    <xf numFmtId="0" fontId="16" fillId="8" borderId="539" xfId="0" applyFont="1" applyFill="1" applyBorder="1" applyAlignment="1" applyProtection="1"/>
    <xf numFmtId="0" fontId="16" fillId="0" borderId="290" xfId="0" applyFont="1" applyFill="1" applyBorder="1" applyAlignment="1" applyProtection="1">
      <alignment horizontal="center"/>
      <protection locked="0"/>
    </xf>
    <xf numFmtId="42" fontId="16" fillId="0" borderId="202" xfId="0" applyNumberFormat="1" applyFont="1" applyFill="1" applyBorder="1" applyAlignment="1" applyProtection="1">
      <alignment horizontal="right"/>
      <protection locked="0"/>
    </xf>
    <xf numFmtId="42" fontId="16" fillId="0" borderId="207" xfId="0" applyNumberFormat="1" applyFont="1" applyFill="1" applyBorder="1" applyAlignment="1" applyProtection="1">
      <alignment horizontal="right"/>
      <protection locked="0"/>
    </xf>
    <xf numFmtId="42" fontId="16" fillId="0" borderId="212" xfId="0" applyNumberFormat="1" applyFont="1" applyFill="1" applyBorder="1" applyAlignment="1" applyProtection="1">
      <alignment horizontal="right"/>
      <protection locked="0"/>
    </xf>
    <xf numFmtId="6" fontId="16" fillId="28" borderId="542" xfId="0" applyNumberFormat="1" applyFont="1" applyFill="1" applyBorder="1" applyAlignment="1" applyProtection="1">
      <alignment horizontal="right"/>
    </xf>
    <xf numFmtId="0" fontId="43" fillId="6" borderId="60" xfId="0" applyNumberFormat="1" applyFont="1" applyFill="1" applyBorder="1" applyAlignment="1" applyProtection="1">
      <alignment horizontal="center" vertical="center" wrapText="1"/>
    </xf>
    <xf numFmtId="42" fontId="16" fillId="0" borderId="374" xfId="0" applyNumberFormat="1" applyFont="1" applyFill="1" applyBorder="1" applyAlignment="1" applyProtection="1">
      <alignment horizontal="right"/>
      <protection locked="0"/>
    </xf>
    <xf numFmtId="42" fontId="17" fillId="6" borderId="118" xfId="0" applyNumberFormat="1" applyFont="1" applyFill="1" applyBorder="1" applyProtection="1"/>
    <xf numFmtId="42" fontId="17" fillId="6" borderId="192" xfId="0" applyNumberFormat="1" applyFont="1" applyFill="1" applyBorder="1" applyProtection="1"/>
    <xf numFmtId="42" fontId="17" fillId="6" borderId="193" xfId="0" applyNumberFormat="1" applyFont="1" applyFill="1" applyBorder="1" applyProtection="1"/>
    <xf numFmtId="0" fontId="16" fillId="0" borderId="242" xfId="0" applyNumberFormat="1" applyFont="1" applyFill="1" applyBorder="1" applyAlignment="1" applyProtection="1">
      <protection locked="0"/>
    </xf>
    <xf numFmtId="0" fontId="16" fillId="0" borderId="245" xfId="0" applyNumberFormat="1" applyFont="1" applyFill="1" applyBorder="1" applyAlignment="1" applyProtection="1">
      <protection locked="0"/>
    </xf>
    <xf numFmtId="0" fontId="16" fillId="0" borderId="411" xfId="0" applyNumberFormat="1" applyFont="1" applyFill="1" applyBorder="1" applyAlignment="1" applyProtection="1">
      <protection locked="0"/>
    </xf>
    <xf numFmtId="0" fontId="16" fillId="0" borderId="413" xfId="0" applyNumberFormat="1" applyFont="1" applyFill="1" applyBorder="1" applyAlignment="1" applyProtection="1">
      <protection locked="0"/>
    </xf>
    <xf numFmtId="0" fontId="16" fillId="0" borderId="415" xfId="0" applyNumberFormat="1" applyFont="1" applyFill="1" applyBorder="1" applyAlignment="1" applyProtection="1">
      <protection locked="0"/>
    </xf>
    <xf numFmtId="0" fontId="16" fillId="0" borderId="543" xfId="0" applyNumberFormat="1" applyFont="1" applyFill="1" applyBorder="1" applyAlignment="1" applyProtection="1">
      <protection locked="0"/>
    </xf>
    <xf numFmtId="0" fontId="16" fillId="0" borderId="399" xfId="0" applyNumberFormat="1" applyFont="1" applyFill="1" applyBorder="1" applyAlignment="1" applyProtection="1">
      <protection locked="0"/>
    </xf>
    <xf numFmtId="165" fontId="16" fillId="0" borderId="67" xfId="0" applyNumberFormat="1" applyFont="1" applyFill="1" applyBorder="1" applyProtection="1">
      <protection locked="0"/>
    </xf>
    <xf numFmtId="0" fontId="41" fillId="0" borderId="54" xfId="0" applyFont="1" applyFill="1" applyBorder="1" applyAlignment="1" applyProtection="1">
      <alignment horizontal="left" vertical="center" indent="1"/>
    </xf>
    <xf numFmtId="0" fontId="43" fillId="0" borderId="54"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175" xfId="0" applyFont="1" applyFill="1" applyBorder="1" applyAlignment="1" applyProtection="1">
      <alignment wrapText="1"/>
    </xf>
    <xf numFmtId="0" fontId="16" fillId="8" borderId="206" xfId="0" applyFont="1" applyFill="1" applyBorder="1" applyAlignment="1" applyProtection="1"/>
    <xf numFmtId="44" fontId="3" fillId="8" borderId="286" xfId="0" applyNumberFormat="1" applyFont="1" applyFill="1" applyBorder="1" applyAlignment="1" applyProtection="1"/>
    <xf numFmtId="0" fontId="16" fillId="3" borderId="365" xfId="0" applyFont="1" applyFill="1" applyBorder="1" applyAlignment="1" applyProtection="1">
      <protection locked="0"/>
    </xf>
    <xf numFmtId="0" fontId="16" fillId="3" borderId="206" xfId="0" applyFont="1" applyFill="1" applyBorder="1" applyAlignment="1" applyProtection="1">
      <protection locked="0"/>
    </xf>
    <xf numFmtId="0" fontId="5" fillId="16" borderId="125" xfId="0" applyFont="1" applyFill="1" applyBorder="1" applyAlignment="1" applyProtection="1">
      <alignment horizontal="center" vertical="center" wrapText="1"/>
    </xf>
    <xf numFmtId="0" fontId="5" fillId="16" borderId="395" xfId="0" applyFont="1" applyFill="1" applyBorder="1" applyAlignment="1" applyProtection="1">
      <alignment horizontal="center" vertical="center" wrapText="1"/>
    </xf>
    <xf numFmtId="0" fontId="5" fillId="16" borderId="396"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09" xfId="0" applyNumberFormat="1" applyFont="1" applyFill="1" applyBorder="1" applyAlignment="1" applyProtection="1">
      <alignment horizontal="center"/>
    </xf>
    <xf numFmtId="7" fontId="3" fillId="4" borderId="2" xfId="0" applyNumberFormat="1" applyFont="1" applyFill="1" applyBorder="1" applyAlignment="1" applyProtection="1">
      <alignment horizontal="center"/>
    </xf>
    <xf numFmtId="44" fontId="3" fillId="3" borderId="214" xfId="0" applyNumberFormat="1" applyFont="1" applyFill="1" applyBorder="1" applyAlignment="1" applyProtection="1">
      <protection locked="0"/>
    </xf>
    <xf numFmtId="7" fontId="3" fillId="4" borderId="549" xfId="0" applyNumberFormat="1" applyFont="1" applyFill="1" applyBorder="1" applyAlignment="1" applyProtection="1">
      <alignment horizontal="center"/>
    </xf>
    <xf numFmtId="44" fontId="3" fillId="3" borderId="380" xfId="0" applyNumberFormat="1" applyFont="1" applyFill="1" applyBorder="1" applyAlignment="1" applyProtection="1">
      <protection locked="0"/>
    </xf>
    <xf numFmtId="166" fontId="41" fillId="16" borderId="192"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23" xfId="0" applyFill="1" applyBorder="1" applyProtection="1">
      <protection locked="0"/>
    </xf>
    <xf numFmtId="14" fontId="3" fillId="0" borderId="241" xfId="0" applyNumberFormat="1" applyFont="1" applyBorder="1" applyAlignment="1" applyProtection="1">
      <alignment vertical="center"/>
      <protection locked="0"/>
    </xf>
    <xf numFmtId="14" fontId="3" fillId="25" borderId="68"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375" xfId="0" applyNumberFormat="1" applyFont="1" applyFill="1" applyBorder="1" applyProtection="1">
      <protection locked="0"/>
    </xf>
    <xf numFmtId="9" fontId="54" fillId="0" borderId="379"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52" xfId="0" applyNumberFormat="1" applyFont="1" applyFill="1" applyBorder="1" applyAlignment="1" applyProtection="1">
      <alignment horizontal="right" vertical="center"/>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20" xfId="4" applyFont="1" applyFill="1" applyBorder="1" applyAlignment="1" applyProtection="1">
      <alignment vertical="center" wrapText="1"/>
    </xf>
    <xf numFmtId="0" fontId="81" fillId="34" borderId="521" xfId="4" applyFont="1" applyFill="1" applyBorder="1" applyAlignment="1" applyProtection="1">
      <alignment vertical="center" wrapText="1"/>
    </xf>
    <xf numFmtId="0" fontId="81" fillId="34" borderId="522"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550" xfId="4" applyFont="1" applyFill="1" applyBorder="1" applyProtection="1"/>
    <xf numFmtId="0" fontId="99" fillId="3" borderId="550"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189"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23" xfId="4" applyFont="1" applyFill="1" applyBorder="1" applyProtection="1"/>
    <xf numFmtId="0" fontId="87" fillId="5" borderId="520" xfId="4" applyFont="1" applyFill="1" applyBorder="1" applyProtection="1"/>
    <xf numFmtId="0" fontId="81" fillId="3" borderId="521" xfId="4" applyFont="1" applyFill="1" applyBorder="1" applyProtection="1"/>
    <xf numFmtId="0" fontId="81" fillId="3" borderId="522" xfId="4" applyFont="1" applyFill="1" applyBorder="1" applyProtection="1"/>
    <xf numFmtId="0" fontId="81" fillId="3" borderId="523" xfId="4" applyFont="1" applyFill="1" applyBorder="1" applyProtection="1"/>
    <xf numFmtId="0" fontId="72" fillId="3" borderId="523"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24" xfId="4" applyFont="1" applyFill="1" applyBorder="1" applyProtection="1"/>
    <xf numFmtId="9" fontId="81" fillId="5" borderId="523"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31"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25" xfId="4" applyFont="1" applyFill="1" applyBorder="1" applyProtection="1"/>
    <xf numFmtId="1" fontId="84" fillId="36" borderId="531" xfId="4" applyNumberFormat="1" applyFont="1" applyFill="1" applyBorder="1" applyProtection="1"/>
    <xf numFmtId="0" fontId="102" fillId="3" borderId="526" xfId="4" applyFont="1" applyFill="1" applyBorder="1" applyAlignment="1" applyProtection="1"/>
    <xf numFmtId="0" fontId="81" fillId="3" borderId="526" xfId="4" applyFont="1" applyFill="1" applyBorder="1" applyProtection="1"/>
    <xf numFmtId="0" fontId="81" fillId="3" borderId="527" xfId="4" applyFont="1" applyFill="1" applyBorder="1" applyProtection="1"/>
    <xf numFmtId="1" fontId="81" fillId="3" borderId="0" xfId="4" applyNumberFormat="1" applyFont="1" applyFill="1" applyBorder="1" applyProtection="1"/>
    <xf numFmtId="0" fontId="85" fillId="34" borderId="189"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31" xfId="4" applyNumberFormat="1" applyFont="1" applyFill="1" applyBorder="1" applyAlignment="1" applyProtection="1">
      <alignment horizontal="right"/>
      <protection locked="0"/>
    </xf>
    <xf numFmtId="1" fontId="81" fillId="34" borderId="531"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189" xfId="4" applyFont="1" applyFill="1" applyBorder="1" applyAlignment="1" applyProtection="1">
      <alignment horizontal="right"/>
    </xf>
    <xf numFmtId="0" fontId="81" fillId="0" borderId="523"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31"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31" xfId="4" applyNumberFormat="1" applyFont="1" applyFill="1" applyBorder="1" applyAlignment="1" applyProtection="1">
      <alignment horizontal="right"/>
      <protection locked="0"/>
    </xf>
    <xf numFmtId="9" fontId="80" fillId="34" borderId="531" xfId="4" applyNumberFormat="1" applyFont="1" applyFill="1" applyBorder="1" applyAlignment="1" applyProtection="1">
      <alignment horizontal="right"/>
    </xf>
    <xf numFmtId="165" fontId="80" fillId="5" borderId="523"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0" borderId="523" xfId="4" applyFont="1" applyFill="1" applyBorder="1" applyAlignment="1" applyProtection="1">
      <alignment horizontal="left"/>
    </xf>
    <xf numFmtId="44" fontId="80" fillId="5" borderId="524" xfId="4" applyNumberFormat="1" applyFont="1" applyFill="1" applyBorder="1" applyAlignment="1" applyProtection="1">
      <alignment horizontal="lef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31" xfId="2" applyFont="1" applyFill="1" applyBorder="1" applyAlignment="1" applyProtection="1">
      <alignment horizontal="right"/>
      <protection locked="0"/>
    </xf>
    <xf numFmtId="9" fontId="80" fillId="34" borderId="528" xfId="2" applyFont="1" applyFill="1" applyBorder="1" applyAlignment="1" applyProtection="1"/>
    <xf numFmtId="0" fontId="100" fillId="3" borderId="0" xfId="4" applyFont="1" applyFill="1" applyBorder="1" applyAlignment="1" applyProtection="1"/>
    <xf numFmtId="0" fontId="100" fillId="3" borderId="0" xfId="4" applyFont="1" applyFill="1" applyBorder="1" applyProtection="1"/>
    <xf numFmtId="0" fontId="15" fillId="0" borderId="0" xfId="6" applyFont="1" applyFill="1" applyProtection="1"/>
    <xf numFmtId="0" fontId="82" fillId="34" borderId="531" xfId="4" applyFont="1" applyFill="1" applyBorder="1" applyAlignment="1" applyProtection="1">
      <alignment horizontal="center" vertical="top"/>
      <protection locked="0"/>
    </xf>
    <xf numFmtId="0" fontId="82" fillId="34" borderId="531"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553" xfId="4" applyFont="1" applyFill="1" applyBorder="1" applyAlignment="1" applyProtection="1">
      <alignment vertical="center"/>
    </xf>
    <xf numFmtId="0" fontId="91" fillId="3" borderId="553" xfId="4" applyFont="1" applyFill="1" applyBorder="1" applyAlignment="1" applyProtection="1">
      <alignment vertical="center"/>
    </xf>
    <xf numFmtId="0" fontId="85" fillId="35" borderId="553"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5" xfId="4" applyFont="1" applyFill="1" applyBorder="1" applyAlignment="1"/>
    <xf numFmtId="0" fontId="81" fillId="3" borderId="5" xfId="4" applyFont="1" applyFill="1" applyBorder="1"/>
    <xf numFmtId="0" fontId="72" fillId="3" borderId="5" xfId="4" applyFont="1" applyFill="1" applyBorder="1"/>
    <xf numFmtId="0" fontId="85" fillId="5" borderId="5" xfId="4" applyFont="1" applyFill="1" applyBorder="1" applyAlignment="1">
      <alignment horizontal="center"/>
    </xf>
    <xf numFmtId="0" fontId="85" fillId="38" borderId="189"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8" xfId="4" applyFont="1" applyFill="1" applyBorder="1"/>
    <xf numFmtId="0" fontId="81" fillId="3" borderId="12" xfId="4" applyFont="1" applyFill="1" applyBorder="1"/>
    <xf numFmtId="0" fontId="81" fillId="3" borderId="14" xfId="4" applyFont="1" applyFill="1" applyBorder="1"/>
    <xf numFmtId="0" fontId="72" fillId="3" borderId="18" xfId="4" applyFont="1" applyFill="1" applyBorder="1" applyAlignment="1">
      <alignment horizontal="center" wrapText="1"/>
    </xf>
    <xf numFmtId="0" fontId="72" fillId="3" borderId="0" xfId="4" applyFont="1" applyFill="1" applyBorder="1" applyAlignment="1">
      <alignment horizontal="center" wrapText="1"/>
    </xf>
    <xf numFmtId="0" fontId="81" fillId="3" borderId="19" xfId="4" applyFont="1" applyFill="1" applyBorder="1"/>
    <xf numFmtId="9" fontId="81" fillId="7" borderId="18"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5" xfId="4" applyNumberFormat="1" applyFont="1" applyFill="1" applyBorder="1"/>
    <xf numFmtId="9" fontId="86" fillId="7" borderId="18"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9" xfId="4" applyFont="1" applyFill="1" applyBorder="1"/>
    <xf numFmtId="1" fontId="81" fillId="3" borderId="5" xfId="4" applyNumberFormat="1" applyFont="1" applyFill="1" applyBorder="1"/>
    <xf numFmtId="0" fontId="81" fillId="3" borderId="15"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19"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19"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2"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5" fillId="5" borderId="0" xfId="4" applyFont="1" applyFill="1" applyBorder="1" applyAlignment="1">
      <alignment horizontal="center"/>
    </xf>
    <xf numFmtId="0" fontId="84" fillId="3" borderId="0" xfId="4" applyFont="1" applyFill="1" applyBorder="1"/>
    <xf numFmtId="42" fontId="80" fillId="0" borderId="519" xfId="4" applyNumberFormat="1" applyFont="1" applyFill="1" applyBorder="1" applyAlignment="1">
      <alignment horizontal="right"/>
    </xf>
    <xf numFmtId="10" fontId="80" fillId="0" borderId="519" xfId="4" applyNumberFormat="1" applyFont="1" applyFill="1" applyBorder="1" applyAlignment="1">
      <alignment horizontal="right"/>
    </xf>
    <xf numFmtId="0" fontId="81" fillId="3" borderId="553" xfId="4" applyFont="1" applyFill="1" applyBorder="1"/>
    <xf numFmtId="0" fontId="91" fillId="3" borderId="553" xfId="4" applyFont="1" applyFill="1" applyBorder="1" applyAlignment="1">
      <alignment vertical="center"/>
    </xf>
    <xf numFmtId="0" fontId="91" fillId="3" borderId="553" xfId="4" applyFont="1" applyFill="1" applyBorder="1"/>
    <xf numFmtId="0" fontId="81" fillId="3" borderId="553" xfId="4" applyFont="1" applyFill="1" applyBorder="1" applyAlignment="1"/>
    <xf numFmtId="0" fontId="81" fillId="7" borderId="553" xfId="4" applyFont="1" applyFill="1" applyBorder="1"/>
    <xf numFmtId="168" fontId="80" fillId="0" borderId="519"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560" xfId="4" applyFont="1" applyFill="1" applyBorder="1" applyAlignment="1"/>
    <xf numFmtId="0" fontId="16" fillId="0" borderId="77" xfId="0" applyFont="1" applyBorder="1" applyProtection="1">
      <protection locked="0"/>
    </xf>
    <xf numFmtId="0" fontId="16" fillId="0" borderId="78" xfId="0" applyFont="1" applyBorder="1" applyProtection="1">
      <protection locked="0"/>
    </xf>
    <xf numFmtId="0" fontId="16" fillId="0" borderId="78" xfId="0" applyFont="1" applyFill="1" applyBorder="1" applyProtection="1">
      <protection locked="0"/>
    </xf>
    <xf numFmtId="9" fontId="16" fillId="0" borderId="78" xfId="0" applyNumberFormat="1" applyFont="1" applyFill="1" applyBorder="1" applyProtection="1">
      <protection locked="0"/>
    </xf>
    <xf numFmtId="0" fontId="16" fillId="0" borderId="79" xfId="0" applyFont="1" applyBorder="1" applyProtection="1">
      <protection locked="0"/>
    </xf>
    <xf numFmtId="0" fontId="15" fillId="6" borderId="277" xfId="0" applyFont="1" applyFill="1" applyBorder="1" applyAlignment="1" applyProtection="1">
      <alignment horizontal="center"/>
    </xf>
    <xf numFmtId="0" fontId="15" fillId="6" borderId="349" xfId="0" applyFont="1" applyFill="1" applyBorder="1" applyAlignment="1" applyProtection="1">
      <alignment horizontal="center"/>
    </xf>
    <xf numFmtId="0" fontId="0" fillId="6" borderId="349" xfId="0" applyFont="1" applyFill="1" applyBorder="1" applyAlignment="1" applyProtection="1">
      <alignment horizontal="center"/>
    </xf>
    <xf numFmtId="0" fontId="0" fillId="6" borderId="401" xfId="0" applyFont="1" applyFill="1" applyBorder="1" applyAlignment="1" applyProtection="1">
      <alignment horizontal="center"/>
    </xf>
    <xf numFmtId="44" fontId="3" fillId="8" borderId="206" xfId="0" applyNumberFormat="1" applyFont="1" applyFill="1" applyBorder="1" applyAlignment="1" applyProtection="1"/>
    <xf numFmtId="0" fontId="3" fillId="8" borderId="207" xfId="0" applyFont="1" applyFill="1" applyBorder="1" applyAlignment="1" applyProtection="1"/>
    <xf numFmtId="0" fontId="0" fillId="0" borderId="467" xfId="0" applyBorder="1" applyProtection="1"/>
    <xf numFmtId="42" fontId="5" fillId="6" borderId="408" xfId="0" applyNumberFormat="1" applyFont="1" applyFill="1" applyBorder="1" applyAlignment="1" applyProtection="1">
      <alignment wrapText="1"/>
    </xf>
    <xf numFmtId="42" fontId="5" fillId="6" borderId="114" xfId="0" applyNumberFormat="1" applyFont="1" applyFill="1" applyBorder="1" applyAlignment="1" applyProtection="1">
      <alignment wrapText="1"/>
    </xf>
    <xf numFmtId="42" fontId="5" fillId="6" borderId="252" xfId="0" applyNumberFormat="1" applyFont="1" applyFill="1" applyBorder="1" applyAlignment="1" applyProtection="1">
      <alignment wrapText="1"/>
    </xf>
    <xf numFmtId="42" fontId="5" fillId="6" borderId="409" xfId="0" applyNumberFormat="1" applyFont="1" applyFill="1" applyBorder="1" applyAlignment="1" applyProtection="1">
      <alignment wrapText="1"/>
    </xf>
    <xf numFmtId="42" fontId="5" fillId="6" borderId="236" xfId="0" applyNumberFormat="1" applyFont="1" applyFill="1" applyBorder="1" applyAlignment="1" applyProtection="1">
      <alignment wrapText="1"/>
    </xf>
    <xf numFmtId="42" fontId="5" fillId="6" borderId="238" xfId="0" applyNumberFormat="1" applyFont="1" applyFill="1" applyBorder="1" applyAlignment="1" applyProtection="1">
      <alignment wrapText="1"/>
    </xf>
    <xf numFmtId="10" fontId="8" fillId="16" borderId="269" xfId="0" applyNumberFormat="1" applyFont="1" applyFill="1" applyBorder="1" applyAlignment="1" applyProtection="1">
      <alignment horizontal="center" vertical="center" wrapText="1"/>
    </xf>
    <xf numFmtId="42" fontId="8" fillId="0" borderId="270" xfId="0" applyNumberFormat="1" applyFont="1" applyFill="1" applyBorder="1" applyAlignment="1" applyProtection="1"/>
    <xf numFmtId="10" fontId="8" fillId="16" borderId="206" xfId="0" applyNumberFormat="1" applyFont="1" applyFill="1" applyBorder="1" applyAlignment="1" applyProtection="1">
      <alignment horizontal="center" vertical="center" wrapText="1"/>
    </xf>
    <xf numFmtId="0" fontId="16" fillId="0" borderId="26" xfId="0" applyFont="1" applyBorder="1" applyProtection="1"/>
    <xf numFmtId="0" fontId="17" fillId="16" borderId="99" xfId="0" applyFont="1" applyFill="1" applyBorder="1" applyProtection="1"/>
    <xf numFmtId="0" fontId="2" fillId="16" borderId="113" xfId="0" applyFont="1" applyFill="1" applyBorder="1" applyProtection="1"/>
    <xf numFmtId="0" fontId="2" fillId="9" borderId="193" xfId="0" applyFont="1" applyFill="1" applyBorder="1" applyAlignment="1" applyProtection="1">
      <alignment wrapText="1"/>
    </xf>
    <xf numFmtId="0" fontId="16" fillId="0" borderId="35" xfId="0" applyFont="1" applyBorder="1" applyProtection="1"/>
    <xf numFmtId="9" fontId="40" fillId="16" borderId="201" xfId="0" applyNumberFormat="1" applyFont="1" applyFill="1" applyBorder="1" applyAlignment="1" applyProtection="1">
      <alignment horizontal="center" vertical="center" wrapText="1"/>
    </xf>
    <xf numFmtId="41" fontId="15" fillId="6" borderId="240" xfId="0" applyNumberFormat="1" applyFont="1" applyFill="1" applyBorder="1" applyAlignment="1" applyProtection="1">
      <alignment horizontal="center"/>
    </xf>
    <xf numFmtId="41" fontId="15" fillId="6" borderId="241" xfId="0" applyNumberFormat="1" applyFont="1" applyFill="1" applyBorder="1" applyAlignment="1" applyProtection="1">
      <alignment horizontal="center"/>
    </xf>
    <xf numFmtId="41" fontId="15" fillId="6" borderId="262" xfId="0" applyNumberFormat="1" applyFont="1" applyFill="1" applyBorder="1" applyAlignment="1" applyProtection="1">
      <alignment horizontal="center"/>
    </xf>
    <xf numFmtId="0" fontId="16" fillId="9" borderId="242" xfId="0" applyFont="1" applyFill="1" applyBorder="1" applyAlignment="1" applyProtection="1">
      <alignment horizontal="center"/>
    </xf>
    <xf numFmtId="9" fontId="40" fillId="16" borderId="206" xfId="0" applyNumberFormat="1" applyFont="1" applyFill="1" applyBorder="1" applyAlignment="1" applyProtection="1">
      <alignment horizontal="center" vertical="center" wrapText="1"/>
    </xf>
    <xf numFmtId="41" fontId="15" fillId="6" borderId="243" xfId="0" applyNumberFormat="1" applyFont="1" applyFill="1" applyBorder="1" applyAlignment="1" applyProtection="1">
      <alignment horizontal="center"/>
    </xf>
    <xf numFmtId="41" fontId="15" fillId="6" borderId="244" xfId="0" applyNumberFormat="1" applyFont="1" applyFill="1" applyBorder="1" applyAlignment="1" applyProtection="1">
      <alignment horizontal="center"/>
    </xf>
    <xf numFmtId="41" fontId="15" fillId="6" borderId="263" xfId="0" applyNumberFormat="1" applyFont="1" applyFill="1" applyBorder="1" applyAlignment="1" applyProtection="1">
      <alignment horizontal="center"/>
    </xf>
    <xf numFmtId="0" fontId="16" fillId="9" borderId="245" xfId="0" applyFont="1" applyFill="1" applyBorder="1" applyAlignment="1" applyProtection="1">
      <alignment horizontal="center"/>
    </xf>
    <xf numFmtId="9" fontId="40" fillId="16" borderId="53" xfId="0" applyNumberFormat="1" applyFont="1" applyFill="1" applyBorder="1" applyAlignment="1" applyProtection="1">
      <alignment horizontal="center" vertical="center" wrapText="1"/>
    </xf>
    <xf numFmtId="41" fontId="15" fillId="6" borderId="264" xfId="0" applyNumberFormat="1" applyFont="1" applyFill="1" applyBorder="1" applyAlignment="1" applyProtection="1">
      <alignment horizontal="center"/>
    </xf>
    <xf numFmtId="41" fontId="15" fillId="6" borderId="89" xfId="0" applyNumberFormat="1" applyFont="1" applyFill="1" applyBorder="1" applyAlignment="1" applyProtection="1">
      <alignment horizontal="center"/>
    </xf>
    <xf numFmtId="41" fontId="15" fillId="6" borderId="265" xfId="0" applyNumberFormat="1" applyFont="1" applyFill="1" applyBorder="1" applyAlignment="1" applyProtection="1">
      <alignment horizontal="center"/>
    </xf>
    <xf numFmtId="0" fontId="16" fillId="9" borderId="107" xfId="0" applyFont="1" applyFill="1" applyBorder="1" applyAlignment="1" applyProtection="1">
      <alignment horizontal="center"/>
    </xf>
    <xf numFmtId="9" fontId="40" fillId="16" borderId="96" xfId="0" applyNumberFormat="1" applyFont="1" applyFill="1" applyBorder="1" applyAlignment="1" applyProtection="1">
      <alignment horizontal="center" vertical="center" wrapText="1"/>
    </xf>
    <xf numFmtId="0" fontId="16" fillId="9" borderId="189" xfId="0" applyFont="1" applyFill="1" applyBorder="1" applyAlignment="1" applyProtection="1">
      <alignment horizontal="center"/>
    </xf>
    <xf numFmtId="0" fontId="0" fillId="9" borderId="189" xfId="0" applyFont="1" applyFill="1" applyBorder="1" applyAlignment="1" applyProtection="1">
      <alignment horizontal="center"/>
    </xf>
    <xf numFmtId="0" fontId="20" fillId="9" borderId="52" xfId="0" applyFont="1" applyFill="1" applyBorder="1" applyAlignment="1" applyProtection="1">
      <alignment horizontal="center"/>
    </xf>
    <xf numFmtId="10" fontId="7" fillId="16" borderId="258" xfId="0" applyNumberFormat="1" applyFont="1" applyFill="1" applyBorder="1" applyAlignment="1" applyProtection="1">
      <alignment horizontal="center" vertical="center" wrapText="1"/>
    </xf>
    <xf numFmtId="41" fontId="15" fillId="6" borderId="246" xfId="0" applyNumberFormat="1" applyFont="1" applyFill="1" applyBorder="1" applyAlignment="1" applyProtection="1">
      <alignment horizontal="center"/>
    </xf>
    <xf numFmtId="41" fontId="15" fillId="6" borderId="247" xfId="0" applyNumberFormat="1" applyFont="1" applyFill="1" applyBorder="1" applyAlignment="1" applyProtection="1">
      <alignment horizontal="center"/>
    </xf>
    <xf numFmtId="41" fontId="15" fillId="6" borderId="266" xfId="0" applyNumberFormat="1" applyFont="1" applyFill="1" applyBorder="1" applyAlignment="1" applyProtection="1">
      <alignment horizontal="center"/>
    </xf>
    <xf numFmtId="0" fontId="16" fillId="9" borderId="249" xfId="0" applyFont="1" applyFill="1" applyBorder="1" applyAlignment="1" applyProtection="1">
      <alignment horizontal="center"/>
    </xf>
    <xf numFmtId="10" fontId="7" fillId="16" borderId="259" xfId="0" applyNumberFormat="1" applyFont="1" applyFill="1" applyBorder="1" applyAlignment="1" applyProtection="1">
      <alignment horizontal="center" vertical="center" wrapText="1"/>
    </xf>
    <xf numFmtId="41" fontId="15" fillId="6" borderId="254" xfId="0" applyNumberFormat="1" applyFont="1" applyFill="1" applyBorder="1" applyAlignment="1" applyProtection="1">
      <alignment horizontal="center"/>
    </xf>
    <xf numFmtId="41" fontId="15" fillId="6" borderId="255" xfId="0" applyNumberFormat="1" applyFont="1" applyFill="1" applyBorder="1" applyAlignment="1" applyProtection="1">
      <alignment horizontal="center"/>
    </xf>
    <xf numFmtId="41" fontId="15" fillId="6" borderId="267" xfId="0" applyNumberFormat="1" applyFont="1" applyFill="1" applyBorder="1" applyAlignment="1" applyProtection="1">
      <alignment horizontal="center"/>
    </xf>
    <xf numFmtId="0" fontId="16" fillId="9" borderId="253" xfId="0" applyFont="1" applyFill="1" applyBorder="1" applyAlignment="1" applyProtection="1">
      <alignment horizontal="center"/>
    </xf>
    <xf numFmtId="0" fontId="16" fillId="9" borderId="100" xfId="0" applyFont="1" applyFill="1" applyBorder="1" applyAlignment="1" applyProtection="1">
      <alignment horizontal="center"/>
    </xf>
    <xf numFmtId="0" fontId="16" fillId="9" borderId="239" xfId="0" applyFont="1" applyFill="1" applyBorder="1" applyAlignment="1" applyProtection="1">
      <alignment horizontal="center"/>
    </xf>
    <xf numFmtId="0" fontId="20" fillId="9" borderId="73" xfId="0" applyFont="1" applyFill="1" applyBorder="1" applyAlignment="1" applyProtection="1">
      <alignment horizontal="center"/>
    </xf>
    <xf numFmtId="0" fontId="20" fillId="21" borderId="185" xfId="0" applyFont="1" applyFill="1" applyBorder="1" applyAlignment="1" applyProtection="1">
      <alignment horizontal="center"/>
    </xf>
    <xf numFmtId="0" fontId="16" fillId="6" borderId="240" xfId="0" applyFont="1" applyFill="1" applyBorder="1" applyAlignment="1" applyProtection="1">
      <alignment horizontal="center"/>
    </xf>
    <xf numFmtId="0" fontId="16" fillId="6" borderId="241" xfId="0" applyFont="1" applyFill="1" applyBorder="1" applyAlignment="1" applyProtection="1">
      <alignment horizontal="center"/>
    </xf>
    <xf numFmtId="0" fontId="16" fillId="6" borderId="233" xfId="0" applyFont="1" applyFill="1" applyBorder="1" applyAlignment="1" applyProtection="1">
      <alignment horizontal="center"/>
    </xf>
    <xf numFmtId="0" fontId="16" fillId="9" borderId="180" xfId="0" applyFont="1" applyFill="1" applyBorder="1" applyAlignment="1" applyProtection="1">
      <alignment horizontal="center"/>
    </xf>
    <xf numFmtId="0" fontId="2" fillId="16" borderId="261" xfId="0" applyFont="1" applyFill="1" applyBorder="1" applyAlignment="1" applyProtection="1">
      <alignment horizontal="center" vertical="center"/>
    </xf>
    <xf numFmtId="0" fontId="16" fillId="6" borderId="254" xfId="0" applyFont="1" applyFill="1" applyBorder="1" applyAlignment="1" applyProtection="1">
      <alignment horizontal="center"/>
    </xf>
    <xf numFmtId="0" fontId="16" fillId="6" borderId="255" xfId="0" applyFont="1" applyFill="1" applyBorder="1" applyAlignment="1" applyProtection="1">
      <alignment horizontal="center"/>
    </xf>
    <xf numFmtId="0" fontId="16" fillId="6" borderId="268" xfId="0" applyFont="1" applyFill="1" applyBorder="1" applyAlignment="1" applyProtection="1">
      <alignment horizontal="center"/>
    </xf>
    <xf numFmtId="0" fontId="20" fillId="21" borderId="98"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14" fontId="3" fillId="0" borderId="244" xfId="0" applyNumberFormat="1" applyFont="1" applyFill="1" applyBorder="1" applyAlignment="1" applyProtection="1">
      <alignment horizontal="center"/>
      <protection locked="0"/>
    </xf>
    <xf numFmtId="0" fontId="0" fillId="0" borderId="359" xfId="0" applyFont="1" applyFill="1" applyBorder="1" applyAlignment="1" applyProtection="1">
      <alignment horizontal="center"/>
      <protection locked="0"/>
    </xf>
    <xf numFmtId="0" fontId="0" fillId="0" borderId="361" xfId="0" applyFont="1" applyFill="1" applyBorder="1" applyAlignment="1" applyProtection="1">
      <alignment horizontal="center"/>
      <protection locked="0"/>
    </xf>
    <xf numFmtId="14" fontId="16" fillId="0" borderId="203" xfId="0" applyNumberFormat="1" applyFont="1" applyFill="1" applyBorder="1" applyAlignment="1" applyProtection="1">
      <protection locked="0"/>
    </xf>
    <xf numFmtId="14" fontId="16" fillId="0" borderId="208" xfId="0" applyNumberFormat="1" applyFont="1" applyFill="1" applyBorder="1" applyAlignment="1" applyProtection="1">
      <protection locked="0"/>
    </xf>
    <xf numFmtId="14" fontId="16" fillId="0" borderId="226" xfId="0" applyNumberFormat="1" applyFont="1" applyFill="1" applyBorder="1" applyAlignment="1" applyProtection="1">
      <protection locked="0"/>
    </xf>
    <xf numFmtId="42" fontId="16" fillId="6" borderId="337" xfId="0" applyNumberFormat="1" applyFont="1" applyFill="1" applyBorder="1" applyAlignment="1" applyProtection="1">
      <alignment horizontal="left" wrapText="1"/>
      <protection locked="0"/>
    </xf>
    <xf numFmtId="9" fontId="16" fillId="0" borderId="285" xfId="2" applyFont="1" applyFill="1" applyBorder="1" applyAlignment="1" applyProtection="1">
      <alignment horizontal="right" wrapText="1"/>
      <protection locked="0"/>
    </xf>
    <xf numFmtId="42" fontId="16" fillId="0" borderId="285" xfId="0" applyNumberFormat="1" applyFont="1" applyFill="1" applyBorder="1" applyAlignment="1" applyProtection="1">
      <alignment horizontal="left" wrapText="1"/>
      <protection locked="0"/>
    </xf>
    <xf numFmtId="44" fontId="16" fillId="0" borderId="285" xfId="1" applyFont="1" applyFill="1" applyBorder="1" applyAlignment="1" applyProtection="1">
      <alignment horizontal="left" wrapText="1"/>
      <protection locked="0"/>
    </xf>
    <xf numFmtId="42" fontId="16" fillId="6" borderId="290" xfId="0" applyNumberFormat="1" applyFont="1" applyFill="1" applyBorder="1" applyAlignment="1" applyProtection="1">
      <alignment horizontal="left" wrapText="1"/>
      <protection locked="0"/>
    </xf>
    <xf numFmtId="0" fontId="0" fillId="0" borderId="0" xfId="0"/>
    <xf numFmtId="44" fontId="16" fillId="0" borderId="126" xfId="1" applyFont="1" applyFill="1" applyBorder="1" applyProtection="1">
      <protection locked="0"/>
    </xf>
    <xf numFmtId="44" fontId="16" fillId="0" borderId="241" xfId="1" applyFont="1" applyFill="1" applyBorder="1" applyProtection="1">
      <protection locked="0"/>
    </xf>
    <xf numFmtId="44" fontId="16" fillId="0" borderId="244" xfId="1" applyFont="1" applyFill="1" applyBorder="1" applyProtection="1">
      <protection locked="0"/>
    </xf>
    <xf numFmtId="44" fontId="16" fillId="0" borderId="353" xfId="1" applyFont="1" applyFill="1" applyBorder="1" applyProtection="1">
      <protection locked="0"/>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46" xfId="0" applyNumberFormat="1" applyFont="1" applyFill="1" applyBorder="1" applyAlignment="1" applyProtection="1">
      <alignment vertical="center"/>
      <protection locked="0"/>
    </xf>
    <xf numFmtId="3" fontId="15" fillId="0" borderId="247" xfId="0" applyNumberFormat="1" applyFont="1" applyFill="1" applyBorder="1" applyAlignment="1" applyProtection="1">
      <alignment vertical="center"/>
      <protection locked="0"/>
    </xf>
    <xf numFmtId="44" fontId="41" fillId="6" borderId="324" xfId="0" applyNumberFormat="1" applyFont="1" applyFill="1" applyBorder="1" applyAlignment="1" applyProtection="1">
      <alignment vertical="center"/>
    </xf>
    <xf numFmtId="44" fontId="41" fillId="6" borderId="327" xfId="0" applyNumberFormat="1" applyFont="1" applyFill="1" applyBorder="1" applyAlignment="1" applyProtection="1">
      <alignment vertical="center"/>
    </xf>
    <xf numFmtId="173" fontId="20" fillId="5" borderId="405" xfId="0" applyNumberFormat="1" applyFont="1" applyFill="1" applyBorder="1" applyAlignment="1" applyProtection="1">
      <alignment horizontal="center" vertical="center"/>
      <protection locked="0"/>
    </xf>
    <xf numFmtId="173" fontId="20" fillId="5" borderId="406" xfId="0" applyNumberFormat="1" applyFont="1" applyFill="1" applyBorder="1" applyAlignment="1" applyProtection="1">
      <alignment horizontal="center" vertical="center"/>
      <protection locked="0"/>
    </xf>
    <xf numFmtId="173" fontId="20" fillId="5" borderId="406" xfId="0" applyNumberFormat="1" applyFont="1" applyFill="1" applyBorder="1" applyAlignment="1" applyProtection="1">
      <alignment horizontal="center"/>
      <protection locked="0"/>
    </xf>
    <xf numFmtId="173" fontId="20" fillId="5" borderId="407" xfId="0" applyNumberFormat="1" applyFont="1" applyFill="1" applyBorder="1" applyAlignment="1" applyProtection="1">
      <alignment horizontal="center" vertical="center"/>
      <protection locked="0"/>
    </xf>
    <xf numFmtId="0" fontId="81" fillId="3" borderId="560" xfId="4" applyFont="1" applyFill="1" applyBorder="1"/>
    <xf numFmtId="165" fontId="80" fillId="5" borderId="0" xfId="2" applyNumberFormat="1" applyFont="1" applyFill="1" applyBorder="1" applyAlignment="1"/>
    <xf numFmtId="165" fontId="80" fillId="5" borderId="519" xfId="2" applyNumberFormat="1" applyFont="1" applyFill="1" applyBorder="1" applyAlignment="1"/>
    <xf numFmtId="3" fontId="80" fillId="0" borderId="519" xfId="4" applyNumberFormat="1" applyFont="1" applyFill="1" applyBorder="1" applyAlignment="1">
      <alignment horizontal="right"/>
    </xf>
    <xf numFmtId="14" fontId="3" fillId="0" borderId="238" xfId="0" applyNumberFormat="1" applyFont="1" applyBorder="1" applyAlignment="1" applyProtection="1">
      <alignment vertical="center"/>
      <protection locked="0"/>
    </xf>
    <xf numFmtId="1" fontId="3" fillId="0" borderId="244" xfId="0" applyNumberFormat="1" applyFont="1" applyBorder="1" applyAlignment="1" applyProtection="1">
      <alignment vertical="center"/>
      <protection locked="0"/>
    </xf>
    <xf numFmtId="172" fontId="34" fillId="0" borderId="347" xfId="0" applyNumberFormat="1" applyFont="1" applyFill="1" applyBorder="1" applyAlignment="1" applyProtection="1">
      <alignment vertical="center"/>
      <protection locked="0"/>
    </xf>
    <xf numFmtId="172" fontId="23" fillId="0" borderId="347" xfId="0" applyNumberFormat="1" applyFont="1" applyFill="1" applyBorder="1" applyAlignment="1" applyProtection="1">
      <alignment vertical="center"/>
      <protection locked="0"/>
    </xf>
    <xf numFmtId="42" fontId="34" fillId="0" borderId="347" xfId="0" applyNumberFormat="1" applyFont="1" applyFill="1" applyBorder="1" applyAlignment="1" applyProtection="1">
      <alignment vertical="center"/>
      <protection locked="0"/>
    </xf>
    <xf numFmtId="172" fontId="23" fillId="0" borderId="350" xfId="0" applyNumberFormat="1" applyFont="1" applyFill="1" applyBorder="1" applyAlignment="1" applyProtection="1">
      <alignment vertical="center"/>
      <protection locked="0"/>
    </xf>
    <xf numFmtId="172" fontId="23" fillId="0" borderId="236" xfId="0" applyNumberFormat="1" applyFont="1" applyFill="1" applyBorder="1" applyAlignment="1" applyProtection="1">
      <alignment vertical="center"/>
      <protection locked="0"/>
    </xf>
    <xf numFmtId="172" fontId="20" fillId="6" borderId="117" xfId="0" applyNumberFormat="1" applyFont="1" applyFill="1" applyBorder="1" applyAlignment="1" applyProtection="1"/>
    <xf numFmtId="172" fontId="20" fillId="0" borderId="0" xfId="0" applyNumberFormat="1" applyFont="1" applyFill="1" applyBorder="1" applyAlignment="1" applyProtection="1">
      <alignment horizontal="left"/>
    </xf>
    <xf numFmtId="172" fontId="16" fillId="0" borderId="201" xfId="0" applyNumberFormat="1" applyFont="1" applyFill="1" applyBorder="1" applyAlignment="1" applyProtection="1">
      <protection locked="0"/>
    </xf>
    <xf numFmtId="172" fontId="16" fillId="0" borderId="206" xfId="0" applyNumberFormat="1" applyFont="1" applyFill="1" applyBorder="1" applyAlignment="1" applyProtection="1">
      <protection locked="0"/>
    </xf>
    <xf numFmtId="172" fontId="16" fillId="8" borderId="7" xfId="0" applyNumberFormat="1" applyFont="1" applyFill="1" applyBorder="1" applyAlignment="1" applyProtection="1"/>
    <xf numFmtId="172" fontId="16" fillId="6" borderId="125" xfId="0" applyNumberFormat="1" applyFont="1" applyFill="1" applyBorder="1" applyAlignment="1" applyProtection="1"/>
    <xf numFmtId="172" fontId="16" fillId="0" borderId="202" xfId="0" applyNumberFormat="1" applyFont="1" applyFill="1" applyBorder="1" applyAlignment="1" applyProtection="1">
      <protection locked="0"/>
    </xf>
    <xf numFmtId="172" fontId="16" fillId="0" borderId="207" xfId="0" applyNumberFormat="1" applyFont="1" applyFill="1" applyBorder="1" applyAlignment="1" applyProtection="1">
      <protection locked="0"/>
    </xf>
    <xf numFmtId="172" fontId="16" fillId="8" borderId="215" xfId="0" applyNumberFormat="1" applyFont="1" applyFill="1" applyBorder="1" applyAlignment="1" applyProtection="1"/>
    <xf numFmtId="172" fontId="16" fillId="6" borderId="183" xfId="0" applyNumberFormat="1" applyFont="1" applyFill="1" applyBorder="1" applyAlignment="1" applyProtection="1"/>
    <xf numFmtId="172" fontId="16" fillId="0" borderId="0" xfId="0" applyNumberFormat="1" applyFont="1" applyFill="1" applyBorder="1" applyAlignment="1" applyProtection="1">
      <alignment horizontal="left"/>
    </xf>
    <xf numFmtId="172" fontId="16" fillId="0" borderId="206" xfId="0" applyNumberFormat="1" applyFont="1" applyFill="1" applyBorder="1" applyAlignment="1" applyProtection="1">
      <alignment vertical="center"/>
      <protection locked="0"/>
    </xf>
    <xf numFmtId="172" fontId="16" fillId="6" borderId="7" xfId="0" applyNumberFormat="1" applyFont="1" applyFill="1" applyBorder="1" applyAlignment="1" applyProtection="1"/>
    <xf numFmtId="172" fontId="41" fillId="5" borderId="252" xfId="0" applyNumberFormat="1" applyFont="1" applyFill="1" applyBorder="1" applyProtection="1">
      <protection locked="0"/>
    </xf>
    <xf numFmtId="172" fontId="41" fillId="5" borderId="408" xfId="0" applyNumberFormat="1" applyFont="1" applyFill="1" applyBorder="1" applyProtection="1">
      <protection locked="0"/>
    </xf>
    <xf numFmtId="172" fontId="41" fillId="5" borderId="114" xfId="0" applyNumberFormat="1" applyFont="1" applyFill="1" applyBorder="1" applyProtection="1">
      <protection locked="0"/>
    </xf>
    <xf numFmtId="172" fontId="41" fillId="6" borderId="217" xfId="0" applyNumberFormat="1" applyFont="1" applyFill="1" applyBorder="1" applyProtection="1"/>
    <xf numFmtId="172" fontId="41" fillId="5" borderId="409" xfId="0" applyNumberFormat="1" applyFont="1" applyFill="1" applyBorder="1" applyProtection="1">
      <protection locked="0"/>
    </xf>
    <xf numFmtId="172" fontId="41" fillId="6" borderId="214" xfId="0" applyNumberFormat="1" applyFont="1" applyFill="1" applyBorder="1" applyProtection="1"/>
    <xf numFmtId="172" fontId="41" fillId="5" borderId="268" xfId="0" applyNumberFormat="1" applyFont="1" applyFill="1" applyBorder="1" applyProtection="1">
      <protection locked="0"/>
    </xf>
    <xf numFmtId="172" fontId="41" fillId="5" borderId="323" xfId="0" applyNumberFormat="1" applyFont="1" applyFill="1" applyBorder="1" applyProtection="1">
      <protection locked="0"/>
    </xf>
    <xf numFmtId="172" fontId="41" fillId="6" borderId="330" xfId="0" applyNumberFormat="1" applyFont="1" applyFill="1" applyBorder="1" applyProtection="1"/>
    <xf numFmtId="172" fontId="41" fillId="6" borderId="123" xfId="0" applyNumberFormat="1" applyFont="1" applyFill="1" applyBorder="1" applyProtection="1"/>
    <xf numFmtId="172" fontId="41" fillId="6" borderId="122" xfId="0" applyNumberFormat="1" applyFont="1" applyFill="1" applyBorder="1" applyProtection="1"/>
    <xf numFmtId="172" fontId="41" fillId="6" borderId="117" xfId="0" applyNumberFormat="1" applyFont="1" applyFill="1" applyBorder="1" applyProtection="1"/>
    <xf numFmtId="172" fontId="41" fillId="0" borderId="0" xfId="0" applyNumberFormat="1" applyFont="1" applyFill="1" applyBorder="1" applyProtection="1"/>
    <xf numFmtId="172" fontId="41" fillId="0" borderId="0" xfId="0" applyNumberFormat="1" applyFont="1" applyBorder="1" applyProtection="1"/>
    <xf numFmtId="172" fontId="41" fillId="6" borderId="193" xfId="0" applyNumberFormat="1" applyFont="1" applyFill="1" applyBorder="1" applyProtection="1"/>
    <xf numFmtId="172" fontId="41" fillId="6" borderId="217" xfId="0" applyNumberFormat="1" applyFont="1" applyFill="1" applyBorder="1" applyAlignment="1" applyProtection="1">
      <alignment horizontal="right"/>
    </xf>
    <xf numFmtId="172" fontId="41" fillId="6" borderId="214" xfId="0" applyNumberFormat="1" applyFont="1" applyFill="1" applyBorder="1" applyAlignment="1" applyProtection="1">
      <alignment horizontal="right"/>
    </xf>
    <xf numFmtId="172" fontId="41" fillId="0" borderId="408" xfId="0" applyNumberFormat="1" applyFont="1" applyBorder="1" applyProtection="1">
      <protection locked="0"/>
    </xf>
    <xf numFmtId="172" fontId="41" fillId="0" borderId="114" xfId="0" applyNumberFormat="1" applyFont="1" applyBorder="1" applyProtection="1">
      <protection locked="0"/>
    </xf>
    <xf numFmtId="172" fontId="41" fillId="0" borderId="252" xfId="0" applyNumberFormat="1" applyFont="1" applyBorder="1" applyProtection="1">
      <protection locked="0"/>
    </xf>
    <xf numFmtId="172" fontId="41" fillId="0" borderId="409" xfId="0" applyNumberFormat="1" applyFont="1" applyBorder="1" applyProtection="1">
      <protection locked="0"/>
    </xf>
    <xf numFmtId="172" fontId="41" fillId="0" borderId="268" xfId="0" applyNumberFormat="1" applyFont="1" applyBorder="1" applyProtection="1">
      <protection locked="0"/>
    </xf>
    <xf numFmtId="172" fontId="41" fillId="0" borderId="323" xfId="0" applyNumberFormat="1" applyFont="1" applyBorder="1" applyProtection="1">
      <protection locked="0"/>
    </xf>
    <xf numFmtId="172" fontId="16" fillId="0" borderId="0" xfId="0" applyNumberFormat="1" applyFont="1" applyBorder="1" applyProtection="1"/>
    <xf numFmtId="172" fontId="41" fillId="6" borderId="117" xfId="0" applyNumberFormat="1" applyFont="1" applyFill="1" applyBorder="1" applyAlignment="1" applyProtection="1">
      <alignment horizontal="right"/>
    </xf>
    <xf numFmtId="172" fontId="16" fillId="6" borderId="337" xfId="0" applyNumberFormat="1" applyFont="1" applyFill="1" applyBorder="1" applyAlignment="1" applyProtection="1">
      <alignment horizontal="left" wrapText="1"/>
      <protection locked="0"/>
    </xf>
    <xf numFmtId="172" fontId="16" fillId="0" borderId="285" xfId="0" applyNumberFormat="1" applyFont="1" applyFill="1" applyBorder="1" applyAlignment="1" applyProtection="1">
      <alignment horizontal="left" wrapText="1"/>
      <protection locked="0"/>
    </xf>
    <xf numFmtId="172" fontId="16" fillId="0" borderId="285" xfId="1" applyNumberFormat="1" applyFont="1" applyFill="1" applyBorder="1" applyAlignment="1" applyProtection="1">
      <alignment horizontal="left" wrapText="1"/>
      <protection locked="0"/>
    </xf>
    <xf numFmtId="165" fontId="41" fillId="0" borderId="561" xfId="0" applyNumberFormat="1" applyFont="1" applyFill="1" applyBorder="1" applyAlignment="1" applyProtection="1">
      <alignment vertical="center"/>
      <protection locked="0"/>
    </xf>
    <xf numFmtId="44" fontId="43" fillId="6" borderId="561" xfId="0" applyNumberFormat="1" applyFont="1" applyFill="1" applyBorder="1" applyAlignment="1" applyProtection="1">
      <alignment vertical="center"/>
    </xf>
    <xf numFmtId="44" fontId="41" fillId="0" borderId="562" xfId="0" applyNumberFormat="1" applyFont="1" applyFill="1" applyBorder="1" applyAlignment="1" applyProtection="1">
      <alignment vertical="center"/>
      <protection locked="0"/>
    </xf>
    <xf numFmtId="44" fontId="41" fillId="0" borderId="563" xfId="0" applyNumberFormat="1" applyFont="1" applyFill="1" applyBorder="1" applyAlignment="1" applyProtection="1">
      <alignment vertical="center"/>
      <protection locked="0"/>
    </xf>
    <xf numFmtId="44" fontId="41" fillId="0" borderId="564" xfId="0" applyNumberFormat="1" applyFont="1" applyFill="1" applyBorder="1" applyAlignment="1" applyProtection="1">
      <alignment vertical="center"/>
      <protection locked="0"/>
    </xf>
    <xf numFmtId="0" fontId="20" fillId="0" borderId="206" xfId="0" applyFont="1" applyFill="1" applyBorder="1" applyProtection="1">
      <protection locked="0"/>
    </xf>
    <xf numFmtId="0" fontId="22" fillId="0" borderId="238" xfId="0" applyFont="1" applyFill="1" applyBorder="1" applyAlignment="1" applyProtection="1">
      <alignment vertical="center" wrapText="1"/>
      <protection locked="0"/>
    </xf>
    <xf numFmtId="172" fontId="3" fillId="6" borderId="117" xfId="0" applyNumberFormat="1" applyFont="1" applyFill="1" applyBorder="1" applyProtection="1"/>
    <xf numFmtId="172" fontId="16" fillId="6" borderId="233" xfId="0" applyNumberFormat="1" applyFont="1" applyFill="1" applyBorder="1" applyProtection="1"/>
    <xf numFmtId="172" fontId="16" fillId="6" borderId="236" xfId="0" applyNumberFormat="1" applyFont="1" applyFill="1" applyBorder="1" applyProtection="1"/>
    <xf numFmtId="172" fontId="16" fillId="6" borderId="102" xfId="0" applyNumberFormat="1" applyFont="1" applyFill="1" applyBorder="1" applyProtection="1"/>
    <xf numFmtId="172" fontId="16" fillId="0" borderId="241" xfId="1" applyNumberFormat="1" applyFont="1" applyFill="1" applyBorder="1" applyProtection="1">
      <protection locked="0"/>
    </xf>
    <xf numFmtId="172" fontId="16" fillId="0" borderId="244" xfId="1" applyNumberFormat="1" applyFont="1" applyFill="1" applyBorder="1" applyProtection="1">
      <protection locked="0"/>
    </xf>
    <xf numFmtId="172" fontId="16" fillId="0" borderId="251" xfId="1" applyNumberFormat="1" applyFont="1" applyFill="1" applyBorder="1" applyProtection="1">
      <protection locked="0"/>
    </xf>
    <xf numFmtId="172" fontId="16" fillId="0" borderId="383" xfId="1" applyNumberFormat="1" applyFont="1" applyFill="1" applyBorder="1" applyProtection="1">
      <protection locked="0"/>
    </xf>
    <xf numFmtId="172" fontId="16" fillId="6" borderId="272" xfId="0" applyNumberFormat="1" applyFont="1" applyFill="1" applyBorder="1" applyProtection="1"/>
    <xf numFmtId="172" fontId="16" fillId="18" borderId="63" xfId="0" applyNumberFormat="1" applyFont="1" applyFill="1" applyBorder="1" applyAlignment="1" applyProtection="1">
      <alignment vertical="center"/>
    </xf>
    <xf numFmtId="172" fontId="16" fillId="0" borderId="384" xfId="1" applyNumberFormat="1" applyFont="1" applyFill="1" applyBorder="1" applyProtection="1">
      <protection locked="0"/>
    </xf>
    <xf numFmtId="172" fontId="16" fillId="6" borderId="257" xfId="0" applyNumberFormat="1" applyFont="1" applyFill="1" applyBorder="1" applyProtection="1"/>
    <xf numFmtId="172" fontId="16" fillId="6" borderId="354" xfId="0" applyNumberFormat="1" applyFont="1" applyFill="1" applyBorder="1" applyProtection="1"/>
    <xf numFmtId="172" fontId="20" fillId="6" borderId="125" xfId="0" applyNumberFormat="1" applyFont="1" applyFill="1" applyBorder="1" applyAlignment="1" applyProtection="1"/>
    <xf numFmtId="172" fontId="20" fillId="6" borderId="119" xfId="0" applyNumberFormat="1" applyFont="1" applyFill="1" applyBorder="1" applyAlignment="1" applyProtection="1"/>
    <xf numFmtId="172" fontId="43" fillId="0" borderId="0" xfId="0" applyNumberFormat="1" applyFont="1" applyFill="1" applyBorder="1" applyAlignment="1" applyProtection="1">
      <alignment horizontal="right"/>
    </xf>
    <xf numFmtId="172" fontId="0" fillId="0" borderId="0" xfId="0" applyNumberFormat="1" applyFont="1" applyFill="1" applyProtection="1"/>
    <xf numFmtId="172" fontId="2" fillId="0" borderId="0" xfId="0" applyNumberFormat="1" applyFont="1" applyFill="1" applyAlignment="1" applyProtection="1">
      <alignment horizontal="right"/>
    </xf>
    <xf numFmtId="172" fontId="0" fillId="6" borderId="73" xfId="0" applyNumberFormat="1" applyFont="1" applyFill="1" applyBorder="1" applyProtection="1"/>
    <xf numFmtId="14" fontId="16" fillId="0" borderId="189" xfId="0" applyNumberFormat="1" applyFont="1" applyBorder="1" applyProtection="1">
      <protection locked="0"/>
    </xf>
    <xf numFmtId="0" fontId="41" fillId="0" borderId="5" xfId="0" applyFont="1" applyFill="1" applyBorder="1" applyAlignment="1" applyProtection="1">
      <alignment horizontal="left" vertical="center" indent="1"/>
    </xf>
    <xf numFmtId="44" fontId="43" fillId="0"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vertical="center"/>
      <protection locked="0"/>
    </xf>
    <xf numFmtId="10" fontId="16" fillId="0" borderId="201" xfId="2" applyNumberFormat="1" applyFont="1" applyFill="1" applyBorder="1" applyAlignment="1" applyProtection="1">
      <protection locked="0"/>
    </xf>
    <xf numFmtId="10" fontId="16" fillId="0" borderId="206" xfId="2" applyNumberFormat="1" applyFont="1" applyFill="1" applyBorder="1" applyAlignment="1" applyProtection="1">
      <protection locked="0"/>
    </xf>
    <xf numFmtId="165" fontId="16" fillId="0" borderId="224" xfId="0" applyNumberFormat="1" applyFont="1" applyFill="1" applyBorder="1" applyAlignment="1" applyProtection="1">
      <protection locked="0"/>
    </xf>
    <xf numFmtId="0" fontId="0" fillId="0" borderId="417" xfId="0" applyBorder="1" applyAlignment="1" applyProtection="1">
      <alignment vertical="top"/>
    </xf>
    <xf numFmtId="1" fontId="16" fillId="0" borderId="5" xfId="0" applyNumberFormat="1" applyFont="1" applyFill="1" applyBorder="1" applyAlignment="1" applyProtection="1">
      <alignment horizontal="left"/>
      <protection locked="0"/>
    </xf>
    <xf numFmtId="0" fontId="16" fillId="0" borderId="5"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9" xfId="0" applyFont="1" applyFill="1" applyBorder="1" applyAlignment="1" applyProtection="1">
      <alignment horizontal="right" vertical="center"/>
    </xf>
    <xf numFmtId="16" fontId="0" fillId="0" borderId="461" xfId="0" applyNumberFormat="1" applyFont="1" applyFill="1" applyBorder="1" applyProtection="1"/>
    <xf numFmtId="16" fontId="1" fillId="0" borderId="449" xfId="0" applyNumberFormat="1" applyFont="1" applyFill="1" applyBorder="1" applyProtection="1"/>
    <xf numFmtId="16" fontId="1" fillId="0" borderId="472" xfId="0" applyNumberFormat="1" applyFont="1" applyFill="1" applyBorder="1" applyProtection="1"/>
    <xf numFmtId="16" fontId="1" fillId="0" borderId="436" xfId="0" applyNumberFormat="1" applyFont="1" applyFill="1" applyBorder="1" applyProtection="1"/>
    <xf numFmtId="16" fontId="1" fillId="0" borderId="437" xfId="0" applyNumberFormat="1" applyFont="1" applyFill="1" applyBorder="1" applyProtection="1"/>
    <xf numFmtId="0" fontId="1" fillId="0" borderId="0" xfId="0" applyFont="1" applyFill="1" applyBorder="1" applyProtection="1"/>
    <xf numFmtId="0" fontId="21" fillId="16" borderId="0" xfId="0" applyFont="1" applyFill="1" applyBorder="1" applyAlignment="1" applyProtection="1"/>
    <xf numFmtId="0" fontId="16" fillId="0" borderId="208" xfId="0" applyFont="1" applyFill="1" applyBorder="1" applyAlignment="1" applyProtection="1">
      <protection locked="0"/>
    </xf>
    <xf numFmtId="0" fontId="16" fillId="8" borderId="216" xfId="0" applyFont="1" applyFill="1" applyBorder="1" applyAlignment="1" applyProtection="1"/>
    <xf numFmtId="0" fontId="16" fillId="8" borderId="184" xfId="0" applyFont="1" applyFill="1" applyBorder="1" applyAlignment="1" applyProtection="1"/>
    <xf numFmtId="0" fontId="16" fillId="0" borderId="203" xfId="0" applyFont="1" applyFill="1" applyBorder="1" applyAlignment="1" applyProtection="1">
      <protection locked="0"/>
    </xf>
    <xf numFmtId="0" fontId="16" fillId="16" borderId="125" xfId="0" applyFont="1" applyFill="1" applyBorder="1" applyAlignment="1" applyProtection="1">
      <alignment wrapText="1"/>
    </xf>
    <xf numFmtId="0" fontId="16" fillId="0" borderId="201" xfId="0" applyFont="1" applyFill="1" applyBorder="1" applyAlignment="1" applyProtection="1">
      <alignment wrapText="1"/>
      <protection locked="0"/>
    </xf>
    <xf numFmtId="0" fontId="16" fillId="0" borderId="206" xfId="0" applyFont="1" applyFill="1" applyBorder="1" applyProtection="1">
      <protection locked="0"/>
    </xf>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2" xfId="0" applyFont="1" applyFill="1" applyBorder="1" applyAlignment="1" applyProtection="1">
      <alignment horizontal="right" vertical="center"/>
    </xf>
    <xf numFmtId="0" fontId="16" fillId="0" borderId="5" xfId="0" applyFont="1" applyFill="1" applyBorder="1" applyAlignment="1" applyProtection="1">
      <protection locked="0"/>
    </xf>
    <xf numFmtId="0" fontId="16" fillId="0" borderId="21" xfId="0" applyFont="1" applyFill="1" applyBorder="1" applyProtection="1">
      <protection locked="0"/>
    </xf>
    <xf numFmtId="0" fontId="16" fillId="0" borderId="190" xfId="0" applyFont="1" applyFill="1" applyBorder="1" applyAlignment="1" applyProtection="1">
      <protection locked="0"/>
    </xf>
    <xf numFmtId="0" fontId="86" fillId="3" borderId="0" xfId="4" applyFont="1" applyFill="1" applyBorder="1" applyAlignment="1"/>
    <xf numFmtId="0" fontId="72" fillId="3" borderId="0" xfId="4" applyFont="1" applyFill="1" applyBorder="1" applyAlignment="1">
      <alignment wrapText="1"/>
    </xf>
    <xf numFmtId="0" fontId="81" fillId="5" borderId="0" xfId="4" applyFont="1" applyFill="1" applyBorder="1" applyAlignment="1">
      <alignment wrapText="1"/>
    </xf>
    <xf numFmtId="0" fontId="0" fillId="0" borderId="0" xfId="0"/>
    <xf numFmtId="0" fontId="72" fillId="3" borderId="0" xfId="4" applyFont="1" applyFill="1" applyBorder="1" applyAlignment="1" applyProtection="1">
      <alignment wrapText="1"/>
    </xf>
    <xf numFmtId="0" fontId="0" fillId="0" borderId="0" xfId="0" applyProtection="1"/>
    <xf numFmtId="0" fontId="81" fillId="34" borderId="52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2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416" xfId="0" applyBorder="1" applyAlignment="1" applyProtection="1">
      <alignment vertical="top"/>
    </xf>
    <xf numFmtId="0" fontId="0" fillId="0" borderId="417" xfId="0" applyBorder="1" applyAlignment="1" applyProtection="1">
      <alignment vertical="top"/>
    </xf>
    <xf numFmtId="0" fontId="0" fillId="0" borderId="158" xfId="0" applyBorder="1" applyAlignment="1" applyProtection="1">
      <alignment vertical="top"/>
    </xf>
    <xf numFmtId="0" fontId="0" fillId="0" borderId="395" xfId="0" applyBorder="1" applyAlignment="1" applyProtection="1">
      <alignment vertical="top"/>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8"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14" xfId="0" applyFont="1" applyFill="1" applyBorder="1" applyAlignment="1" applyProtection="1">
      <alignment horizontal="left" vertical="top" wrapText="1"/>
      <protection locked="0"/>
    </xf>
    <xf numFmtId="0" fontId="16" fillId="0" borderId="18"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18" xfId="0" applyFont="1" applyFill="1" applyBorder="1" applyAlignment="1" applyProtection="1">
      <alignment horizontal="right" vertical="center"/>
    </xf>
    <xf numFmtId="0" fontId="16" fillId="0" borderId="19" xfId="0" applyFont="1" applyFill="1" applyBorder="1" applyAlignment="1" applyProtection="1">
      <alignment horizontal="right" vertical="center"/>
    </xf>
    <xf numFmtId="0" fontId="16" fillId="0" borderId="5" xfId="0" applyFont="1" applyFill="1" applyBorder="1" applyAlignment="1" applyProtection="1">
      <alignment horizontal="left"/>
      <protection locked="0"/>
    </xf>
    <xf numFmtId="0" fontId="16" fillId="0" borderId="5" xfId="0" quotePrefix="1" applyFont="1" applyFill="1" applyBorder="1" applyAlignment="1" applyProtection="1">
      <alignment horizontal="left"/>
      <protection locked="0"/>
    </xf>
    <xf numFmtId="1" fontId="16" fillId="0" borderId="5" xfId="0" applyNumberFormat="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5" xfId="0" applyFont="1" applyFill="1" applyBorder="1" applyAlignment="1" applyProtection="1">
      <alignment horizontal="left"/>
      <protection locked="0"/>
    </xf>
    <xf numFmtId="0" fontId="20" fillId="0" borderId="5" xfId="0" applyFont="1" applyFill="1" applyBorder="1" applyAlignment="1" applyProtection="1">
      <alignment horizontal="left"/>
      <protection locked="0"/>
    </xf>
    <xf numFmtId="0" fontId="17" fillId="0" borderId="184" xfId="0" applyFont="1" applyBorder="1" applyAlignment="1" applyProtection="1"/>
    <xf numFmtId="0" fontId="21" fillId="16" borderId="0" xfId="0" applyFont="1" applyFill="1" applyBorder="1" applyAlignment="1" applyProtection="1">
      <alignment vertical="center"/>
    </xf>
    <xf numFmtId="0" fontId="17" fillId="0" borderId="184" xfId="0" applyFont="1" applyFill="1" applyBorder="1" applyAlignment="1" applyProtection="1"/>
    <xf numFmtId="0" fontId="2" fillId="7" borderId="125" xfId="0" applyFont="1" applyFill="1" applyBorder="1" applyAlignment="1" applyProtection="1"/>
    <xf numFmtId="0" fontId="2" fillId="7" borderId="395" xfId="0" applyFont="1" applyFill="1" applyBorder="1" applyAlignment="1" applyProtection="1"/>
    <xf numFmtId="0" fontId="2" fillId="7" borderId="402" xfId="0" applyFont="1" applyFill="1" applyBorder="1" applyAlignment="1" applyProtection="1"/>
    <xf numFmtId="0" fontId="40" fillId="16" borderId="182" xfId="0" applyFont="1" applyFill="1" applyBorder="1" applyAlignment="1" applyProtection="1">
      <alignment horizontal="center" vertical="center" wrapText="1"/>
    </xf>
    <xf numFmtId="0" fontId="40" fillId="16" borderId="15" xfId="0" applyFont="1" applyFill="1" applyBorder="1" applyAlignment="1" applyProtection="1">
      <alignment horizontal="center" vertical="center" wrapText="1"/>
    </xf>
    <xf numFmtId="0" fontId="40" fillId="16" borderId="179" xfId="0" applyFont="1" applyFill="1" applyBorder="1" applyAlignment="1" applyProtection="1">
      <alignment horizontal="center" vertical="center" wrapText="1"/>
    </xf>
    <xf numFmtId="0" fontId="40" fillId="16" borderId="3" xfId="0" applyFont="1" applyFill="1" applyBorder="1" applyAlignment="1" applyProtection="1">
      <alignment horizontal="center" vertical="center" wrapText="1"/>
    </xf>
    <xf numFmtId="0" fontId="40" fillId="16" borderId="180" xfId="0" applyFont="1" applyFill="1" applyBorder="1" applyAlignment="1" applyProtection="1">
      <alignment horizontal="center" vertical="center" wrapText="1"/>
    </xf>
    <xf numFmtId="0" fontId="40" fillId="16" borderId="6" xfId="0" applyFont="1" applyFill="1" applyBorder="1" applyAlignment="1" applyProtection="1">
      <alignment horizontal="center" vertical="center" wrapText="1"/>
    </xf>
    <xf numFmtId="0" fontId="40" fillId="6" borderId="177" xfId="0" applyFont="1" applyFill="1" applyBorder="1" applyAlignment="1" applyProtection="1">
      <alignment horizontal="center" vertical="center" wrapText="1"/>
    </xf>
    <xf numFmtId="0" fontId="40" fillId="6" borderId="185" xfId="0" applyFont="1" applyFill="1" applyBorder="1" applyAlignment="1" applyProtection="1">
      <alignment horizontal="center" vertical="center" wrapText="1"/>
    </xf>
    <xf numFmtId="0" fontId="40" fillId="6" borderId="179" xfId="0" applyFont="1" applyFill="1" applyBorder="1" applyAlignment="1" applyProtection="1">
      <alignment horizontal="center" vertical="center" wrapText="1"/>
    </xf>
    <xf numFmtId="0" fontId="40" fillId="6" borderId="3" xfId="0" applyFont="1" applyFill="1" applyBorder="1" applyAlignment="1" applyProtection="1">
      <alignment horizontal="center" vertical="center" wrapText="1"/>
    </xf>
    <xf numFmtId="0" fontId="24" fillId="27" borderId="179" xfId="0" applyFont="1" applyFill="1" applyBorder="1" applyAlignment="1" applyProtection="1">
      <alignment horizontal="center" vertical="center"/>
    </xf>
    <xf numFmtId="0" fontId="24" fillId="27" borderId="65" xfId="0" applyFont="1" applyFill="1" applyBorder="1" applyAlignment="1" applyProtection="1">
      <alignment horizontal="center" vertical="center"/>
    </xf>
    <xf numFmtId="0" fontId="77" fillId="16" borderId="0" xfId="0" applyFont="1" applyFill="1" applyBorder="1" applyAlignment="1" applyProtection="1"/>
    <xf numFmtId="0" fontId="18" fillId="0" borderId="5" xfId="0" applyNumberFormat="1" applyFont="1" applyFill="1" applyBorder="1" applyAlignment="1" applyProtection="1">
      <alignment horizontal="left"/>
    </xf>
    <xf numFmtId="0" fontId="15" fillId="0" borderId="42" xfId="0" applyFont="1" applyFill="1" applyBorder="1" applyAlignment="1" applyProtection="1">
      <alignment horizontal="center"/>
      <protection locked="0"/>
    </xf>
    <xf numFmtId="0" fontId="15" fillId="0" borderId="43" xfId="0" applyFont="1" applyFill="1" applyBorder="1" applyAlignment="1" applyProtection="1">
      <alignment horizontal="center"/>
      <protection locked="0"/>
    </xf>
    <xf numFmtId="16" fontId="24" fillId="0" borderId="448" xfId="0" applyNumberFormat="1" applyFont="1" applyFill="1" applyBorder="1" applyAlignment="1" applyProtection="1">
      <alignment vertical="top"/>
    </xf>
    <xf numFmtId="16" fontId="24" fillId="0" borderId="449" xfId="0" applyNumberFormat="1" applyFont="1" applyFill="1" applyBorder="1" applyAlignment="1" applyProtection="1">
      <alignment vertical="top"/>
    </xf>
    <xf numFmtId="16" fontId="24" fillId="0" borderId="450" xfId="0" applyNumberFormat="1" applyFont="1" applyFill="1" applyBorder="1" applyAlignment="1" applyProtection="1">
      <alignment vertical="top"/>
    </xf>
    <xf numFmtId="0" fontId="15" fillId="0" borderId="461" xfId="0" applyFont="1" applyFill="1" applyBorder="1" applyAlignment="1" applyProtection="1"/>
    <xf numFmtId="0" fontId="15" fillId="0" borderId="449" xfId="0" applyFont="1" applyFill="1" applyBorder="1" applyAlignment="1" applyProtection="1"/>
    <xf numFmtId="0" fontId="15" fillId="0" borderId="472" xfId="0" applyFont="1" applyFill="1" applyBorder="1" applyAlignment="1" applyProtection="1"/>
    <xf numFmtId="16" fontId="0" fillId="0" borderId="461" xfId="0" applyNumberFormat="1" applyFont="1" applyFill="1" applyBorder="1" applyAlignment="1" applyProtection="1"/>
    <xf numFmtId="16" fontId="1" fillId="0" borderId="449" xfId="0" applyNumberFormat="1" applyFont="1" applyFill="1" applyBorder="1" applyAlignment="1" applyProtection="1"/>
    <xf numFmtId="16" fontId="1" fillId="0" borderId="472" xfId="0" applyNumberFormat="1" applyFont="1" applyFill="1" applyBorder="1" applyAlignment="1" applyProtection="1"/>
    <xf numFmtId="0" fontId="15" fillId="0" borderId="474" xfId="0" applyFont="1" applyFill="1" applyBorder="1" applyAlignment="1" applyProtection="1"/>
    <xf numFmtId="0" fontId="15" fillId="0" borderId="452" xfId="0" applyFont="1" applyFill="1" applyBorder="1" applyAlignment="1" applyProtection="1"/>
    <xf numFmtId="0" fontId="15" fillId="0" borderId="475" xfId="0" applyFont="1" applyFill="1" applyBorder="1" applyAlignment="1" applyProtection="1"/>
    <xf numFmtId="16" fontId="0" fillId="0" borderId="469" xfId="0" applyNumberFormat="1" applyFont="1" applyFill="1" applyBorder="1" applyAlignment="1" applyProtection="1"/>
    <xf numFmtId="16" fontId="0" fillId="0" borderId="445" xfId="0" applyNumberFormat="1" applyFont="1" applyFill="1" applyBorder="1" applyAlignment="1" applyProtection="1"/>
    <xf numFmtId="16" fontId="0" fillId="0" borderId="470" xfId="0" applyNumberFormat="1" applyFont="1" applyFill="1" applyBorder="1" applyAlignment="1" applyProtection="1"/>
    <xf numFmtId="0" fontId="3" fillId="0" borderId="8"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21" fillId="16" borderId="0" xfId="0" applyFont="1" applyFill="1" applyBorder="1" applyAlignment="1" applyProtection="1">
      <alignment horizontal="left"/>
    </xf>
    <xf numFmtId="0" fontId="3" fillId="3" borderId="8"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21" fillId="16" borderId="0" xfId="0" applyFont="1" applyFill="1" applyBorder="1" applyAlignment="1" applyProtection="1"/>
    <xf numFmtId="0" fontId="27" fillId="10" borderId="67" xfId="0" applyFont="1" applyFill="1" applyBorder="1" applyAlignment="1" applyProtection="1">
      <alignment horizontal="center" vertical="center" wrapText="1"/>
    </xf>
    <xf numFmtId="0" fontId="27" fillId="10" borderId="4" xfId="0" applyFont="1" applyFill="1" applyBorder="1" applyAlignment="1" applyProtection="1">
      <alignment horizontal="center" vertical="center" wrapText="1"/>
    </xf>
    <xf numFmtId="5" fontId="27" fillId="7" borderId="66" xfId="0" applyNumberFormat="1" applyFont="1" applyFill="1" applyBorder="1" applyAlignment="1" applyProtection="1">
      <alignment horizontal="center" vertical="center" wrapText="1"/>
    </xf>
    <xf numFmtId="5" fontId="27" fillId="7" borderId="17" xfId="0" applyNumberFormat="1" applyFont="1" applyFill="1" applyBorder="1" applyAlignment="1" applyProtection="1">
      <alignment horizontal="center" vertical="center" wrapText="1"/>
    </xf>
    <xf numFmtId="5" fontId="27" fillId="13" borderId="19" xfId="0" applyNumberFormat="1" applyFont="1" applyFill="1" applyBorder="1" applyAlignment="1" applyProtection="1">
      <alignment horizontal="center" vertical="center" wrapText="1"/>
    </xf>
    <xf numFmtId="5" fontId="16" fillId="5" borderId="8" xfId="0" applyNumberFormat="1" applyFont="1" applyFill="1" applyBorder="1" applyAlignment="1" applyProtection="1">
      <alignment horizontal="center" vertical="center" wrapText="1"/>
      <protection locked="0"/>
    </xf>
    <xf numFmtId="5" fontId="16" fillId="5" borderId="11" xfId="0" applyNumberFormat="1" applyFont="1" applyFill="1" applyBorder="1" applyAlignment="1" applyProtection="1">
      <alignment horizontal="center" vertical="center" wrapText="1"/>
      <protection locked="0"/>
    </xf>
    <xf numFmtId="5" fontId="16" fillId="5" borderId="64" xfId="0" applyNumberFormat="1" applyFont="1" applyFill="1" applyBorder="1" applyAlignment="1" applyProtection="1">
      <alignment horizontal="center" vertical="center" wrapText="1"/>
      <protection locked="0"/>
    </xf>
    <xf numFmtId="5" fontId="16" fillId="5" borderId="10" xfId="0" applyNumberFormat="1" applyFont="1" applyFill="1" applyBorder="1" applyAlignment="1" applyProtection="1">
      <alignment horizontal="center" vertical="center" wrapText="1"/>
      <protection locked="0"/>
    </xf>
    <xf numFmtId="5" fontId="16" fillId="5" borderId="71" xfId="0" applyNumberFormat="1" applyFont="1" applyFill="1" applyBorder="1" applyAlignment="1" applyProtection="1">
      <alignment horizontal="center" vertical="center" wrapText="1"/>
      <protection locked="0"/>
    </xf>
    <xf numFmtId="5" fontId="16" fillId="5" borderId="16" xfId="0" applyNumberFormat="1" applyFont="1" applyFill="1" applyBorder="1" applyAlignment="1" applyProtection="1">
      <alignment horizontal="center" vertical="center" wrapText="1"/>
      <protection locked="0"/>
    </xf>
    <xf numFmtId="0" fontId="25" fillId="0" borderId="42" xfId="0" applyFont="1" applyBorder="1" applyAlignment="1" applyProtection="1">
      <alignment vertical="center"/>
      <protection locked="0"/>
    </xf>
    <xf numFmtId="0" fontId="25" fillId="0" borderId="43" xfId="0" applyFont="1" applyBorder="1" applyAlignment="1" applyProtection="1">
      <alignment vertical="center"/>
      <protection locked="0"/>
    </xf>
    <xf numFmtId="44" fontId="23" fillId="0" borderId="350" xfId="0" applyNumberFormat="1" applyFont="1" applyFill="1" applyBorder="1" applyAlignment="1" applyProtection="1">
      <alignment vertical="center"/>
      <protection locked="0"/>
    </xf>
    <xf numFmtId="44" fontId="23" fillId="0" borderId="210" xfId="0" applyNumberFormat="1" applyFont="1" applyFill="1" applyBorder="1" applyAlignment="1" applyProtection="1">
      <alignment vertical="center"/>
      <protection locked="0"/>
    </xf>
    <xf numFmtId="44" fontId="23" fillId="0" borderId="376" xfId="0" applyNumberFormat="1" applyFont="1" applyFill="1" applyBorder="1" applyAlignment="1" applyProtection="1">
      <alignment vertical="center"/>
      <protection locked="0"/>
    </xf>
    <xf numFmtId="44" fontId="23" fillId="0" borderId="310" xfId="0" applyNumberFormat="1" applyFont="1" applyFill="1" applyBorder="1" applyAlignment="1" applyProtection="1">
      <alignment vertical="center"/>
      <protection locked="0"/>
    </xf>
    <xf numFmtId="44" fontId="23" fillId="0" borderId="371" xfId="0" applyNumberFormat="1" applyFont="1" applyFill="1" applyBorder="1" applyAlignment="1" applyProtection="1">
      <alignment vertical="center"/>
      <protection locked="0"/>
    </xf>
    <xf numFmtId="44" fontId="23" fillId="0" borderId="205" xfId="0" applyNumberFormat="1" applyFont="1" applyFill="1" applyBorder="1" applyAlignment="1" applyProtection="1">
      <alignment vertical="center"/>
      <protection locked="0"/>
    </xf>
    <xf numFmtId="10" fontId="23" fillId="0" borderId="350" xfId="0" applyNumberFormat="1" applyFont="1" applyFill="1" applyBorder="1" applyAlignment="1" applyProtection="1">
      <alignment vertical="center"/>
      <protection locked="0"/>
    </xf>
    <xf numFmtId="9" fontId="23" fillId="0" borderId="350" xfId="0" applyNumberFormat="1" applyFont="1" applyFill="1" applyBorder="1" applyAlignment="1" applyProtection="1">
      <alignment vertical="center"/>
      <protection locked="0"/>
    </xf>
    <xf numFmtId="0" fontId="5" fillId="7" borderId="181" xfId="0" applyFont="1" applyFill="1" applyBorder="1" applyAlignment="1" applyProtection="1">
      <alignment horizontal="center"/>
    </xf>
    <xf numFmtId="0" fontId="5" fillId="7" borderId="111" xfId="0" applyFont="1" applyFill="1" applyBorder="1" applyAlignment="1" applyProtection="1">
      <alignment horizontal="center"/>
    </xf>
    <xf numFmtId="5" fontId="9" fillId="16" borderId="46" xfId="0" applyNumberFormat="1" applyFont="1" applyFill="1" applyBorder="1" applyAlignment="1" applyProtection="1">
      <alignment horizontal="center" vertical="center" wrapText="1"/>
    </xf>
    <xf numFmtId="5" fontId="9" fillId="16" borderId="45" xfId="0" applyNumberFormat="1" applyFont="1" applyFill="1" applyBorder="1" applyAlignment="1" applyProtection="1">
      <alignment horizontal="center" vertical="center" wrapText="1"/>
    </xf>
    <xf numFmtId="0" fontId="8" fillId="0" borderId="8"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17" fillId="16" borderId="42" xfId="0" applyFont="1" applyFill="1" applyBorder="1" applyAlignment="1" applyProtection="1">
      <alignment horizontal="center"/>
    </xf>
    <xf numFmtId="5" fontId="17" fillId="16" borderId="64" xfId="0" applyNumberFormat="1" applyFont="1" applyFill="1" applyBorder="1" applyAlignment="1" applyProtection="1">
      <alignment horizontal="center" vertical="center"/>
    </xf>
    <xf numFmtId="5" fontId="17" fillId="16" borderId="65" xfId="0" applyNumberFormat="1" applyFont="1" applyFill="1" applyBorder="1" applyAlignment="1" applyProtection="1">
      <alignment horizontal="center" vertical="center"/>
    </xf>
    <xf numFmtId="5" fontId="17" fillId="16" borderId="10" xfId="0" applyNumberFormat="1" applyFont="1" applyFill="1" applyBorder="1" applyAlignment="1" applyProtection="1">
      <alignment horizontal="center" vertical="center"/>
    </xf>
    <xf numFmtId="0" fontId="17" fillId="7" borderId="66" xfId="0" applyFont="1" applyFill="1" applyBorder="1" applyAlignment="1" applyProtection="1">
      <alignment horizontal="center" vertical="center" wrapText="1"/>
    </xf>
    <xf numFmtId="0" fontId="17" fillId="7" borderId="17" xfId="0" applyFont="1" applyFill="1" applyBorder="1" applyAlignment="1" applyProtection="1">
      <alignment horizontal="center" vertical="center" wrapText="1"/>
    </xf>
    <xf numFmtId="5" fontId="17" fillId="16" borderId="71" xfId="0" applyNumberFormat="1" applyFont="1" applyFill="1" applyBorder="1" applyAlignment="1" applyProtection="1">
      <alignment horizontal="center" vertical="center" wrapText="1"/>
    </xf>
    <xf numFmtId="5" fontId="17" fillId="16" borderId="72" xfId="0" applyNumberFormat="1" applyFont="1" applyFill="1" applyBorder="1" applyAlignment="1" applyProtection="1">
      <alignment horizontal="center" vertical="center" wrapText="1"/>
    </xf>
    <xf numFmtId="5" fontId="17" fillId="16" borderId="16" xfId="0" applyNumberFormat="1" applyFont="1" applyFill="1" applyBorder="1" applyAlignment="1" applyProtection="1">
      <alignment horizontal="center" vertical="center" wrapText="1"/>
    </xf>
    <xf numFmtId="169" fontId="25" fillId="0" borderId="42" xfId="0" applyNumberFormat="1" applyFont="1" applyBorder="1" applyAlignment="1" applyProtection="1">
      <alignment vertical="center"/>
    </xf>
    <xf numFmtId="169" fontId="25" fillId="0" borderId="43"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2" xfId="0" applyFont="1" applyBorder="1" applyAlignment="1" applyProtection="1">
      <alignment vertical="center" wrapText="1"/>
    </xf>
    <xf numFmtId="0" fontId="58" fillId="0" borderId="37" xfId="0" applyFont="1" applyBorder="1" applyAlignment="1" applyProtection="1">
      <alignment horizontal="right" wrapText="1"/>
    </xf>
    <xf numFmtId="0" fontId="25" fillId="0" borderId="0" xfId="0" applyFont="1" applyFill="1" applyBorder="1" applyAlignment="1" applyProtection="1">
      <alignment horizontal="right"/>
    </xf>
    <xf numFmtId="0" fontId="17" fillId="0" borderId="81"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08" xfId="0" applyFont="1" applyFill="1" applyBorder="1" applyAlignment="1" applyProtection="1">
      <protection locked="0"/>
    </xf>
    <xf numFmtId="0" fontId="16" fillId="0" borderId="209" xfId="0" applyFont="1" applyFill="1" applyBorder="1" applyAlignment="1" applyProtection="1">
      <protection locked="0"/>
    </xf>
    <xf numFmtId="0" fontId="16" fillId="0" borderId="210" xfId="0" applyFont="1" applyFill="1" applyBorder="1" applyAlignment="1" applyProtection="1">
      <protection locked="0"/>
    </xf>
    <xf numFmtId="0" fontId="16" fillId="8" borderId="216" xfId="0" applyFont="1" applyFill="1" applyBorder="1" applyAlignment="1" applyProtection="1"/>
    <xf numFmtId="0" fontId="16" fillId="8" borderId="184" xfId="0" applyFont="1" applyFill="1" applyBorder="1" applyAlignment="1" applyProtection="1"/>
    <xf numFmtId="0" fontId="16" fillId="8" borderId="185" xfId="0" applyFont="1" applyFill="1" applyBorder="1" applyAlignment="1" applyProtection="1"/>
    <xf numFmtId="0" fontId="17" fillId="0" borderId="515" xfId="0" applyFont="1" applyFill="1" applyBorder="1" applyAlignment="1" applyProtection="1"/>
    <xf numFmtId="0" fontId="17" fillId="0" borderId="184" xfId="0" applyFont="1" applyFill="1" applyBorder="1" applyAlignment="1" applyProtection="1">
      <alignment horizontal="left"/>
    </xf>
    <xf numFmtId="0" fontId="20" fillId="16" borderId="116" xfId="0" applyFont="1" applyFill="1" applyBorder="1" applyAlignment="1" applyProtection="1">
      <alignment wrapText="1"/>
    </xf>
    <xf numFmtId="0" fontId="16" fillId="0" borderId="203" xfId="0" applyFont="1" applyFill="1" applyBorder="1" applyAlignment="1" applyProtection="1">
      <protection locked="0"/>
    </xf>
    <xf numFmtId="0" fontId="16" fillId="0" borderId="204" xfId="0" applyFont="1" applyFill="1" applyBorder="1" applyAlignment="1" applyProtection="1">
      <protection locked="0"/>
    </xf>
    <xf numFmtId="0" fontId="16" fillId="0" borderId="205" xfId="0" applyFont="1" applyFill="1" applyBorder="1" applyAlignment="1" applyProtection="1">
      <protection locked="0"/>
    </xf>
    <xf numFmtId="0" fontId="47" fillId="0" borderId="8" xfId="0" applyFont="1" applyBorder="1" applyAlignment="1" applyProtection="1">
      <alignment horizontal="left" vertical="top" wrapText="1"/>
      <protection locked="0"/>
    </xf>
    <xf numFmtId="0" fontId="47" fillId="0" borderId="12" xfId="0" applyFont="1" applyBorder="1" applyAlignment="1" applyProtection="1">
      <alignment horizontal="left" vertical="top" wrapText="1"/>
      <protection locked="0"/>
    </xf>
    <xf numFmtId="0" fontId="47" fillId="0" borderId="14" xfId="0" applyFont="1" applyBorder="1" applyAlignment="1" applyProtection="1">
      <alignment horizontal="left" vertical="top" wrapText="1"/>
      <protection locked="0"/>
    </xf>
    <xf numFmtId="0" fontId="47" fillId="0" borderId="18"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9" xfId="0" applyFont="1" applyBorder="1" applyAlignment="1" applyProtection="1">
      <alignment horizontal="left" vertical="top" wrapText="1"/>
      <protection locked="0"/>
    </xf>
    <xf numFmtId="0" fontId="47" fillId="0" borderId="5" xfId="0" applyFont="1" applyBorder="1" applyAlignment="1" applyProtection="1">
      <alignment horizontal="left" vertical="top" wrapText="1"/>
      <protection locked="0"/>
    </xf>
    <xf numFmtId="0" fontId="47" fillId="0" borderId="15" xfId="0" applyFont="1" applyBorder="1" applyAlignment="1" applyProtection="1">
      <alignment horizontal="left" vertical="top" wrapText="1"/>
      <protection locked="0"/>
    </xf>
    <xf numFmtId="0" fontId="17" fillId="0" borderId="184" xfId="0" applyFont="1" applyBorder="1" applyAlignment="1" applyProtection="1">
      <alignment vertical="center"/>
    </xf>
    <xf numFmtId="0" fontId="20" fillId="16" borderId="188" xfId="0" applyFont="1" applyFill="1" applyBorder="1" applyAlignment="1" applyProtection="1">
      <alignment horizontal="center" vertical="center" wrapText="1"/>
    </xf>
    <xf numFmtId="0" fontId="20" fillId="16" borderId="67" xfId="0" applyFont="1" applyFill="1" applyBorder="1" applyAlignment="1" applyProtection="1">
      <alignment horizontal="center" vertical="center" wrapText="1"/>
    </xf>
    <xf numFmtId="0" fontId="20" fillId="16" borderId="174" xfId="0" applyFont="1" applyFill="1" applyBorder="1" applyAlignment="1" applyProtection="1">
      <alignment horizontal="center" vertical="center"/>
    </xf>
    <xf numFmtId="0" fontId="20" fillId="16" borderId="7" xfId="0" applyFont="1" applyFill="1" applyBorder="1" applyAlignment="1" applyProtection="1">
      <alignment horizontal="center" vertical="center"/>
    </xf>
    <xf numFmtId="0" fontId="20" fillId="16" borderId="4" xfId="0" applyFont="1" applyFill="1" applyBorder="1" applyAlignment="1" applyProtection="1">
      <alignment horizontal="center" vertical="center" wrapText="1"/>
    </xf>
    <xf numFmtId="3" fontId="15" fillId="0" borderId="155"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13" xfId="0" applyNumberFormat="1" applyFont="1" applyFill="1" applyBorder="1" applyAlignment="1" applyProtection="1">
      <alignment horizontal="left"/>
    </xf>
    <xf numFmtId="0" fontId="16" fillId="0" borderId="174" xfId="0" applyFont="1" applyFill="1" applyBorder="1" applyAlignment="1" applyProtection="1">
      <alignment horizontal="left" vertical="top" wrapText="1"/>
      <protection locked="0"/>
    </xf>
    <xf numFmtId="0" fontId="16" fillId="0" borderId="158" xfId="0" applyFont="1" applyFill="1" applyBorder="1" applyAlignment="1" applyProtection="1">
      <alignment horizontal="left" vertical="top" wrapText="1"/>
      <protection locked="0"/>
    </xf>
    <xf numFmtId="0" fontId="16" fillId="0" borderId="177"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185" xfId="0" applyFont="1" applyFill="1" applyBorder="1" applyAlignment="1" applyProtection="1">
      <alignment horizontal="left" vertical="top" wrapText="1"/>
      <protection locked="0"/>
    </xf>
    <xf numFmtId="0" fontId="51" fillId="0" borderId="158"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25" xfId="0" applyNumberFormat="1" applyFont="1" applyFill="1" applyBorder="1" applyAlignment="1" applyProtection="1"/>
    <xf numFmtId="3" fontId="18" fillId="0" borderId="395" xfId="0" applyNumberFormat="1" applyFont="1" applyFill="1" applyBorder="1" applyAlignment="1" applyProtection="1"/>
    <xf numFmtId="3" fontId="18" fillId="0" borderId="548" xfId="0" applyNumberFormat="1" applyFont="1" applyFill="1" applyBorder="1" applyAlignment="1" applyProtection="1"/>
    <xf numFmtId="3" fontId="18" fillId="16" borderId="125" xfId="0" applyNumberFormat="1" applyFont="1" applyFill="1" applyBorder="1" applyAlignment="1" applyProtection="1">
      <alignment horizontal="center" vertical="center"/>
    </xf>
    <xf numFmtId="3" fontId="18" fillId="16" borderId="395" xfId="0" applyNumberFormat="1" applyFont="1" applyFill="1" applyBorder="1" applyAlignment="1" applyProtection="1">
      <alignment horizontal="center" vertical="center"/>
    </xf>
    <xf numFmtId="3" fontId="18" fillId="16" borderId="396" xfId="0" applyNumberFormat="1" applyFont="1" applyFill="1" applyBorder="1" applyAlignment="1" applyProtection="1">
      <alignment horizontal="center" vertical="center"/>
    </xf>
    <xf numFmtId="0" fontId="17" fillId="0" borderId="184" xfId="0" applyFont="1" applyFill="1" applyBorder="1" applyAlignment="1" applyProtection="1">
      <alignment vertical="center"/>
    </xf>
    <xf numFmtId="0" fontId="18" fillId="16" borderId="125" xfId="0" applyFont="1" applyFill="1" applyBorder="1" applyAlignment="1" applyProtection="1">
      <alignment horizontal="center"/>
    </xf>
    <xf numFmtId="0" fontId="18" fillId="16" borderId="395" xfId="0" applyFont="1" applyFill="1" applyBorder="1" applyAlignment="1" applyProtection="1">
      <alignment horizontal="center"/>
    </xf>
    <xf numFmtId="166" fontId="18" fillId="16" borderId="125" xfId="0" applyNumberFormat="1" applyFont="1" applyFill="1" applyBorder="1" applyAlignment="1" applyProtection="1">
      <alignment horizontal="center"/>
    </xf>
    <xf numFmtId="166" fontId="18" fillId="16" borderId="395" xfId="0" applyNumberFormat="1" applyFont="1" applyFill="1" applyBorder="1" applyAlignment="1" applyProtection="1">
      <alignment horizontal="center"/>
    </xf>
    <xf numFmtId="166" fontId="15" fillId="0" borderId="54" xfId="0" applyNumberFormat="1" applyFont="1" applyFill="1" applyBorder="1" applyAlignment="1" applyProtection="1">
      <alignment horizontal="center"/>
    </xf>
    <xf numFmtId="166" fontId="15" fillId="0" borderId="510" xfId="0" applyNumberFormat="1" applyFont="1" applyFill="1" applyBorder="1" applyAlignment="1" applyProtection="1">
      <alignment horizontal="center"/>
    </xf>
    <xf numFmtId="0" fontId="18" fillId="16" borderId="396" xfId="0" applyFont="1" applyFill="1" applyBorder="1" applyAlignment="1" applyProtection="1">
      <alignment horizontal="center"/>
    </xf>
    <xf numFmtId="166" fontId="51" fillId="0" borderId="158" xfId="0" applyNumberFormat="1" applyFont="1" applyFill="1" applyBorder="1" applyAlignment="1" applyProtection="1">
      <alignment horizontal="center" wrapText="1"/>
    </xf>
    <xf numFmtId="0" fontId="16" fillId="16" borderId="125" xfId="0" applyFont="1" applyFill="1" applyBorder="1" applyAlignment="1" applyProtection="1">
      <alignment wrapText="1"/>
    </xf>
    <xf numFmtId="0" fontId="16" fillId="16" borderId="402" xfId="0" applyFont="1" applyFill="1" applyBorder="1" applyAlignment="1" applyProtection="1">
      <alignment wrapText="1"/>
    </xf>
    <xf numFmtId="0" fontId="16" fillId="0" borderId="201" xfId="0" applyFont="1" applyFill="1" applyBorder="1" applyAlignment="1" applyProtection="1">
      <alignment wrapText="1"/>
      <protection locked="0"/>
    </xf>
    <xf numFmtId="0" fontId="16" fillId="0" borderId="540" xfId="0" applyFont="1" applyFill="1" applyBorder="1" applyAlignment="1" applyProtection="1">
      <alignment wrapText="1"/>
      <protection locked="0"/>
    </xf>
    <xf numFmtId="44" fontId="41" fillId="0" borderId="309" xfId="0" applyNumberFormat="1" applyFont="1" applyFill="1" applyBorder="1" applyAlignment="1" applyProtection="1">
      <alignment horizontal="right" vertical="center"/>
      <protection locked="0"/>
    </xf>
    <xf numFmtId="44" fontId="41" fillId="0" borderId="310" xfId="0" applyNumberFormat="1" applyFont="1" applyFill="1" applyBorder="1" applyAlignment="1" applyProtection="1">
      <alignment horizontal="right" vertical="center"/>
      <protection locked="0"/>
    </xf>
    <xf numFmtId="0" fontId="43" fillId="16" borderId="125" xfId="0" applyFont="1" applyFill="1" applyBorder="1" applyAlignment="1" applyProtection="1">
      <alignment horizontal="center" vertical="center"/>
    </xf>
    <xf numFmtId="49" fontId="41" fillId="0" borderId="306" xfId="0" applyNumberFormat="1" applyFont="1" applyFill="1" applyBorder="1" applyAlignment="1" applyProtection="1">
      <alignment horizontal="left" vertical="center"/>
      <protection locked="0"/>
    </xf>
    <xf numFmtId="49" fontId="41" fillId="0" borderId="307" xfId="0" applyNumberFormat="1" applyFont="1" applyFill="1" applyBorder="1" applyAlignment="1" applyProtection="1">
      <alignment horizontal="left" vertical="center"/>
      <protection locked="0"/>
    </xf>
    <xf numFmtId="49" fontId="41" fillId="0" borderId="308"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2"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298" xfId="0" applyNumberFormat="1" applyFont="1" applyFill="1" applyBorder="1" applyAlignment="1" applyProtection="1">
      <alignment horizontal="right" vertical="center"/>
      <protection locked="0"/>
    </xf>
    <xf numFmtId="44" fontId="41" fillId="0" borderId="205" xfId="0" applyNumberFormat="1" applyFont="1" applyFill="1" applyBorder="1" applyAlignment="1" applyProtection="1">
      <alignment horizontal="right" vertical="center"/>
      <protection locked="0"/>
    </xf>
    <xf numFmtId="44" fontId="41" fillId="0" borderId="303" xfId="0" applyNumberFormat="1" applyFont="1" applyFill="1" applyBorder="1" applyAlignment="1" applyProtection="1">
      <alignment horizontal="right" vertical="center"/>
      <protection locked="0"/>
    </xf>
    <xf numFmtId="44" fontId="41" fillId="0" borderId="210" xfId="0" applyNumberFormat="1" applyFont="1" applyFill="1" applyBorder="1" applyAlignment="1" applyProtection="1">
      <alignment horizontal="right" vertical="center"/>
      <protection locked="0"/>
    </xf>
    <xf numFmtId="49" fontId="41" fillId="0" borderId="201" xfId="0" applyNumberFormat="1" applyFont="1" applyFill="1" applyBorder="1" applyAlignment="1" applyProtection="1">
      <alignment horizontal="left" vertical="center"/>
      <protection locked="0"/>
    </xf>
    <xf numFmtId="49" fontId="41" fillId="0" borderId="204" xfId="0" applyNumberFormat="1" applyFont="1" applyFill="1" applyBorder="1" applyAlignment="1" applyProtection="1">
      <alignment horizontal="left" vertical="center"/>
      <protection locked="0"/>
    </xf>
    <xf numFmtId="49" fontId="41" fillId="0" borderId="297" xfId="0" applyNumberFormat="1" applyFont="1" applyFill="1" applyBorder="1" applyAlignment="1" applyProtection="1">
      <alignment horizontal="left" vertical="center"/>
      <protection locked="0"/>
    </xf>
    <xf numFmtId="49" fontId="41" fillId="0" borderId="206" xfId="0" applyNumberFormat="1" applyFont="1" applyFill="1" applyBorder="1" applyAlignment="1" applyProtection="1">
      <alignment vertical="center"/>
      <protection locked="0"/>
    </xf>
    <xf numFmtId="49" fontId="41" fillId="0" borderId="209" xfId="0" applyNumberFormat="1" applyFont="1" applyFill="1" applyBorder="1" applyAlignment="1" applyProtection="1">
      <alignment vertical="center"/>
      <protection locked="0"/>
    </xf>
    <xf numFmtId="49" fontId="41" fillId="0" borderId="302" xfId="0" applyNumberFormat="1" applyFont="1" applyFill="1" applyBorder="1" applyAlignment="1" applyProtection="1">
      <alignment vertical="center"/>
      <protection locked="0"/>
    </xf>
    <xf numFmtId="0" fontId="41" fillId="0" borderId="276" xfId="0" applyFont="1" applyFill="1" applyBorder="1" applyAlignment="1" applyProtection="1">
      <alignment vertical="center"/>
      <protection locked="0"/>
    </xf>
    <xf numFmtId="0" fontId="41" fillId="0" borderId="533" xfId="0" applyFont="1" applyFill="1" applyBorder="1" applyAlignment="1" applyProtection="1">
      <alignment vertical="center"/>
      <protection locked="0"/>
    </xf>
    <xf numFmtId="0" fontId="41" fillId="0" borderId="279" xfId="0" applyFont="1" applyFill="1" applyBorder="1" applyAlignment="1" applyProtection="1">
      <alignment vertical="center"/>
      <protection locked="0"/>
    </xf>
    <xf numFmtId="0" fontId="41" fillId="0" borderId="534" xfId="0" applyFont="1" applyFill="1" applyBorder="1" applyAlignment="1" applyProtection="1">
      <alignment vertical="center"/>
      <protection locked="0"/>
    </xf>
    <xf numFmtId="0" fontId="41" fillId="0" borderId="545" xfId="0" applyFont="1" applyFill="1" applyBorder="1" applyAlignment="1" applyProtection="1">
      <alignment horizontal="left" vertical="center" indent="1"/>
    </xf>
    <xf numFmtId="0" fontId="41" fillId="0" borderId="544" xfId="0" applyFont="1" applyFill="1" applyBorder="1" applyAlignment="1" applyProtection="1">
      <alignment horizontal="left" vertical="center" indent="1"/>
    </xf>
    <xf numFmtId="0" fontId="41" fillId="0" borderId="547" xfId="0" applyFont="1" applyFill="1" applyBorder="1" applyAlignment="1" applyProtection="1">
      <alignment horizontal="left" vertical="center" indent="1"/>
    </xf>
    <xf numFmtId="0" fontId="41" fillId="0" borderId="546" xfId="0" applyFont="1" applyFill="1" applyBorder="1" applyAlignment="1" applyProtection="1">
      <alignment horizontal="left" vertical="center" indent="1"/>
    </xf>
    <xf numFmtId="0" fontId="0" fillId="0" borderId="174" xfId="0" applyBorder="1" applyAlignment="1" applyProtection="1">
      <alignment horizontal="left" vertical="top" wrapText="1"/>
      <protection locked="0"/>
    </xf>
    <xf numFmtId="0" fontId="0" fillId="0" borderId="17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85" xfId="0" applyBorder="1" applyAlignment="1" applyProtection="1">
      <alignment horizontal="left" vertical="top" wrapText="1"/>
      <protection locked="0"/>
    </xf>
    <xf numFmtId="49" fontId="41" fillId="0" borderId="206" xfId="0" applyNumberFormat="1" applyFont="1" applyFill="1" applyBorder="1" applyAlignment="1" applyProtection="1">
      <alignment horizontal="left" vertical="center"/>
      <protection locked="0"/>
    </xf>
    <xf numFmtId="49" fontId="41" fillId="0" borderId="209" xfId="0" applyNumberFormat="1" applyFont="1" applyFill="1" applyBorder="1" applyAlignment="1" applyProtection="1">
      <alignment horizontal="left" vertical="center"/>
      <protection locked="0"/>
    </xf>
    <xf numFmtId="49" fontId="41" fillId="0" borderId="302"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2" xfId="0" applyFont="1" applyFill="1" applyBorder="1" applyAlignment="1" applyProtection="1">
      <alignment horizontal="left" vertical="center" wrapText="1"/>
    </xf>
    <xf numFmtId="0" fontId="16" fillId="0" borderId="214" xfId="0" applyFont="1" applyFill="1" applyBorder="1" applyAlignment="1" applyProtection="1">
      <alignment horizontal="left" vertical="top" wrapText="1"/>
      <protection locked="0"/>
    </xf>
    <xf numFmtId="0" fontId="16" fillId="0" borderId="330" xfId="0" applyFont="1" applyFill="1" applyBorder="1" applyAlignment="1" applyProtection="1">
      <alignment horizontal="left" vertical="top" wrapText="1"/>
      <protection locked="0"/>
    </xf>
    <xf numFmtId="0" fontId="16" fillId="0" borderId="174" xfId="0" applyFont="1" applyBorder="1" applyAlignment="1" applyProtection="1">
      <alignment vertical="top" wrapText="1"/>
      <protection locked="0"/>
    </xf>
    <xf numFmtId="0" fontId="16" fillId="0" borderId="176" xfId="0" applyFont="1" applyBorder="1" applyAlignment="1" applyProtection="1">
      <alignment vertical="top" wrapText="1"/>
      <protection locked="0"/>
    </xf>
    <xf numFmtId="0" fontId="16" fillId="0" borderId="177"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7" xfId="0" applyFont="1" applyBorder="1" applyAlignment="1" applyProtection="1">
      <alignment vertical="top" wrapText="1"/>
      <protection locked="0"/>
    </xf>
    <xf numFmtId="0" fontId="16" fillId="0" borderId="185" xfId="0" applyFont="1" applyBorder="1" applyAlignment="1" applyProtection="1">
      <alignment vertical="top" wrapText="1"/>
      <protection locked="0"/>
    </xf>
    <xf numFmtId="0" fontId="16" fillId="0" borderId="5" xfId="0" applyFont="1" applyFill="1" applyBorder="1" applyAlignment="1" applyProtection="1">
      <protection locked="0"/>
    </xf>
    <xf numFmtId="0" fontId="16" fillId="0" borderId="21" xfId="0" applyFont="1" applyFill="1" applyBorder="1" applyAlignment="1" applyProtection="1">
      <protection locked="0"/>
    </xf>
    <xf numFmtId="0" fontId="15" fillId="6" borderId="5" xfId="0" applyFont="1" applyFill="1" applyBorder="1" applyAlignment="1" applyProtection="1"/>
    <xf numFmtId="0" fontId="16" fillId="0" borderId="190" xfId="0" applyFont="1" applyFill="1" applyBorder="1" applyAlignment="1" applyProtection="1">
      <protection locked="0"/>
    </xf>
    <xf numFmtId="0" fontId="16" fillId="0" borderId="191" xfId="0" applyFont="1" applyFill="1" applyBorder="1" applyAlignment="1" applyProtection="1">
      <protection locked="0"/>
    </xf>
    <xf numFmtId="0" fontId="16" fillId="6" borderId="190" xfId="0" applyFont="1" applyFill="1" applyBorder="1" applyAlignment="1" applyProtection="1"/>
    <xf numFmtId="0" fontId="16" fillId="6" borderId="191" xfId="0" applyFont="1" applyFill="1" applyBorder="1" applyAlignment="1" applyProtection="1"/>
    <xf numFmtId="0" fontId="16" fillId="6" borderId="5" xfId="0" applyFont="1" applyFill="1" applyBorder="1" applyAlignment="1" applyProtection="1"/>
    <xf numFmtId="0" fontId="16" fillId="6" borderId="21" xfId="0" applyFont="1" applyFill="1" applyBorder="1" applyAlignment="1" applyProtection="1"/>
    <xf numFmtId="0" fontId="15" fillId="6" borderId="21" xfId="0" applyFont="1" applyFill="1" applyBorder="1" applyAlignment="1" applyProtection="1"/>
    <xf numFmtId="0" fontId="21" fillId="0" borderId="23" xfId="0" applyFont="1" applyFill="1" applyBorder="1" applyAlignment="1" applyProtection="1">
      <alignment horizontal="center" wrapText="1"/>
    </xf>
    <xf numFmtId="0" fontId="21" fillId="0" borderId="23" xfId="0" applyFont="1" applyFill="1" applyBorder="1" applyAlignment="1" applyProtection="1">
      <alignment horizontal="center"/>
    </xf>
    <xf numFmtId="0" fontId="16" fillId="0" borderId="12" xfId="0" applyFont="1" applyFill="1" applyBorder="1" applyAlignment="1" applyProtection="1">
      <alignment horizontal="left" textRotation="90" wrapText="1"/>
    </xf>
    <xf numFmtId="0" fontId="16" fillId="0" borderId="141"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2" xfId="0" applyFont="1" applyFill="1" applyBorder="1" applyAlignment="1" applyProtection="1">
      <alignment horizontal="left" textRotation="90"/>
    </xf>
    <xf numFmtId="0" fontId="16" fillId="20" borderId="42" xfId="0" applyFont="1" applyFill="1" applyBorder="1" applyAlignment="1" applyProtection="1">
      <alignment horizontal="left" vertical="top" wrapText="1"/>
    </xf>
    <xf numFmtId="0" fontId="16" fillId="20" borderId="43" xfId="0" applyFont="1" applyFill="1" applyBorder="1" applyAlignment="1" applyProtection="1">
      <alignment horizontal="left" vertical="top" wrapText="1"/>
    </xf>
    <xf numFmtId="0" fontId="16" fillId="5" borderId="42" xfId="0" applyFont="1" applyFill="1" applyBorder="1" applyAlignment="1" applyProtection="1">
      <alignment horizontal="left" vertical="top" wrapText="1"/>
      <protection locked="0"/>
    </xf>
    <xf numFmtId="0" fontId="16" fillId="5" borderId="190" xfId="0" applyFont="1" applyFill="1" applyBorder="1" applyAlignment="1" applyProtection="1">
      <alignment horizontal="left" vertical="top" wrapText="1"/>
      <protection locked="0"/>
    </xf>
    <xf numFmtId="0" fontId="16" fillId="5" borderId="43" xfId="0" applyFont="1" applyFill="1" applyBorder="1" applyAlignment="1" applyProtection="1">
      <alignment horizontal="left" vertical="top" wrapText="1"/>
      <protection locked="0"/>
    </xf>
    <xf numFmtId="0" fontId="44" fillId="6" borderId="43" xfId="0" applyFont="1" applyFill="1" applyBorder="1" applyAlignment="1" applyProtection="1">
      <alignment horizontal="left" vertical="center" wrapText="1"/>
    </xf>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8" xfId="4" applyFill="1" applyBorder="1" applyAlignment="1">
      <alignment wrapText="1"/>
    </xf>
    <xf numFmtId="0" fontId="81" fillId="16" borderId="12" xfId="4" applyFill="1" applyBorder="1" applyAlignment="1">
      <alignment wrapText="1"/>
    </xf>
    <xf numFmtId="0" fontId="81" fillId="16" borderId="14" xfId="4" applyFill="1" applyBorder="1" applyAlignment="1">
      <alignment wrapText="1"/>
    </xf>
    <xf numFmtId="0" fontId="81" fillId="16" borderId="18" xfId="4" applyFill="1" applyBorder="1" applyAlignment="1">
      <alignment wrapText="1"/>
    </xf>
    <xf numFmtId="0" fontId="81" fillId="16" borderId="0" xfId="4" applyFill="1" applyBorder="1" applyAlignment="1">
      <alignment wrapText="1"/>
    </xf>
    <xf numFmtId="0" fontId="81" fillId="16" borderId="19" xfId="4" applyFill="1" applyBorder="1" applyAlignment="1">
      <alignment wrapText="1"/>
    </xf>
    <xf numFmtId="0" fontId="81" fillId="16" borderId="9" xfId="4" applyFill="1" applyBorder="1" applyAlignment="1">
      <alignment wrapText="1"/>
    </xf>
    <xf numFmtId="0" fontId="81" fillId="16" borderId="5" xfId="4" applyFill="1" applyBorder="1" applyAlignment="1">
      <alignment wrapText="1"/>
    </xf>
    <xf numFmtId="0" fontId="81" fillId="16" borderId="15" xfId="4" applyFill="1" applyBorder="1" applyAlignment="1">
      <alignment wrapText="1"/>
    </xf>
    <xf numFmtId="0" fontId="72" fillId="5" borderId="12" xfId="4" applyFont="1" applyFill="1" applyBorder="1" applyAlignment="1">
      <alignment horizontal="center" wrapText="1"/>
    </xf>
    <xf numFmtId="0" fontId="82" fillId="3" borderId="12" xfId="4" applyFont="1" applyFill="1" applyBorder="1" applyAlignment="1">
      <alignment horizontal="right" wrapText="1"/>
    </xf>
    <xf numFmtId="0" fontId="82" fillId="3" borderId="0" xfId="4" applyFont="1" applyFill="1" applyBorder="1" applyAlignment="1">
      <alignment horizontal="right" wrapText="1"/>
    </xf>
    <xf numFmtId="0" fontId="81" fillId="38" borderId="516" xfId="4" applyFont="1" applyFill="1" applyBorder="1" applyAlignment="1">
      <alignment horizontal="left"/>
    </xf>
    <xf numFmtId="0" fontId="81" fillId="38" borderId="518" xfId="4" applyFont="1" applyFill="1" applyBorder="1" applyAlignment="1">
      <alignment horizontal="left"/>
    </xf>
    <xf numFmtId="0" fontId="72" fillId="3" borderId="0" xfId="4" applyFont="1" applyFill="1" applyBorder="1" applyAlignment="1">
      <alignment wrapText="1"/>
    </xf>
    <xf numFmtId="0" fontId="81" fillId="38" borderId="516" xfId="4" applyFont="1" applyFill="1" applyBorder="1" applyAlignment="1" applyProtection="1">
      <alignment horizontal="left"/>
      <protection locked="0"/>
    </xf>
    <xf numFmtId="0" fontId="81" fillId="38" borderId="517" xfId="4" applyFont="1" applyFill="1" applyBorder="1" applyAlignment="1" applyProtection="1">
      <alignment horizontal="left"/>
      <protection locked="0"/>
    </xf>
    <xf numFmtId="0" fontId="81" fillId="38" borderId="518" xfId="4" applyFont="1" applyFill="1" applyBorder="1" applyAlignment="1" applyProtection="1">
      <alignment horizontal="left"/>
      <protection locked="0"/>
    </xf>
    <xf numFmtId="0" fontId="81" fillId="38" borderId="517" xfId="4" applyFont="1" applyFill="1" applyBorder="1" applyAlignment="1">
      <alignment horizontal="left"/>
    </xf>
    <xf numFmtId="0" fontId="81" fillId="7" borderId="516" xfId="4" applyFont="1" applyFill="1" applyBorder="1" applyAlignment="1">
      <alignment horizontal="left"/>
    </xf>
    <xf numFmtId="0" fontId="81" fillId="7" borderId="517" xfId="4" applyFont="1" applyFill="1" applyBorder="1" applyAlignment="1">
      <alignment horizontal="left"/>
    </xf>
    <xf numFmtId="0" fontId="81" fillId="7" borderId="518" xfId="4" applyFont="1" applyFill="1" applyBorder="1" applyAlignment="1">
      <alignment horizontal="left"/>
    </xf>
    <xf numFmtId="44" fontId="81" fillId="38" borderId="516" xfId="4" applyNumberFormat="1" applyFont="1" applyFill="1" applyBorder="1" applyAlignment="1">
      <alignment horizontal="left"/>
    </xf>
    <xf numFmtId="44" fontId="81" fillId="38" borderId="517" xfId="4" applyNumberFormat="1" applyFont="1" applyFill="1" applyBorder="1" applyAlignment="1">
      <alignment horizontal="left"/>
    </xf>
    <xf numFmtId="44" fontId="81" fillId="38" borderId="518" xfId="4" applyNumberFormat="1" applyFont="1" applyFill="1" applyBorder="1" applyAlignment="1">
      <alignment horizontal="left"/>
    </xf>
    <xf numFmtId="0" fontId="80" fillId="38" borderId="516" xfId="4" applyFont="1" applyFill="1" applyBorder="1" applyAlignment="1">
      <alignment horizontal="center"/>
    </xf>
    <xf numFmtId="0" fontId="80" fillId="38" borderId="517" xfId="4" applyFont="1" applyFill="1" applyBorder="1" applyAlignment="1">
      <alignment horizontal="center"/>
    </xf>
    <xf numFmtId="0" fontId="80" fillId="38" borderId="518" xfId="4" applyFont="1" applyFill="1" applyBorder="1" applyAlignment="1">
      <alignment horizontal="center"/>
    </xf>
    <xf numFmtId="172" fontId="80" fillId="38" borderId="516" xfId="4" applyNumberFormat="1" applyFont="1" applyFill="1" applyBorder="1" applyAlignment="1"/>
    <xf numFmtId="172" fontId="80" fillId="38" borderId="518" xfId="4" applyNumberFormat="1" applyFont="1" applyFill="1" applyBorder="1" applyAlignment="1"/>
    <xf numFmtId="0" fontId="80" fillId="38" borderId="516" xfId="4" applyFont="1" applyFill="1" applyBorder="1" applyAlignment="1"/>
    <xf numFmtId="0" fontId="80" fillId="38" borderId="517" xfId="4" applyFont="1" applyFill="1" applyBorder="1" applyAlignment="1"/>
    <xf numFmtId="0" fontId="80" fillId="38" borderId="518" xfId="4" applyFont="1" applyFill="1" applyBorder="1" applyAlignment="1"/>
    <xf numFmtId="172" fontId="81" fillId="38" borderId="516" xfId="4" applyNumberFormat="1" applyFont="1" applyFill="1" applyBorder="1" applyAlignment="1"/>
    <xf numFmtId="172" fontId="81" fillId="38" borderId="518" xfId="4" applyNumberFormat="1" applyFont="1" applyFill="1" applyBorder="1" applyAlignment="1"/>
    <xf numFmtId="0" fontId="80" fillId="38" borderId="516" xfId="4" applyFont="1" applyFill="1" applyBorder="1" applyAlignment="1">
      <alignment horizontal="right"/>
    </xf>
    <xf numFmtId="0" fontId="80" fillId="38" borderId="517" xfId="4" applyFont="1" applyFill="1" applyBorder="1" applyAlignment="1">
      <alignment horizontal="right"/>
    </xf>
    <xf numFmtId="0" fontId="80" fillId="38" borderId="518" xfId="4" applyFont="1" applyFill="1" applyBorder="1" applyAlignment="1">
      <alignment horizontal="right"/>
    </xf>
    <xf numFmtId="37" fontId="80" fillId="38" borderId="516" xfId="4" applyNumberFormat="1" applyFont="1" applyFill="1" applyBorder="1" applyAlignment="1">
      <alignment horizontal="right"/>
    </xf>
    <xf numFmtId="37" fontId="80" fillId="38" borderId="517" xfId="4" applyNumberFormat="1" applyFont="1" applyFill="1" applyBorder="1" applyAlignment="1">
      <alignment horizontal="right"/>
    </xf>
    <xf numFmtId="37" fontId="80" fillId="38" borderId="518" xfId="4" applyNumberFormat="1" applyFont="1" applyFill="1" applyBorder="1" applyAlignment="1">
      <alignment horizontal="right"/>
    </xf>
    <xf numFmtId="0" fontId="86" fillId="38" borderId="516" xfId="4" applyFont="1" applyFill="1" applyBorder="1" applyAlignment="1">
      <alignment horizontal="left"/>
    </xf>
    <xf numFmtId="0" fontId="86" fillId="38" borderId="518" xfId="4" applyFont="1" applyFill="1" applyBorder="1" applyAlignment="1">
      <alignment horizontal="left"/>
    </xf>
    <xf numFmtId="37" fontId="80" fillId="38" borderId="554" xfId="4" applyNumberFormat="1" applyFont="1" applyFill="1" applyBorder="1" applyAlignment="1">
      <alignment horizontal="left" vertical="center" wrapText="1"/>
    </xf>
    <xf numFmtId="37" fontId="80" fillId="38" borderId="555" xfId="4" applyNumberFormat="1" applyFont="1" applyFill="1" applyBorder="1" applyAlignment="1">
      <alignment horizontal="left" vertical="center" wrapText="1"/>
    </xf>
    <xf numFmtId="37" fontId="80" fillId="38" borderId="556" xfId="4" applyNumberFormat="1" applyFont="1" applyFill="1" applyBorder="1" applyAlignment="1">
      <alignment horizontal="left" vertical="center" wrapText="1"/>
    </xf>
    <xf numFmtId="37" fontId="80" fillId="38" borderId="557" xfId="4" applyNumberFormat="1" applyFont="1" applyFill="1" applyBorder="1" applyAlignment="1">
      <alignment horizontal="left" vertical="center" wrapText="1"/>
    </xf>
    <xf numFmtId="37" fontId="80" fillId="38" borderId="558" xfId="4" applyNumberFormat="1" applyFont="1" applyFill="1" applyBorder="1" applyAlignment="1">
      <alignment horizontal="left" vertical="center" wrapText="1"/>
    </xf>
    <xf numFmtId="37" fontId="80" fillId="38" borderId="559" xfId="4" applyNumberFormat="1" applyFont="1" applyFill="1" applyBorder="1" applyAlignment="1">
      <alignment horizontal="left" vertical="center" wrapText="1"/>
    </xf>
    <xf numFmtId="37" fontId="80" fillId="38" borderId="516" xfId="4" applyNumberFormat="1" applyFont="1" applyFill="1" applyBorder="1" applyAlignment="1">
      <alignment horizontal="left"/>
    </xf>
    <xf numFmtId="37" fontId="80" fillId="38" borderId="517" xfId="4" applyNumberFormat="1" applyFont="1" applyFill="1" applyBorder="1" applyAlignment="1">
      <alignment horizontal="left"/>
    </xf>
    <xf numFmtId="37" fontId="80" fillId="38" borderId="518" xfId="4" applyNumberFormat="1" applyFont="1" applyFill="1" applyBorder="1" applyAlignment="1">
      <alignment horizontal="left"/>
    </xf>
    <xf numFmtId="0" fontId="81" fillId="38" borderId="516" xfId="4" applyFont="1" applyFill="1" applyBorder="1" applyAlignment="1"/>
    <xf numFmtId="0" fontId="81" fillId="38" borderId="517" xfId="4" applyFont="1" applyFill="1" applyBorder="1" applyAlignment="1"/>
    <xf numFmtId="0" fontId="81" fillId="38" borderId="518" xfId="4" applyFont="1" applyFill="1" applyBorder="1" applyAlignment="1"/>
    <xf numFmtId="0" fontId="81" fillId="5" borderId="0" xfId="4" applyFont="1" applyFill="1" applyBorder="1" applyAlignment="1">
      <alignment wrapText="1"/>
    </xf>
    <xf numFmtId="0" fontId="72" fillId="5" borderId="0" xfId="4" applyFont="1" applyFill="1" applyBorder="1" applyAlignment="1"/>
    <xf numFmtId="0" fontId="90" fillId="7" borderId="554" xfId="4" applyFont="1" applyFill="1" applyBorder="1" applyAlignment="1">
      <alignment horizontal="center" vertical="top" wrapText="1"/>
    </xf>
    <xf numFmtId="0" fontId="90" fillId="7" borderId="555" xfId="4" applyFont="1" applyFill="1" applyBorder="1" applyAlignment="1">
      <alignment horizontal="center" vertical="top" wrapText="1"/>
    </xf>
    <xf numFmtId="0" fontId="90" fillId="7" borderId="556" xfId="4" applyFont="1" applyFill="1" applyBorder="1" applyAlignment="1">
      <alignment horizontal="center" vertical="top" wrapText="1"/>
    </xf>
    <xf numFmtId="0" fontId="90" fillId="7" borderId="557" xfId="4" applyFont="1" applyFill="1" applyBorder="1" applyAlignment="1">
      <alignment horizontal="center" vertical="top" wrapText="1"/>
    </xf>
    <xf numFmtId="0" fontId="90" fillId="7" borderId="558" xfId="4" applyFont="1" applyFill="1" applyBorder="1" applyAlignment="1">
      <alignment horizontal="center" vertical="top" wrapText="1"/>
    </xf>
    <xf numFmtId="0" fontId="90" fillId="7" borderId="559" xfId="4" applyFont="1" applyFill="1" applyBorder="1" applyAlignment="1">
      <alignment horizontal="center" vertical="top" wrapText="1"/>
    </xf>
    <xf numFmtId="0" fontId="90" fillId="7" borderId="516" xfId="4" applyFont="1" applyFill="1" applyBorder="1" applyAlignment="1">
      <alignment horizontal="left"/>
    </xf>
    <xf numFmtId="0" fontId="90" fillId="7" borderId="518" xfId="4" applyFont="1" applyFill="1" applyBorder="1" applyAlignment="1">
      <alignment horizontal="left"/>
    </xf>
    <xf numFmtId="172" fontId="80" fillId="38" borderId="516" xfId="4" applyNumberFormat="1" applyFont="1" applyFill="1" applyBorder="1" applyAlignment="1">
      <alignment horizontal="left"/>
    </xf>
    <xf numFmtId="172" fontId="80" fillId="38" borderId="517" xfId="4" applyNumberFormat="1" applyFont="1" applyFill="1" applyBorder="1" applyAlignment="1">
      <alignment horizontal="left"/>
    </xf>
    <xf numFmtId="172" fontId="80" fillId="38" borderId="518" xfId="4" applyNumberFormat="1" applyFont="1" applyFill="1" applyBorder="1" applyAlignment="1">
      <alignment horizontal="left"/>
    </xf>
    <xf numFmtId="0" fontId="86" fillId="3" borderId="0" xfId="4" applyFont="1" applyFill="1" applyBorder="1" applyAlignment="1"/>
    <xf numFmtId="165" fontId="80" fillId="5" borderId="516" xfId="2" applyNumberFormat="1" applyFont="1" applyFill="1" applyBorder="1" applyAlignment="1">
      <alignment horizontal="right"/>
    </xf>
    <xf numFmtId="165" fontId="80" fillId="5" borderId="517" xfId="2" applyNumberFormat="1" applyFont="1" applyFill="1" applyBorder="1" applyAlignment="1">
      <alignment horizontal="right"/>
    </xf>
    <xf numFmtId="165" fontId="80" fillId="5" borderId="518"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16" xfId="4" applyNumberFormat="1" applyFont="1" applyFill="1" applyBorder="1" applyAlignment="1">
      <alignment horizontal="center"/>
    </xf>
    <xf numFmtId="0" fontId="80" fillId="7" borderId="517" xfId="4" applyFont="1" applyFill="1" applyBorder="1" applyAlignment="1">
      <alignment horizontal="center"/>
    </xf>
    <xf numFmtId="0" fontId="80" fillId="7" borderId="518" xfId="4" applyFont="1" applyFill="1" applyBorder="1" applyAlignment="1">
      <alignment horizontal="center"/>
    </xf>
    <xf numFmtId="0" fontId="83" fillId="3" borderId="0" xfId="4" applyFont="1" applyFill="1" applyBorder="1" applyAlignment="1" applyProtection="1">
      <alignment horizontal="center"/>
    </xf>
    <xf numFmtId="0" fontId="81" fillId="34" borderId="52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2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81" fillId="34" borderId="525" xfId="4" applyFont="1" applyFill="1" applyBorder="1" applyAlignment="1" applyProtection="1">
      <alignment horizontal="left" vertical="center" wrapText="1"/>
    </xf>
    <xf numFmtId="0" fontId="81" fillId="34" borderId="526" xfId="4" applyFont="1" applyFill="1" applyBorder="1" applyAlignment="1" applyProtection="1">
      <alignment horizontal="left" vertical="center" wrapText="1"/>
    </xf>
    <xf numFmtId="0" fontId="81" fillId="34" borderId="527"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82" fillId="3" borderId="0" xfId="4" applyFont="1" applyFill="1" applyBorder="1" applyAlignment="1" applyProtection="1">
      <alignment horizontal="right" wrapText="1"/>
    </xf>
    <xf numFmtId="0" fontId="101" fillId="3" borderId="526" xfId="4" applyFont="1" applyFill="1" applyBorder="1" applyAlignment="1" applyProtection="1">
      <alignment horizontal="right"/>
    </xf>
    <xf numFmtId="0" fontId="0" fillId="0" borderId="526" xfId="0" applyBorder="1" applyAlignment="1" applyProtection="1">
      <alignment horizontal="right"/>
    </xf>
    <xf numFmtId="0" fontId="0" fillId="0" borderId="527" xfId="0" applyBorder="1" applyAlignment="1" applyProtection="1">
      <alignment horizontal="right"/>
    </xf>
    <xf numFmtId="0" fontId="81" fillId="34" borderId="528" xfId="4" applyFont="1" applyFill="1" applyBorder="1" applyAlignment="1" applyProtection="1">
      <alignment horizontal="left"/>
      <protection locked="0"/>
    </xf>
    <xf numFmtId="0" fontId="81" fillId="34" borderId="530" xfId="4" applyFont="1" applyFill="1" applyBorder="1" applyAlignment="1" applyProtection="1">
      <alignment horizontal="left"/>
      <protection locked="0"/>
    </xf>
    <xf numFmtId="0" fontId="72" fillId="3" borderId="0" xfId="4" applyFont="1" applyFill="1" applyBorder="1" applyAlignment="1" applyProtection="1">
      <alignment horizontal="left" wrapText="1"/>
    </xf>
    <xf numFmtId="0" fontId="81" fillId="34" borderId="529" xfId="4" applyFont="1" applyFill="1" applyBorder="1" applyAlignment="1" applyProtection="1">
      <alignment horizontal="left"/>
      <protection locked="0"/>
    </xf>
    <xf numFmtId="0" fontId="0" fillId="0" borderId="0" xfId="0" applyAlignment="1" applyProtection="1">
      <alignment horizontal="left" vertical="center" wrapText="1"/>
    </xf>
    <xf numFmtId="0" fontId="0" fillId="0" borderId="0" xfId="0" applyAlignment="1" applyProtection="1">
      <alignment wrapText="1"/>
    </xf>
    <xf numFmtId="0" fontId="72" fillId="3" borderId="0" xfId="4" applyFont="1" applyFill="1" applyBorder="1" applyAlignment="1" applyProtection="1">
      <alignment wrapText="1"/>
    </xf>
    <xf numFmtId="172" fontId="80" fillId="35" borderId="528" xfId="4" applyNumberFormat="1" applyFont="1" applyFill="1" applyBorder="1" applyAlignment="1" applyProtection="1">
      <alignment horizontal="left"/>
      <protection locked="0"/>
    </xf>
    <xf numFmtId="172" fontId="80" fillId="35" borderId="530" xfId="4" applyNumberFormat="1" applyFont="1" applyFill="1" applyBorder="1" applyAlignment="1" applyProtection="1">
      <alignment horizontal="left"/>
      <protection locked="0"/>
    </xf>
    <xf numFmtId="172" fontId="80" fillId="34" borderId="528" xfId="4" applyNumberFormat="1" applyFont="1" applyFill="1" applyBorder="1" applyAlignment="1" applyProtection="1">
      <alignment horizontal="left"/>
    </xf>
    <xf numFmtId="172" fontId="80" fillId="34" borderId="530" xfId="4" applyNumberFormat="1" applyFont="1" applyFill="1" applyBorder="1" applyAlignment="1" applyProtection="1">
      <alignment horizontal="left"/>
    </xf>
    <xf numFmtId="9" fontId="80" fillId="34" borderId="528" xfId="4" applyNumberFormat="1" applyFont="1" applyFill="1" applyBorder="1" applyAlignment="1" applyProtection="1">
      <alignment horizontal="right"/>
    </xf>
    <xf numFmtId="9" fontId="80" fillId="34" borderId="530" xfId="4" applyNumberFormat="1" applyFont="1" applyFill="1" applyBorder="1" applyAlignment="1" applyProtection="1">
      <alignment horizontal="right"/>
    </xf>
    <xf numFmtId="10" fontId="80" fillId="34" borderId="528" xfId="2" applyNumberFormat="1" applyFont="1" applyFill="1" applyBorder="1" applyAlignment="1" applyProtection="1">
      <alignment horizontal="right"/>
    </xf>
    <xf numFmtId="10" fontId="80" fillId="34" borderId="530" xfId="2" applyNumberFormat="1" applyFont="1" applyFill="1" applyBorder="1" applyAlignment="1" applyProtection="1">
      <alignment horizontal="right"/>
    </xf>
    <xf numFmtId="0" fontId="86" fillId="16" borderId="551" xfId="4" applyFont="1" applyFill="1" applyBorder="1" applyAlignment="1" applyProtection="1">
      <alignment horizontal="left"/>
      <protection locked="0"/>
    </xf>
    <xf numFmtId="0" fontId="86" fillId="16" borderId="552" xfId="4" applyFont="1" applyFill="1" applyBorder="1" applyAlignment="1" applyProtection="1">
      <alignment horizontal="left"/>
      <protection locked="0"/>
    </xf>
    <xf numFmtId="0" fontId="81" fillId="37" borderId="528" xfId="4" applyFont="1" applyFill="1" applyBorder="1" applyAlignment="1" applyProtection="1">
      <alignment horizontal="left" vertical="top" wrapText="1"/>
    </xf>
    <xf numFmtId="0" fontId="81" fillId="37" borderId="529" xfId="4" applyFont="1" applyFill="1" applyBorder="1" applyAlignment="1" applyProtection="1">
      <alignment horizontal="left" vertical="top"/>
    </xf>
    <xf numFmtId="0" fontId="81" fillId="37" borderId="530" xfId="4" applyFont="1" applyFill="1" applyBorder="1" applyAlignment="1" applyProtection="1">
      <alignment horizontal="left" vertical="top"/>
    </xf>
    <xf numFmtId="0" fontId="24" fillId="0" borderId="515" xfId="0" applyFont="1" applyBorder="1"/>
    <xf numFmtId="0" fontId="0" fillId="0" borderId="515" xfId="0" applyBorder="1" applyProtection="1"/>
    <xf numFmtId="0" fontId="74" fillId="0" borderId="515" xfId="0" applyFont="1" applyBorder="1" applyAlignment="1" applyProtection="1">
      <alignment horizontal="center" vertical="top"/>
    </xf>
    <xf numFmtId="0" fontId="0" fillId="0" borderId="515" xfId="0" applyBorder="1" applyAlignment="1" applyProtection="1">
      <alignment vertical="top"/>
    </xf>
    <xf numFmtId="0" fontId="74" fillId="0" borderId="515" xfId="0" applyFont="1" applyBorder="1" applyAlignment="1" applyProtection="1">
      <alignment vertical="top" wrapText="1"/>
    </xf>
    <xf numFmtId="0" fontId="0" fillId="0" borderId="515" xfId="0" applyBorder="1" applyAlignment="1" applyProtection="1">
      <alignment vertical="top" wrapText="1"/>
    </xf>
    <xf numFmtId="0" fontId="16" fillId="0" borderId="189" xfId="0" applyFont="1" applyFill="1" applyBorder="1" applyProtection="1">
      <protection locked="0"/>
    </xf>
    <xf numFmtId="0" fontId="16" fillId="0" borderId="189" xfId="0" applyFont="1" applyFill="1" applyBorder="1" applyAlignment="1" applyProtection="1">
      <alignment horizontal="center" vertical="center"/>
      <protection locked="0"/>
    </xf>
    <xf numFmtId="0" fontId="16" fillId="0" borderId="190" xfId="0" applyFont="1" applyFill="1" applyBorder="1" applyAlignment="1" applyProtection="1">
      <alignment vertical="center"/>
    </xf>
    <xf numFmtId="0" fontId="16" fillId="0" borderId="117" xfId="0" applyFont="1" applyFill="1" applyBorder="1" applyAlignment="1" applyProtection="1">
      <alignment horizontal="right" vertical="top"/>
      <protection locked="0"/>
    </xf>
    <xf numFmtId="0" fontId="51" fillId="0" borderId="509" xfId="0" applyFont="1" applyFill="1" applyBorder="1" applyAlignment="1" applyProtection="1">
      <alignment horizontal="center" vertical="top"/>
    </xf>
    <xf numFmtId="0" fontId="17" fillId="0" borderId="515" xfId="0" applyFont="1" applyBorder="1" applyAlignment="1" applyProtection="1"/>
    <xf numFmtId="0" fontId="20" fillId="16" borderId="127" xfId="0" applyFont="1" applyFill="1" applyBorder="1" applyAlignment="1" applyProtection="1">
      <alignment horizontal="center" vertical="center"/>
    </xf>
    <xf numFmtId="9" fontId="20" fillId="16" borderId="127" xfId="0" applyNumberFormat="1" applyFont="1" applyFill="1" applyBorder="1" applyAlignment="1" applyProtection="1">
      <alignment horizontal="center" vertical="center" wrapText="1"/>
    </xf>
    <xf numFmtId="9" fontId="20" fillId="16" borderId="111" xfId="0" applyNumberFormat="1" applyFont="1" applyFill="1" applyBorder="1" applyAlignment="1" applyProtection="1">
      <alignment horizontal="center" vertical="center" wrapText="1"/>
    </xf>
    <xf numFmtId="0" fontId="0" fillId="27" borderId="179" xfId="0" applyFont="1" applyFill="1" applyBorder="1" applyAlignment="1" applyProtection="1"/>
    <xf numFmtId="0" fontId="2" fillId="13" borderId="395" xfId="0" applyFont="1" applyFill="1" applyBorder="1" applyAlignment="1" applyProtection="1">
      <alignment horizontal="center"/>
    </xf>
    <xf numFmtId="0" fontId="2" fillId="13" borderId="396" xfId="0" applyFont="1" applyFill="1" applyBorder="1" applyAlignment="1" applyProtection="1">
      <alignment horizontal="center"/>
    </xf>
    <xf numFmtId="3" fontId="16" fillId="26" borderId="515" xfId="0" applyNumberFormat="1" applyFont="1" applyFill="1" applyBorder="1" applyAlignment="1" applyProtection="1">
      <alignment vertical="center" wrapText="1"/>
    </xf>
    <xf numFmtId="3" fontId="20" fillId="6" borderId="515" xfId="0" applyNumberFormat="1" applyFont="1" applyFill="1" applyBorder="1" applyAlignment="1" applyProtection="1">
      <alignment vertical="center"/>
    </xf>
    <xf numFmtId="0" fontId="1" fillId="0" borderId="0" xfId="0" applyFont="1" applyFill="1" applyBorder="1" applyAlignment="1" applyProtection="1"/>
    <xf numFmtId="16" fontId="0" fillId="0" borderId="429" xfId="0" applyNumberFormat="1" applyFont="1" applyFill="1" applyBorder="1" applyAlignment="1" applyProtection="1"/>
    <xf numFmtId="16" fontId="1" fillId="0" borderId="430" xfId="0" applyNumberFormat="1" applyFont="1" applyFill="1" applyBorder="1" applyAlignment="1" applyProtection="1"/>
    <xf numFmtId="16" fontId="1" fillId="0" borderId="431" xfId="0" applyNumberFormat="1" applyFont="1" applyFill="1" applyBorder="1" applyAlignment="1" applyProtection="1"/>
    <xf numFmtId="16" fontId="0" fillId="0" borderId="435" xfId="0" applyNumberFormat="1" applyFont="1" applyFill="1" applyBorder="1" applyAlignment="1" applyProtection="1"/>
    <xf numFmtId="16" fontId="1" fillId="0" borderId="436" xfId="0" applyNumberFormat="1" applyFont="1" applyFill="1" applyBorder="1" applyAlignment="1" applyProtection="1"/>
    <xf numFmtId="16" fontId="1" fillId="0" borderId="437" xfId="0" applyNumberFormat="1" applyFont="1" applyFill="1" applyBorder="1" applyAlignment="1" applyProtection="1"/>
    <xf numFmtId="0" fontId="1" fillId="0" borderId="435" xfId="0" applyFont="1" applyFill="1" applyBorder="1" applyAlignment="1" applyProtection="1"/>
    <xf numFmtId="0" fontId="1" fillId="0" borderId="436" xfId="0" applyFont="1" applyFill="1" applyBorder="1" applyAlignment="1" applyProtection="1"/>
    <xf numFmtId="0" fontId="1" fillId="0" borderId="437" xfId="0" applyFont="1" applyFill="1" applyBorder="1" applyAlignment="1" applyProtection="1"/>
    <xf numFmtId="0" fontId="0" fillId="0" borderId="435" xfId="0" applyFont="1" applyFill="1" applyBorder="1" applyAlignment="1" applyProtection="1"/>
    <xf numFmtId="0" fontId="0" fillId="0" borderId="441" xfId="0" applyFont="1" applyFill="1" applyBorder="1" applyAlignment="1" applyProtection="1"/>
    <xf numFmtId="0" fontId="1" fillId="0" borderId="442" xfId="0" applyFont="1" applyFill="1" applyBorder="1" applyAlignment="1" applyProtection="1"/>
    <xf numFmtId="0" fontId="1" fillId="0" borderId="443" xfId="0" applyFont="1" applyFill="1" applyBorder="1" applyAlignment="1" applyProtection="1"/>
    <xf numFmtId="16" fontId="0" fillId="0" borderId="444" xfId="0" applyNumberFormat="1" applyFont="1" applyFill="1" applyBorder="1" applyAlignment="1" applyProtection="1"/>
    <xf numFmtId="16" fontId="1" fillId="0" borderId="445" xfId="0" applyNumberFormat="1" applyFont="1" applyFill="1" applyBorder="1" applyAlignment="1" applyProtection="1"/>
    <xf numFmtId="16" fontId="1" fillId="0" borderId="446" xfId="0" applyNumberFormat="1" applyFont="1" applyFill="1" applyBorder="1" applyAlignment="1" applyProtection="1"/>
    <xf numFmtId="16" fontId="0" fillId="0" borderId="448" xfId="0" applyNumberFormat="1" applyFont="1" applyFill="1" applyBorder="1" applyAlignment="1" applyProtection="1"/>
    <xf numFmtId="16" fontId="1" fillId="0" borderId="450" xfId="0" applyNumberFormat="1" applyFont="1" applyFill="1" applyBorder="1" applyAlignment="1" applyProtection="1"/>
    <xf numFmtId="16" fontId="1" fillId="0" borderId="451" xfId="0" applyNumberFormat="1" applyFont="1" applyFill="1" applyBorder="1" applyAlignment="1" applyProtection="1"/>
    <xf numFmtId="16" fontId="1" fillId="0" borderId="452" xfId="0" applyNumberFormat="1" applyFont="1" applyFill="1" applyBorder="1" applyAlignment="1" applyProtection="1"/>
    <xf numFmtId="16" fontId="1" fillId="0" borderId="453" xfId="0" applyNumberFormat="1" applyFont="1" applyFill="1" applyBorder="1" applyAlignment="1" applyProtection="1"/>
    <xf numFmtId="16" fontId="1" fillId="0" borderId="444" xfId="0" applyNumberFormat="1" applyFont="1" applyFill="1" applyBorder="1" applyAlignment="1" applyProtection="1"/>
    <xf numFmtId="16" fontId="1" fillId="0" borderId="448" xfId="0" applyNumberFormat="1" applyFont="1" applyFill="1" applyBorder="1" applyAlignment="1" applyProtection="1"/>
    <xf numFmtId="16" fontId="1" fillId="0" borderId="457" xfId="0" applyNumberFormat="1" applyFont="1" applyFill="1" applyBorder="1" applyAlignment="1" applyProtection="1"/>
    <xf numFmtId="16" fontId="0" fillId="0" borderId="462" xfId="0" applyNumberFormat="1" applyFont="1" applyFill="1" applyBorder="1" applyAlignment="1" applyProtection="1"/>
    <xf numFmtId="16" fontId="1" fillId="0" borderId="463" xfId="0" applyNumberFormat="1" applyFont="1" applyFill="1" applyBorder="1" applyAlignment="1" applyProtection="1"/>
    <xf numFmtId="16" fontId="1" fillId="0" borderId="464" xfId="0" applyNumberFormat="1" applyFont="1" applyFill="1" applyBorder="1" applyAlignment="1" applyProtection="1"/>
    <xf numFmtId="16" fontId="0" fillId="0" borderId="449" xfId="0" applyNumberFormat="1" applyFont="1" applyFill="1" applyBorder="1" applyAlignment="1" applyProtection="1"/>
    <xf numFmtId="16" fontId="0" fillId="0" borderId="472" xfId="0" applyNumberFormat="1" applyFont="1" applyFill="1" applyBorder="1" applyAlignment="1" applyProtection="1"/>
    <xf numFmtId="16" fontId="1" fillId="0" borderId="461" xfId="0" applyNumberFormat="1" applyFont="1" applyFill="1" applyBorder="1" applyAlignment="1" applyProtection="1"/>
    <xf numFmtId="16" fontId="1" fillId="0" borderId="469" xfId="0" applyNumberFormat="1" applyFont="1" applyFill="1" applyBorder="1" applyAlignment="1" applyProtection="1"/>
    <xf numFmtId="16" fontId="1" fillId="0" borderId="470" xfId="0" applyNumberFormat="1" applyFont="1" applyFill="1" applyBorder="1" applyAlignment="1" applyProtection="1"/>
    <xf numFmtId="16" fontId="1" fillId="0" borderId="474" xfId="0" applyNumberFormat="1" applyFont="1" applyFill="1" applyBorder="1" applyAlignment="1" applyProtection="1"/>
    <xf numFmtId="16" fontId="1" fillId="0" borderId="475" xfId="0" applyNumberFormat="1" applyFont="1" applyFill="1" applyBorder="1" applyAlignment="1" applyProtection="1"/>
    <xf numFmtId="0" fontId="10" fillId="16" borderId="192" xfId="0" applyFont="1" applyFill="1" applyBorder="1" applyAlignment="1" applyProtection="1">
      <alignment vertical="center" wrapText="1"/>
    </xf>
    <xf numFmtId="0" fontId="5" fillId="16" borderId="192" xfId="0" applyFont="1" applyFill="1" applyBorder="1" applyAlignment="1" applyProtection="1">
      <alignment vertical="center" wrapText="1"/>
    </xf>
    <xf numFmtId="0" fontId="10" fillId="16" borderId="193" xfId="0" applyFont="1" applyFill="1" applyBorder="1" applyAlignment="1" applyProtection="1">
      <alignment vertical="center" wrapText="1"/>
    </xf>
    <xf numFmtId="0" fontId="3" fillId="0" borderId="509" xfId="0" applyFont="1" applyBorder="1" applyAlignment="1" applyProtection="1">
      <alignment vertical="center" wrapText="1"/>
      <protection locked="0"/>
    </xf>
    <xf numFmtId="14" fontId="3" fillId="0" borderId="189" xfId="0" applyNumberFormat="1" applyFont="1" applyBorder="1" applyProtection="1">
      <protection locked="0"/>
    </xf>
    <xf numFmtId="0" fontId="27" fillId="10" borderId="188" xfId="0" applyFont="1" applyFill="1" applyBorder="1" applyAlignment="1" applyProtection="1">
      <alignment horizontal="center" vertical="center" wrapText="1"/>
    </xf>
    <xf numFmtId="0" fontId="28" fillId="7" borderId="174" xfId="0" applyFont="1" applyFill="1" applyBorder="1" applyAlignment="1" applyProtection="1">
      <alignment horizontal="center"/>
    </xf>
    <xf numFmtId="0" fontId="28" fillId="7" borderId="158" xfId="0" applyFont="1" applyFill="1" applyBorder="1" applyAlignment="1" applyProtection="1">
      <alignment horizontal="center"/>
    </xf>
    <xf numFmtId="0" fontId="25" fillId="15" borderId="158" xfId="0" applyFont="1" applyFill="1" applyBorder="1" applyProtection="1"/>
    <xf numFmtId="0" fontId="28" fillId="13" borderId="158" xfId="0" applyFont="1" applyFill="1" applyBorder="1" applyAlignment="1" applyProtection="1">
      <alignment horizontal="center"/>
    </xf>
    <xf numFmtId="0" fontId="28" fillId="13" borderId="177" xfId="0" applyFont="1" applyFill="1" applyBorder="1" applyAlignment="1" applyProtection="1">
      <alignment horizontal="center"/>
    </xf>
    <xf numFmtId="0" fontId="25" fillId="15" borderId="515" xfId="0" applyFont="1" applyFill="1" applyBorder="1" applyProtection="1"/>
    <xf numFmtId="5" fontId="27" fillId="13" borderId="565" xfId="0" applyNumberFormat="1" applyFont="1" applyFill="1" applyBorder="1" applyAlignment="1" applyProtection="1">
      <alignment horizontal="center" vertical="center" wrapText="1"/>
    </xf>
    <xf numFmtId="5" fontId="30" fillId="0" borderId="184" xfId="0" applyNumberFormat="1" applyFont="1" applyFill="1" applyBorder="1" applyAlignment="1" applyProtection="1">
      <alignment vertical="center"/>
    </xf>
    <xf numFmtId="0" fontId="25" fillId="0" borderId="158" xfId="0" applyFont="1" applyBorder="1" applyAlignment="1" applyProtection="1"/>
    <xf numFmtId="0" fontId="25" fillId="0" borderId="190" xfId="0" applyFont="1" applyBorder="1" applyAlignment="1" applyProtection="1">
      <alignment vertical="center"/>
      <protection locked="0"/>
    </xf>
    <xf numFmtId="5" fontId="25" fillId="0" borderId="158" xfId="0" applyNumberFormat="1" applyFont="1" applyFill="1" applyBorder="1" applyAlignment="1" applyProtection="1">
      <alignment vertical="center"/>
    </xf>
    <xf numFmtId="9" fontId="25" fillId="6" borderId="189" xfId="0" applyNumberFormat="1" applyFont="1" applyFill="1" applyBorder="1" applyAlignment="1" applyProtection="1">
      <alignment vertical="center"/>
    </xf>
    <xf numFmtId="42" fontId="16" fillId="0" borderId="184" xfId="0" applyNumberFormat="1" applyFont="1" applyFill="1" applyBorder="1" applyProtection="1"/>
    <xf numFmtId="0" fontId="25" fillId="0" borderId="158" xfId="0" applyFont="1" applyFill="1" applyBorder="1" applyAlignment="1" applyProtection="1">
      <alignment vertical="center"/>
    </xf>
    <xf numFmtId="42" fontId="23" fillId="12" borderId="184" xfId="0" applyNumberFormat="1" applyFont="1" applyFill="1" applyBorder="1" applyAlignment="1" applyProtection="1">
      <alignment vertical="center"/>
    </xf>
    <xf numFmtId="5" fontId="30" fillId="10" borderId="158" xfId="0" applyNumberFormat="1" applyFont="1" applyFill="1" applyBorder="1" applyAlignment="1" applyProtection="1">
      <alignment vertical="center"/>
    </xf>
    <xf numFmtId="5" fontId="30" fillId="10" borderId="177" xfId="0" applyNumberFormat="1" applyFont="1" applyFill="1" applyBorder="1" applyAlignment="1" applyProtection="1">
      <alignment vertical="center"/>
    </xf>
    <xf numFmtId="42" fontId="23" fillId="17" borderId="175" xfId="0" applyNumberFormat="1" applyFont="1" applyFill="1" applyBorder="1" applyAlignment="1" applyProtection="1">
      <alignment vertical="center"/>
    </xf>
    <xf numFmtId="42" fontId="23" fillId="11" borderId="395" xfId="0" applyNumberFormat="1" applyFont="1" applyFill="1" applyBorder="1" applyAlignment="1" applyProtection="1">
      <alignment vertical="center"/>
    </xf>
    <xf numFmtId="42" fontId="23" fillId="12" borderId="181" xfId="0" applyNumberFormat="1" applyFont="1" applyFill="1" applyBorder="1" applyAlignment="1" applyProtection="1">
      <alignment vertical="center"/>
    </xf>
    <xf numFmtId="42" fontId="23" fillId="11" borderId="396" xfId="0" applyNumberFormat="1" applyFont="1" applyFill="1" applyBorder="1" applyAlignment="1" applyProtection="1">
      <alignment vertical="center"/>
    </xf>
    <xf numFmtId="0" fontId="30" fillId="10" borderId="184" xfId="0" applyFont="1" applyFill="1" applyBorder="1" applyAlignment="1" applyProtection="1"/>
    <xf numFmtId="0" fontId="30" fillId="10" borderId="185" xfId="0" applyFont="1" applyFill="1" applyBorder="1" applyProtection="1"/>
    <xf numFmtId="42" fontId="23" fillId="12" borderId="116" xfId="0" applyNumberFormat="1" applyFont="1" applyFill="1" applyBorder="1" applyAlignment="1" applyProtection="1">
      <alignment vertical="center"/>
    </xf>
    <xf numFmtId="42" fontId="23" fillId="15" borderId="184" xfId="0" applyNumberFormat="1" applyFont="1" applyFill="1" applyBorder="1" applyProtection="1"/>
    <xf numFmtId="42" fontId="23" fillId="12" borderId="122" xfId="0" applyNumberFormat="1" applyFont="1" applyFill="1" applyBorder="1" applyAlignment="1" applyProtection="1">
      <alignment vertical="center"/>
    </xf>
    <xf numFmtId="0" fontId="5" fillId="7" borderId="175" xfId="0" applyFont="1" applyFill="1" applyBorder="1" applyAlignment="1" applyProtection="1">
      <alignment horizontal="center"/>
    </xf>
    <xf numFmtId="5" fontId="30" fillId="0" borderId="184" xfId="0" applyNumberFormat="1" applyFont="1" applyFill="1" applyBorder="1" applyProtection="1"/>
    <xf numFmtId="5" fontId="27" fillId="0" borderId="184" xfId="0" applyNumberFormat="1" applyFont="1" applyFill="1" applyBorder="1" applyProtection="1"/>
    <xf numFmtId="0" fontId="27" fillId="0" borderId="184" xfId="0" applyNumberFormat="1" applyFont="1" applyFill="1" applyBorder="1" applyProtection="1"/>
    <xf numFmtId="0" fontId="28" fillId="7" borderId="177" xfId="0" applyFont="1" applyFill="1" applyBorder="1" applyAlignment="1" applyProtection="1">
      <alignment horizontal="center"/>
    </xf>
    <xf numFmtId="0" fontId="17" fillId="16" borderId="191" xfId="0" applyFont="1" applyFill="1" applyBorder="1" applyAlignment="1" applyProtection="1">
      <alignment horizontal="center"/>
    </xf>
    <xf numFmtId="169" fontId="25" fillId="0" borderId="190" xfId="0" applyNumberFormat="1" applyFont="1" applyBorder="1" applyAlignment="1" applyProtection="1">
      <alignment vertical="center"/>
    </xf>
    <xf numFmtId="5" fontId="27" fillId="0" borderId="184" xfId="0" applyNumberFormat="1" applyFont="1" applyFill="1" applyBorder="1" applyAlignment="1" applyProtection="1">
      <alignment vertical="center"/>
    </xf>
    <xf numFmtId="5" fontId="25" fillId="0" borderId="184" xfId="0" applyNumberFormat="1" applyFont="1" applyFill="1" applyBorder="1" applyAlignment="1" applyProtection="1">
      <alignment vertical="center"/>
    </xf>
    <xf numFmtId="0" fontId="30" fillId="0" borderId="184" xfId="0" applyFont="1" applyBorder="1" applyAlignment="1" applyProtection="1">
      <alignment vertical="center"/>
    </xf>
    <xf numFmtId="42" fontId="16" fillId="0" borderId="184" xfId="0" applyNumberFormat="1" applyFont="1" applyFill="1" applyBorder="1" applyAlignment="1" applyProtection="1">
      <alignment vertical="center"/>
    </xf>
    <xf numFmtId="42" fontId="16" fillId="18" borderId="177" xfId="0" applyNumberFormat="1" applyFont="1" applyFill="1" applyBorder="1" applyAlignment="1" applyProtection="1">
      <alignment vertical="center"/>
    </xf>
    <xf numFmtId="42" fontId="16" fillId="0" borderId="184" xfId="0" applyNumberFormat="1" applyFont="1" applyBorder="1" applyProtection="1"/>
    <xf numFmtId="42" fontId="28" fillId="16" borderId="125" xfId="0" applyNumberFormat="1" applyFont="1" applyFill="1" applyBorder="1" applyAlignment="1" applyProtection="1">
      <alignment vertical="center"/>
    </xf>
    <xf numFmtId="42" fontId="32" fillId="16" borderId="395" xfId="0" applyNumberFormat="1" applyFont="1" applyFill="1" applyBorder="1" applyAlignment="1" applyProtection="1">
      <alignment vertical="center"/>
    </xf>
    <xf numFmtId="42" fontId="16" fillId="6" borderId="125" xfId="0" applyNumberFormat="1" applyFont="1" applyFill="1" applyBorder="1" applyAlignment="1" applyProtection="1">
      <alignment vertical="center"/>
    </xf>
    <xf numFmtId="42" fontId="16" fillId="12" borderId="116" xfId="0" applyNumberFormat="1" applyFont="1" applyFill="1" applyBorder="1" applyAlignment="1" applyProtection="1">
      <alignment vertical="center"/>
    </xf>
    <xf numFmtId="42" fontId="16" fillId="12" borderId="193" xfId="0" applyNumberFormat="1" applyFont="1" applyFill="1" applyBorder="1" applyAlignment="1" applyProtection="1">
      <alignment vertical="center"/>
    </xf>
    <xf numFmtId="0" fontId="52" fillId="0" borderId="184" xfId="0" applyFont="1" applyBorder="1" applyAlignment="1" applyProtection="1"/>
    <xf numFmtId="6" fontId="55" fillId="16" borderId="125" xfId="0" applyNumberFormat="1" applyFont="1" applyFill="1" applyBorder="1" applyAlignment="1" applyProtection="1">
      <alignment horizontal="center"/>
    </xf>
    <xf numFmtId="0" fontId="55" fillId="16" borderId="396" xfId="0" applyFont="1" applyFill="1" applyBorder="1" applyAlignment="1" applyProtection="1">
      <alignment horizontal="center" vertical="center" wrapText="1"/>
    </xf>
    <xf numFmtId="0" fontId="56" fillId="0" borderId="184" xfId="0" applyFont="1" applyFill="1" applyBorder="1" applyProtection="1"/>
    <xf numFmtId="0" fontId="54" fillId="0" borderId="184" xfId="0" applyFont="1" applyFill="1" applyBorder="1" applyAlignment="1" applyProtection="1"/>
    <xf numFmtId="0" fontId="53" fillId="0" borderId="184" xfId="0" applyFont="1" applyBorder="1" applyProtection="1"/>
    <xf numFmtId="0" fontId="56" fillId="0" borderId="184" xfId="0" applyFont="1" applyBorder="1" applyProtection="1"/>
    <xf numFmtId="0" fontId="54" fillId="0" borderId="184" xfId="0" applyFont="1" applyBorder="1" applyAlignment="1" applyProtection="1"/>
    <xf numFmtId="0" fontId="54" fillId="0" borderId="184" xfId="0" applyFont="1" applyBorder="1" applyProtection="1"/>
    <xf numFmtId="6" fontId="54" fillId="0" borderId="184" xfId="0" applyNumberFormat="1" applyFont="1" applyBorder="1" applyProtection="1"/>
    <xf numFmtId="38" fontId="54" fillId="0" borderId="395" xfId="0" applyNumberFormat="1" applyFont="1" applyBorder="1" applyProtection="1"/>
    <xf numFmtId="0" fontId="39" fillId="16" borderId="125" xfId="0" applyFont="1" applyFill="1" applyBorder="1" applyAlignment="1" applyProtection="1"/>
    <xf numFmtId="0" fontId="39" fillId="16" borderId="395" xfId="0" applyFont="1" applyFill="1" applyBorder="1" applyAlignment="1" applyProtection="1"/>
    <xf numFmtId="0" fontId="52" fillId="16" borderId="125" xfId="0" applyFont="1" applyFill="1" applyBorder="1" applyAlignment="1" applyProtection="1"/>
    <xf numFmtId="0" fontId="52" fillId="16" borderId="395" xfId="0" applyFont="1" applyFill="1" applyBorder="1" applyAlignment="1" applyProtection="1"/>
    <xf numFmtId="0" fontId="15" fillId="6" borderId="193" xfId="0" applyFont="1" applyFill="1" applyBorder="1" applyProtection="1"/>
    <xf numFmtId="0" fontId="30" fillId="0" borderId="184" xfId="0" applyFont="1" applyFill="1" applyBorder="1" applyProtection="1"/>
    <xf numFmtId="0" fontId="3" fillId="0" borderId="158" xfId="0" applyFont="1" applyFill="1" applyBorder="1" applyProtection="1"/>
    <xf numFmtId="0" fontId="3" fillId="0" borderId="177" xfId="0" applyFont="1" applyFill="1" applyBorder="1" applyProtection="1"/>
    <xf numFmtId="0" fontId="16" fillId="0" borderId="185" xfId="0" applyFont="1" applyFill="1" applyBorder="1" applyProtection="1">
      <protection locked="0"/>
    </xf>
    <xf numFmtId="0" fontId="27" fillId="0" borderId="177" xfId="0" applyFont="1" applyFill="1" applyBorder="1" applyAlignment="1" applyProtection="1">
      <alignment horizontal="right"/>
    </xf>
    <xf numFmtId="172" fontId="27" fillId="0" borderId="177" xfId="0" applyNumberFormat="1" applyFont="1" applyFill="1" applyBorder="1" applyAlignment="1" applyProtection="1">
      <alignment horizontal="right"/>
    </xf>
    <xf numFmtId="0" fontId="3" fillId="0" borderId="184" xfId="0" applyFont="1" applyFill="1" applyBorder="1" applyProtection="1"/>
    <xf numFmtId="44" fontId="16" fillId="0" borderId="184" xfId="0" applyNumberFormat="1" applyFont="1" applyFill="1" applyBorder="1" applyProtection="1"/>
    <xf numFmtId="0" fontId="32" fillId="16" borderId="395" xfId="0" applyFont="1" applyFill="1" applyBorder="1" applyProtection="1"/>
    <xf numFmtId="0" fontId="25" fillId="16" borderId="395" xfId="0" applyFont="1" applyFill="1" applyBorder="1" applyProtection="1"/>
    <xf numFmtId="0" fontId="3" fillId="16" borderId="395" xfId="0" applyFont="1" applyFill="1" applyBorder="1" applyProtection="1"/>
    <xf numFmtId="0" fontId="3" fillId="16" borderId="396" xfId="0" applyFont="1" applyFill="1" applyBorder="1" applyProtection="1"/>
    <xf numFmtId="0" fontId="20" fillId="16" borderId="192" xfId="0" applyFont="1" applyFill="1" applyBorder="1" applyAlignment="1" applyProtection="1"/>
    <xf numFmtId="0" fontId="20" fillId="16" borderId="192" xfId="0" applyFont="1" applyFill="1" applyBorder="1" applyAlignment="1" applyProtection="1">
      <alignment horizontal="center" wrapText="1"/>
    </xf>
    <xf numFmtId="0" fontId="43" fillId="16" borderId="192" xfId="0" applyFont="1" applyFill="1" applyBorder="1" applyAlignment="1" applyProtection="1">
      <alignment horizontal="center" wrapText="1"/>
    </xf>
    <xf numFmtId="0" fontId="20" fillId="16" borderId="192" xfId="0" applyFont="1" applyFill="1" applyBorder="1" applyAlignment="1" applyProtection="1">
      <alignment wrapText="1"/>
    </xf>
    <xf numFmtId="0" fontId="20" fillId="16" borderId="193" xfId="0" applyFont="1" applyFill="1" applyBorder="1" applyAlignment="1" applyProtection="1">
      <alignment wrapText="1"/>
    </xf>
    <xf numFmtId="0" fontId="20" fillId="16" borderId="193" xfId="0" applyFont="1" applyFill="1" applyBorder="1" applyAlignment="1" applyProtection="1">
      <alignment wrapText="1"/>
    </xf>
    <xf numFmtId="166" fontId="16" fillId="0" borderId="174" xfId="0" applyNumberFormat="1" applyFont="1" applyFill="1" applyBorder="1" applyAlignment="1" applyProtection="1">
      <alignment horizontal="left"/>
    </xf>
    <xf numFmtId="166" fontId="16" fillId="0" borderId="158" xfId="0" applyNumberFormat="1" applyFont="1" applyFill="1" applyBorder="1" applyAlignment="1" applyProtection="1"/>
    <xf numFmtId="0" fontId="19" fillId="0" borderId="184" xfId="0" applyFont="1" applyFill="1" applyBorder="1" applyAlignment="1" applyProtection="1"/>
    <xf numFmtId="0" fontId="19" fillId="0" borderId="184" xfId="0" applyFont="1" applyBorder="1" applyAlignment="1" applyProtection="1"/>
    <xf numFmtId="42" fontId="5" fillId="6" borderId="395" xfId="0" applyNumberFormat="1" applyFont="1" applyFill="1" applyBorder="1" applyAlignment="1" applyProtection="1">
      <alignment wrapText="1"/>
    </xf>
    <xf numFmtId="0" fontId="16" fillId="0" borderId="184" xfId="0" applyFont="1" applyBorder="1" applyProtection="1"/>
    <xf numFmtId="0" fontId="2" fillId="16" borderId="125" xfId="0" applyFont="1" applyFill="1" applyBorder="1" applyAlignment="1" applyProtection="1">
      <alignment horizontal="center" wrapText="1"/>
    </xf>
    <xf numFmtId="0" fontId="17" fillId="16" borderId="123" xfId="0" applyFont="1" applyFill="1" applyBorder="1" applyProtection="1"/>
    <xf numFmtId="0" fontId="2" fillId="16" borderId="123" xfId="0" applyFont="1" applyFill="1" applyBorder="1" applyProtection="1"/>
    <xf numFmtId="9" fontId="40" fillId="16" borderId="174" xfId="0" applyNumberFormat="1" applyFont="1" applyFill="1" applyBorder="1" applyAlignment="1" applyProtection="1">
      <alignment horizontal="center" vertical="center" wrapText="1"/>
    </xf>
    <xf numFmtId="0" fontId="16" fillId="9" borderId="126" xfId="0" applyFont="1" applyFill="1" applyBorder="1" applyAlignment="1" applyProtection="1">
      <alignment horizontal="center"/>
    </xf>
    <xf numFmtId="0" fontId="0" fillId="9" borderId="126" xfId="0" applyFont="1" applyFill="1" applyBorder="1" applyAlignment="1" applyProtection="1">
      <alignment horizontal="center"/>
    </xf>
    <xf numFmtId="9" fontId="40" fillId="21" borderId="125" xfId="0" applyNumberFormat="1" applyFont="1" applyFill="1" applyBorder="1" applyAlignment="1" applyProtection="1">
      <alignment horizontal="center" vertical="center" wrapText="1"/>
    </xf>
    <xf numFmtId="0" fontId="16" fillId="21" borderId="395" xfId="0" applyFont="1" applyFill="1" applyBorder="1" applyAlignment="1" applyProtection="1">
      <alignment horizontal="center"/>
    </xf>
    <xf numFmtId="0" fontId="0" fillId="21" borderId="395" xfId="0" applyFont="1" applyFill="1" applyBorder="1" applyAlignment="1" applyProtection="1">
      <alignment horizontal="center"/>
    </xf>
    <xf numFmtId="9" fontId="40" fillId="16" borderId="370" xfId="0" applyNumberFormat="1" applyFont="1" applyFill="1" applyBorder="1" applyAlignment="1" applyProtection="1">
      <alignment horizontal="center" vertical="center" wrapText="1"/>
    </xf>
    <xf numFmtId="166" fontId="18" fillId="16" borderId="396" xfId="0" applyNumberFormat="1" applyFont="1" applyFill="1" applyBorder="1" applyAlignment="1" applyProtection="1">
      <alignment horizontal="center"/>
    </xf>
    <xf numFmtId="3" fontId="18" fillId="0" borderId="60" xfId="0" applyNumberFormat="1" applyFont="1" applyFill="1" applyBorder="1" applyAlignment="1" applyProtection="1"/>
    <xf numFmtId="3" fontId="18" fillId="0" borderId="46" xfId="0" applyNumberFormat="1" applyFont="1" applyFill="1" applyBorder="1" applyAlignment="1" applyProtection="1"/>
    <xf numFmtId="166" fontId="51" fillId="0" borderId="184" xfId="0" applyNumberFormat="1" applyFont="1" applyFill="1" applyBorder="1" applyAlignment="1" applyProtection="1">
      <alignment horizontal="center" wrapText="1"/>
    </xf>
    <xf numFmtId="0" fontId="16" fillId="0" borderId="206" xfId="0" applyFont="1" applyFill="1" applyBorder="1" applyAlignment="1" applyProtection="1">
      <protection locked="0"/>
    </xf>
    <xf numFmtId="0" fontId="16" fillId="0" borderId="541" xfId="0" applyFont="1" applyFill="1" applyBorder="1" applyAlignment="1" applyProtection="1">
      <protection locked="0"/>
    </xf>
    <xf numFmtId="0" fontId="16" fillId="0" borderId="369" xfId="0" applyFont="1" applyFill="1" applyBorder="1" applyAlignment="1" applyProtection="1">
      <protection locked="0"/>
    </xf>
    <xf numFmtId="0" fontId="16" fillId="0" borderId="386" xfId="0" applyFont="1" applyFill="1" applyBorder="1" applyAlignment="1" applyProtection="1">
      <protection locked="0"/>
    </xf>
    <xf numFmtId="3" fontId="18" fillId="0" borderId="7" xfId="0" applyNumberFormat="1" applyFont="1" applyFill="1" applyBorder="1" applyAlignment="1" applyProtection="1"/>
    <xf numFmtId="3" fontId="18" fillId="0" borderId="184" xfId="0" applyNumberFormat="1" applyFont="1" applyFill="1" applyBorder="1" applyAlignment="1" applyProtection="1"/>
    <xf numFmtId="166" fontId="17" fillId="0" borderId="184" xfId="0" applyNumberFormat="1" applyFont="1" applyFill="1" applyBorder="1" applyAlignment="1" applyProtection="1">
      <alignment horizontal="right"/>
    </xf>
    <xf numFmtId="166" fontId="51" fillId="0" borderId="184" xfId="0" applyNumberFormat="1" applyFont="1" applyFill="1" applyBorder="1" applyAlignment="1" applyProtection="1">
      <alignment horizontal="center" vertical="top" wrapText="1"/>
    </xf>
    <xf numFmtId="0" fontId="2" fillId="0" borderId="275" xfId="0" applyFont="1" applyFill="1" applyBorder="1" applyAlignment="1" applyProtection="1">
      <protection locked="0"/>
    </xf>
    <xf numFmtId="0" fontId="2" fillId="0" borderId="276" xfId="0" applyFont="1" applyFill="1" applyBorder="1" applyAlignment="1" applyProtection="1">
      <protection locked="0"/>
    </xf>
    <xf numFmtId="0" fontId="2" fillId="0" borderId="277" xfId="0" applyFont="1" applyFill="1" applyBorder="1" applyAlignment="1" applyProtection="1">
      <protection locked="0"/>
    </xf>
    <xf numFmtId="0" fontId="0" fillId="0" borderId="350" xfId="0" applyFont="1" applyFill="1" applyBorder="1" applyAlignment="1" applyProtection="1">
      <protection locked="0"/>
    </xf>
    <xf numFmtId="0" fontId="0" fillId="0" borderId="209" xfId="0" applyFont="1" applyFill="1" applyBorder="1" applyAlignment="1" applyProtection="1">
      <protection locked="0"/>
    </xf>
    <xf numFmtId="0" fontId="0" fillId="0" borderId="349" xfId="0" applyFont="1" applyFill="1" applyBorder="1" applyAlignment="1" applyProtection="1">
      <protection locked="0"/>
    </xf>
    <xf numFmtId="0" fontId="0" fillId="0" borderId="278" xfId="0" applyFont="1" applyFill="1" applyBorder="1" applyAlignment="1" applyProtection="1">
      <protection locked="0"/>
    </xf>
    <xf numFmtId="0" fontId="0" fillId="0" borderId="279" xfId="0" applyFont="1" applyFill="1" applyBorder="1" applyAlignment="1" applyProtection="1">
      <protection locked="0"/>
    </xf>
    <xf numFmtId="0" fontId="0" fillId="0" borderId="280" xfId="0" applyFont="1" applyFill="1" applyBorder="1" applyAlignment="1" applyProtection="1">
      <protection locked="0"/>
    </xf>
    <xf numFmtId="42" fontId="17" fillId="6" borderId="192" xfId="0" applyNumberFormat="1" applyFont="1" applyFill="1" applyBorder="1" applyAlignment="1" applyProtection="1">
      <alignment horizontal="right"/>
    </xf>
    <xf numFmtId="42" fontId="17" fillId="6" borderId="193" xfId="0" applyNumberFormat="1" applyFont="1" applyFill="1" applyBorder="1" applyAlignment="1" applyProtection="1">
      <alignment horizontal="right"/>
    </xf>
    <xf numFmtId="0" fontId="16" fillId="0" borderId="509" xfId="0" applyFont="1" applyFill="1" applyBorder="1" applyAlignment="1" applyProtection="1">
      <alignment horizontal="left" vertical="top" wrapText="1"/>
      <protection locked="0"/>
    </xf>
    <xf numFmtId="0" fontId="16" fillId="0" borderId="184" xfId="0" applyFont="1" applyFill="1" applyBorder="1" applyAlignment="1" applyProtection="1">
      <alignment horizontal="left" vertical="top" wrapText="1"/>
      <protection locked="0"/>
    </xf>
    <xf numFmtId="5" fontId="43" fillId="8" borderId="509" xfId="0" applyNumberFormat="1" applyFont="1" applyFill="1" applyBorder="1" applyAlignment="1" applyProtection="1">
      <alignment vertical="center"/>
    </xf>
    <xf numFmtId="0" fontId="43" fillId="16" borderId="396" xfId="0" applyFont="1" applyFill="1" applyBorder="1" applyAlignment="1" applyProtection="1">
      <alignment horizontal="center" vertical="center"/>
    </xf>
    <xf numFmtId="0" fontId="16" fillId="0" borderId="566" xfId="0" applyFont="1" applyFill="1" applyBorder="1" applyProtection="1"/>
    <xf numFmtId="0" fontId="16" fillId="0" borderId="567" xfId="0" applyFont="1" applyFill="1" applyBorder="1" applyProtection="1"/>
    <xf numFmtId="0" fontId="38" fillId="0" borderId="567" xfId="0" applyFont="1" applyFill="1" applyBorder="1" applyAlignment="1" applyProtection="1">
      <alignment vertical="center"/>
    </xf>
    <xf numFmtId="0" fontId="0" fillId="0" borderId="567" xfId="0" applyFont="1" applyFill="1" applyBorder="1" applyProtection="1"/>
    <xf numFmtId="0" fontId="16" fillId="0" borderId="568" xfId="0" applyFont="1" applyFill="1" applyBorder="1" applyProtection="1"/>
    <xf numFmtId="0" fontId="17" fillId="0" borderId="569" xfId="0" applyFont="1" applyFill="1" applyBorder="1" applyAlignment="1" applyProtection="1"/>
    <xf numFmtId="0" fontId="2" fillId="0" borderId="569" xfId="0" applyFont="1" applyBorder="1" applyProtection="1"/>
    <xf numFmtId="0" fontId="0" fillId="0" borderId="569" xfId="0" applyBorder="1" applyProtection="1"/>
    <xf numFmtId="0" fontId="16" fillId="0" borderId="569" xfId="0" applyFont="1" applyFill="1" applyBorder="1" applyProtection="1"/>
    <xf numFmtId="0" fontId="15" fillId="0" borderId="569" xfId="0" applyFont="1" applyFill="1" applyBorder="1" applyAlignment="1" applyProtection="1"/>
    <xf numFmtId="0" fontId="38" fillId="0" borderId="515" xfId="0" applyFont="1" applyFill="1" applyBorder="1" applyAlignment="1" applyProtection="1">
      <alignment horizontal="center"/>
    </xf>
    <xf numFmtId="6" fontId="43" fillId="0" borderId="395" xfId="0" applyNumberFormat="1" applyFont="1" applyFill="1" applyBorder="1" applyAlignment="1" applyProtection="1">
      <alignment vertical="center"/>
    </xf>
    <xf numFmtId="0" fontId="0" fillId="0" borderId="158" xfId="0" applyBorder="1" applyAlignment="1" applyProtection="1">
      <alignment horizontal="left" vertical="top" wrapText="1"/>
      <protection locked="0"/>
    </xf>
    <xf numFmtId="0" fontId="0" fillId="0" borderId="515" xfId="0" applyBorder="1" applyAlignment="1" applyProtection="1">
      <alignment horizontal="left" vertical="top" wrapText="1"/>
      <protection locked="0"/>
    </xf>
    <xf numFmtId="0" fontId="0" fillId="0" borderId="566" xfId="0" applyBorder="1" applyProtection="1"/>
    <xf numFmtId="0" fontId="0" fillId="0" borderId="567" xfId="0" applyBorder="1" applyProtection="1"/>
    <xf numFmtId="0" fontId="0" fillId="0" borderId="568" xfId="0" applyBorder="1" applyProtection="1"/>
    <xf numFmtId="0" fontId="16" fillId="0" borderId="172" xfId="0" applyFont="1" applyBorder="1" applyAlignment="1" applyProtection="1"/>
    <xf numFmtId="166" fontId="20" fillId="0" borderId="172" xfId="0" applyNumberFormat="1" applyFont="1" applyBorder="1" applyProtection="1"/>
    <xf numFmtId="0" fontId="17" fillId="0" borderId="569" xfId="0" applyFont="1" applyFill="1" applyBorder="1" applyAlignment="1" applyProtection="1">
      <alignment horizontal="left"/>
    </xf>
    <xf numFmtId="0" fontId="16" fillId="0" borderId="515" xfId="0" applyFont="1" applyBorder="1" applyAlignment="1" applyProtection="1">
      <alignment vertical="top" wrapText="1"/>
      <protection locked="0"/>
    </xf>
    <xf numFmtId="0" fontId="41" fillId="0" borderId="158" xfId="0" applyFont="1" applyFill="1" applyBorder="1" applyAlignment="1" applyProtection="1">
      <alignment vertical="center"/>
    </xf>
    <xf numFmtId="0" fontId="16" fillId="0" borderId="566" xfId="0" applyFont="1" applyFill="1" applyBorder="1" applyAlignment="1" applyProtection="1"/>
    <xf numFmtId="0" fontId="55" fillId="0" borderId="567" xfId="0" applyFont="1" applyFill="1" applyBorder="1" applyAlignment="1" applyProtection="1"/>
    <xf numFmtId="0" fontId="16" fillId="0" borderId="567" xfId="0" applyFont="1" applyFill="1" applyBorder="1" applyAlignment="1" applyProtection="1">
      <alignment vertical="top"/>
    </xf>
    <xf numFmtId="0" fontId="20" fillId="0" borderId="568" xfId="0" applyFont="1" applyFill="1" applyBorder="1" applyProtection="1"/>
    <xf numFmtId="0" fontId="2" fillId="0" borderId="569" xfId="0" applyFont="1" applyFill="1" applyBorder="1" applyAlignment="1" applyProtection="1"/>
    <xf numFmtId="0" fontId="67" fillId="0" borderId="174" xfId="0" applyFont="1" applyFill="1" applyBorder="1" applyAlignment="1" applyProtection="1"/>
    <xf numFmtId="0" fontId="67" fillId="0" borderId="158" xfId="0" applyFont="1" applyFill="1" applyBorder="1" applyAlignment="1" applyProtection="1"/>
    <xf numFmtId="0" fontId="67" fillId="0" borderId="177" xfId="0" applyFont="1" applyFill="1" applyBorder="1" applyAlignment="1" applyProtection="1"/>
    <xf numFmtId="0" fontId="16" fillId="0" borderId="190" xfId="0" applyFont="1" applyFill="1" applyBorder="1" applyAlignment="1" applyProtection="1">
      <alignment horizontal="left"/>
    </xf>
    <xf numFmtId="0" fontId="16" fillId="0" borderId="191" xfId="0" applyFont="1" applyFill="1" applyBorder="1" applyAlignment="1" applyProtection="1">
      <alignment horizontal="left"/>
    </xf>
    <xf numFmtId="0" fontId="59" fillId="0" borderId="158" xfId="0" applyFont="1" applyFill="1" applyBorder="1" applyAlignment="1" applyProtection="1"/>
    <xf numFmtId="0" fontId="17" fillId="0" borderId="569" xfId="0" applyFont="1" applyFill="1" applyBorder="1" applyAlignment="1" applyProtection="1"/>
    <xf numFmtId="0" fontId="0" fillId="0" borderId="0" xfId="0" applyFont="1" applyFill="1" applyBorder="1" applyAlignment="1" applyProtection="1"/>
    <xf numFmtId="0" fontId="0" fillId="0" borderId="141" xfId="0" applyFont="1" applyFill="1" applyBorder="1" applyAlignment="1" applyProtection="1"/>
    <xf numFmtId="0" fontId="16" fillId="0" borderId="189" xfId="0" applyFont="1" applyFill="1" applyBorder="1" applyAlignment="1" applyProtection="1">
      <alignment vertical="top" wrapText="1"/>
      <protection locked="0"/>
    </xf>
    <xf numFmtId="0" fontId="20" fillId="0" borderId="569" xfId="0" applyFont="1" applyFill="1" applyBorder="1" applyAlignment="1" applyProtection="1"/>
    <xf numFmtId="0" fontId="18" fillId="0" borderId="569" xfId="0" applyFont="1" applyFill="1" applyBorder="1" applyAlignment="1" applyProtection="1"/>
    <xf numFmtId="0" fontId="43" fillId="16" borderId="570" xfId="0" applyFont="1" applyFill="1" applyBorder="1" applyAlignment="1" applyProtection="1">
      <alignment horizontal="left" vertical="center"/>
    </xf>
    <xf numFmtId="0" fontId="43" fillId="16" borderId="571" xfId="0" applyFont="1" applyFill="1" applyBorder="1" applyAlignment="1" applyProtection="1">
      <alignment horizontal="center" vertical="center" wrapText="1"/>
    </xf>
    <xf numFmtId="0" fontId="43" fillId="16" borderId="572" xfId="0" applyFont="1" applyFill="1" applyBorder="1" applyAlignment="1" applyProtection="1">
      <alignment horizontal="center" vertical="center" wrapText="1"/>
    </xf>
    <xf numFmtId="0" fontId="43" fillId="16" borderId="573" xfId="0" applyFont="1" applyFill="1" applyBorder="1" applyAlignment="1" applyProtection="1">
      <alignment horizontal="center" vertical="center" wrapText="1"/>
    </xf>
    <xf numFmtId="0" fontId="16" fillId="5" borderId="574" xfId="0" applyFont="1" applyFill="1" applyBorder="1" applyAlignment="1" applyProtection="1">
      <alignment wrapText="1"/>
      <protection locked="0"/>
    </xf>
    <xf numFmtId="0" fontId="16" fillId="5" borderId="575" xfId="0" applyFont="1" applyFill="1" applyBorder="1" applyAlignment="1" applyProtection="1">
      <alignment horizontal="left" wrapText="1"/>
      <protection locked="0"/>
    </xf>
    <xf numFmtId="0" fontId="16" fillId="5" borderId="576" xfId="0" applyFont="1" applyFill="1" applyBorder="1" applyAlignment="1" applyProtection="1">
      <alignment horizontal="left" wrapText="1"/>
      <protection locked="0"/>
    </xf>
    <xf numFmtId="0" fontId="16" fillId="0" borderId="577" xfId="0" applyFont="1" applyBorder="1" applyAlignment="1" applyProtection="1">
      <alignment horizontal="center" wrapText="1"/>
      <protection locked="0"/>
    </xf>
    <xf numFmtId="0" fontId="16" fillId="0" borderId="577" xfId="0" applyFont="1" applyBorder="1" applyAlignment="1" applyProtection="1">
      <alignment horizontal="left" wrapText="1"/>
      <protection locked="0"/>
    </xf>
    <xf numFmtId="49" fontId="16" fillId="0" borderId="577" xfId="0" applyNumberFormat="1" applyFont="1" applyFill="1" applyBorder="1" applyAlignment="1" applyProtection="1">
      <alignment horizontal="center" wrapText="1"/>
      <protection locked="0"/>
    </xf>
    <xf numFmtId="49" fontId="16" fillId="0" borderId="578" xfId="0" applyNumberFormat="1" applyFont="1" applyFill="1" applyBorder="1" applyAlignment="1" applyProtection="1">
      <alignment horizontal="center" wrapText="1"/>
      <protection locked="0"/>
    </xf>
    <xf numFmtId="49" fontId="16" fillId="0" borderId="579" xfId="0" applyNumberFormat="1" applyFont="1" applyFill="1" applyBorder="1" applyAlignment="1" applyProtection="1">
      <alignment horizontal="center" wrapText="1"/>
      <protection locked="0"/>
    </xf>
    <xf numFmtId="0" fontId="16" fillId="5" borderId="574" xfId="0" applyFont="1" applyFill="1" applyBorder="1" applyAlignment="1" applyProtection="1">
      <alignment horizontal="left"/>
      <protection locked="0"/>
    </xf>
    <xf numFmtId="0" fontId="16" fillId="5" borderId="575" xfId="0" applyFont="1" applyFill="1" applyBorder="1" applyAlignment="1" applyProtection="1">
      <alignment horizontal="center" wrapText="1"/>
      <protection locked="0"/>
    </xf>
    <xf numFmtId="0" fontId="16" fillId="5" borderId="576" xfId="0" applyFont="1" applyFill="1" applyBorder="1" applyAlignment="1" applyProtection="1">
      <alignment horizontal="center" wrapText="1"/>
      <protection locked="0"/>
    </xf>
    <xf numFmtId="49" fontId="16" fillId="0" borderId="577" xfId="0" applyNumberFormat="1" applyFont="1" applyFill="1" applyBorder="1" applyAlignment="1" applyProtection="1">
      <alignment horizontal="left" wrapText="1"/>
      <protection locked="0"/>
    </xf>
    <xf numFmtId="0" fontId="16" fillId="0" borderId="566" xfId="0" applyFont="1" applyFill="1" applyBorder="1" applyAlignment="1" applyProtection="1">
      <alignment wrapText="1"/>
    </xf>
    <xf numFmtId="0" fontId="20" fillId="0" borderId="567" xfId="0" applyFont="1" applyBorder="1" applyAlignment="1" applyProtection="1">
      <alignment wrapText="1"/>
    </xf>
    <xf numFmtId="0" fontId="16" fillId="0" borderId="568" xfId="0" applyFont="1" applyBorder="1" applyAlignment="1" applyProtection="1">
      <alignment wrapText="1"/>
    </xf>
    <xf numFmtId="0" fontId="50" fillId="0" borderId="580" xfId="0" applyFont="1" applyFill="1" applyBorder="1" applyAlignment="1" applyProtection="1">
      <alignment horizontal="left" wrapText="1"/>
    </xf>
    <xf numFmtId="0" fontId="16" fillId="0" borderId="581" xfId="0" applyFont="1" applyFill="1" applyBorder="1" applyAlignment="1" applyProtection="1"/>
    <xf numFmtId="0" fontId="16" fillId="0" borderId="581" xfId="0" applyFont="1" applyFill="1" applyBorder="1" applyAlignment="1" applyProtection="1">
      <alignment wrapText="1"/>
    </xf>
    <xf numFmtId="0" fontId="16" fillId="0" borderId="582" xfId="0" applyFont="1" applyBorder="1" applyAlignment="1" applyProtection="1">
      <alignment wrapText="1"/>
    </xf>
    <xf numFmtId="0" fontId="43" fillId="16" borderId="583" xfId="0" applyFont="1" applyFill="1" applyBorder="1" applyAlignment="1" applyProtection="1">
      <alignment vertical="center"/>
    </xf>
    <xf numFmtId="0" fontId="43" fillId="16" borderId="584" xfId="0" applyFont="1" applyFill="1" applyBorder="1" applyAlignment="1" applyProtection="1">
      <alignment horizontal="center" vertical="center" wrapText="1"/>
    </xf>
    <xf numFmtId="0" fontId="43" fillId="16" borderId="585" xfId="0" applyFont="1" applyFill="1" applyBorder="1" applyAlignment="1" applyProtection="1">
      <alignment horizontal="center" vertical="center" wrapText="1"/>
    </xf>
    <xf numFmtId="0" fontId="43" fillId="16" borderId="586" xfId="0" applyFont="1" applyFill="1" applyBorder="1" applyAlignment="1" applyProtection="1">
      <alignment horizontal="center" vertical="center" wrapText="1"/>
    </xf>
    <xf numFmtId="0" fontId="20" fillId="0" borderId="587" xfId="0" applyFont="1" applyBorder="1" applyAlignment="1" applyProtection="1">
      <protection locked="0"/>
    </xf>
    <xf numFmtId="0" fontId="0" fillId="0" borderId="577" xfId="0" applyFont="1" applyBorder="1" applyProtection="1">
      <protection locked="0"/>
    </xf>
    <xf numFmtId="0" fontId="16" fillId="0" borderId="577" xfId="0" applyFont="1" applyFill="1" applyBorder="1" applyAlignment="1" applyProtection="1">
      <alignment horizontal="center" wrapText="1"/>
      <protection locked="0"/>
    </xf>
    <xf numFmtId="49" fontId="16" fillId="0" borderId="588" xfId="0" applyNumberFormat="1" applyFont="1" applyFill="1" applyBorder="1" applyAlignment="1" applyProtection="1">
      <alignment horizontal="center" wrapText="1"/>
      <protection locked="0"/>
    </xf>
    <xf numFmtId="0" fontId="16" fillId="0" borderId="575" xfId="0" applyFont="1" applyFill="1" applyBorder="1" applyAlignment="1" applyProtection="1">
      <alignment horizontal="center" wrapText="1"/>
      <protection locked="0"/>
    </xf>
    <xf numFmtId="0" fontId="16" fillId="0" borderId="589" xfId="0" applyFont="1" applyFill="1" applyBorder="1" applyAlignment="1" applyProtection="1">
      <alignment horizontal="center" wrapText="1"/>
      <protection locked="0"/>
    </xf>
    <xf numFmtId="0" fontId="16" fillId="0" borderId="577" xfId="0" applyFont="1" applyBorder="1" applyAlignment="1" applyProtection="1">
      <alignment wrapText="1"/>
      <protection locked="0"/>
    </xf>
    <xf numFmtId="0" fontId="20" fillId="0" borderId="567" xfId="0" applyFont="1" applyBorder="1" applyAlignment="1" applyProtection="1"/>
    <xf numFmtId="0" fontId="16" fillId="0" borderId="590" xfId="0" applyFont="1" applyFill="1" applyBorder="1" applyAlignment="1" applyProtection="1">
      <alignment horizontal="left" wrapText="1"/>
    </xf>
    <xf numFmtId="0" fontId="16" fillId="0" borderId="591" xfId="0" applyFont="1" applyFill="1" applyBorder="1" applyAlignment="1" applyProtection="1">
      <alignment wrapText="1"/>
    </xf>
    <xf numFmtId="0" fontId="16" fillId="0" borderId="592" xfId="0" applyFont="1" applyBorder="1" applyAlignment="1" applyProtection="1">
      <alignment wrapText="1"/>
    </xf>
    <xf numFmtId="0" fontId="44" fillId="6" borderId="190" xfId="0" applyFont="1" applyFill="1" applyBorder="1" applyAlignment="1" applyProtection="1">
      <alignment horizontal="left" vertical="center" wrapText="1"/>
    </xf>
    <xf numFmtId="0" fontId="43" fillId="16" borderId="593" xfId="0" applyFont="1" applyFill="1" applyBorder="1" applyAlignment="1" applyProtection="1">
      <alignment vertical="center"/>
    </xf>
    <xf numFmtId="0" fontId="43" fillId="16" borderId="594" xfId="0" applyFont="1" applyFill="1" applyBorder="1" applyAlignment="1" applyProtection="1">
      <alignment horizontal="center" vertical="center" wrapText="1"/>
    </xf>
    <xf numFmtId="0" fontId="43" fillId="16" borderId="595" xfId="0" applyFont="1" applyFill="1" applyBorder="1" applyAlignment="1" applyProtection="1">
      <alignment horizontal="center" vertical="center" wrapText="1"/>
    </xf>
    <xf numFmtId="0" fontId="16" fillId="0" borderId="596" xfId="0" applyFont="1" applyBorder="1" applyAlignment="1" applyProtection="1">
      <alignment wrapText="1"/>
      <protection locked="0"/>
    </xf>
    <xf numFmtId="0" fontId="16" fillId="0" borderId="597" xfId="0" applyFont="1" applyBorder="1" applyAlignment="1" applyProtection="1">
      <alignment horizontal="center" wrapText="1"/>
      <protection locked="0"/>
    </xf>
    <xf numFmtId="49" fontId="16" fillId="0" borderId="598" xfId="0" applyNumberFormat="1" applyFont="1" applyFill="1" applyBorder="1" applyAlignment="1" applyProtection="1">
      <alignment horizontal="center" wrapText="1"/>
      <protection locked="0"/>
    </xf>
    <xf numFmtId="49" fontId="16" fillId="0" borderId="598" xfId="0" applyNumberFormat="1" applyFont="1" applyFill="1" applyBorder="1" applyAlignment="1" applyProtection="1">
      <alignment horizontal="left" wrapText="1"/>
      <protection locked="0"/>
    </xf>
    <xf numFmtId="49" fontId="16" fillId="0" borderId="599" xfId="0" applyNumberFormat="1" applyFont="1" applyFill="1" applyBorder="1" applyAlignment="1" applyProtection="1">
      <alignment horizontal="center" wrapText="1"/>
      <protection locked="0"/>
    </xf>
    <xf numFmtId="0" fontId="0" fillId="0" borderId="0" xfId="0" applyAlignment="1"/>
    <xf numFmtId="0" fontId="86" fillId="7" borderId="516" xfId="4" applyFont="1" applyFill="1" applyBorder="1" applyAlignment="1"/>
    <xf numFmtId="0" fontId="86" fillId="7" borderId="517" xfId="4" applyFont="1" applyFill="1" applyBorder="1" applyAlignment="1"/>
    <xf numFmtId="0" fontId="86" fillId="7" borderId="518" xfId="4" applyFont="1" applyFill="1" applyBorder="1" applyAlignment="1"/>
    <xf numFmtId="0" fontId="0" fillId="0" borderId="0" xfId="0" applyAlignment="1" applyProtection="1"/>
    <xf numFmtId="0" fontId="86" fillId="34" borderId="528" xfId="4" applyFont="1" applyFill="1" applyBorder="1" applyAlignment="1" applyProtection="1">
      <protection locked="0"/>
    </xf>
    <xf numFmtId="0" fontId="86" fillId="34" borderId="529" xfId="4" applyFont="1" applyFill="1" applyBorder="1" applyAlignment="1" applyProtection="1">
      <protection locked="0"/>
    </xf>
    <xf numFmtId="0" fontId="86" fillId="34" borderId="530" xfId="4" applyFont="1" applyFill="1" applyBorder="1" applyAlignment="1" applyProtection="1">
      <protection locked="0"/>
    </xf>
    <xf numFmtId="0" fontId="81" fillId="3" borderId="569" xfId="4" applyFont="1" applyFill="1" applyBorder="1" applyProtection="1"/>
    <xf numFmtId="1" fontId="81" fillId="3" borderId="569" xfId="4" applyNumberFormat="1" applyFont="1" applyFill="1" applyBorder="1" applyProtection="1"/>
    <xf numFmtId="0" fontId="72" fillId="3" borderId="569" xfId="4" applyFont="1" applyFill="1" applyBorder="1" applyAlignment="1" applyProtection="1"/>
    <xf numFmtId="0" fontId="81" fillId="5" borderId="569" xfId="4" applyFont="1" applyFill="1" applyBorder="1" applyAlignment="1" applyProtection="1">
      <alignment horizontal="left"/>
    </xf>
    <xf numFmtId="0" fontId="72" fillId="5" borderId="569" xfId="4" applyFont="1" applyFill="1" applyBorder="1" applyProtection="1"/>
    <xf numFmtId="0" fontId="81" fillId="3" borderId="569" xfId="4" applyFont="1" applyFill="1" applyBorder="1" applyAlignment="1" applyProtection="1"/>
    <xf numFmtId="0" fontId="81" fillId="3" borderId="569" xfId="4" quotePrefix="1" applyFont="1" applyFill="1" applyBorder="1" applyAlignment="1" applyProtection="1">
      <alignment horizontal="center"/>
    </xf>
    <xf numFmtId="0" fontId="81" fillId="3" borderId="569" xfId="4" applyFont="1" applyFill="1" applyBorder="1" applyAlignment="1" applyProtection="1">
      <alignment horizontal="center"/>
    </xf>
    <xf numFmtId="0" fontId="88" fillId="3" borderId="569" xfId="4" applyFont="1" applyFill="1" applyBorder="1" applyProtection="1"/>
    <xf numFmtId="44" fontId="81" fillId="5" borderId="569" xfId="4" applyNumberFormat="1" applyFont="1" applyFill="1" applyBorder="1" applyAlignment="1" applyProtection="1">
      <alignment horizontal="left"/>
    </xf>
    <xf numFmtId="44" fontId="80" fillId="5" borderId="569" xfId="4" applyNumberFormat="1" applyFont="1" applyFill="1" applyBorder="1" applyAlignment="1" applyProtection="1">
      <alignment horizontal="left"/>
    </xf>
    <xf numFmtId="165" fontId="80" fillId="5" borderId="569" xfId="2" applyNumberFormat="1" applyFont="1" applyFill="1" applyBorder="1" applyAlignment="1" applyProtection="1">
      <alignment horizontal="right"/>
    </xf>
    <xf numFmtId="0" fontId="81" fillId="5" borderId="569" xfId="4" applyFont="1" applyFill="1" applyBorder="1" applyProtection="1"/>
    <xf numFmtId="9" fontId="80" fillId="5" borderId="569" xfId="2" applyNumberFormat="1" applyFont="1" applyFill="1" applyBorder="1" applyAlignment="1" applyProtection="1">
      <alignment horizontal="right"/>
    </xf>
    <xf numFmtId="1" fontId="81" fillId="5" borderId="569" xfId="4" applyNumberFormat="1" applyFont="1" applyFill="1" applyBorder="1" applyAlignment="1" applyProtection="1">
      <alignment horizontal="right"/>
    </xf>
    <xf numFmtId="0" fontId="72" fillId="3" borderId="569" xfId="4" applyFont="1" applyFill="1" applyBorder="1" applyAlignment="1" applyProtection="1">
      <alignment wrapText="1"/>
    </xf>
    <xf numFmtId="0" fontId="72" fillId="3" borderId="569" xfId="4" applyFont="1" applyFill="1" applyBorder="1" applyProtection="1"/>
    <xf numFmtId="0" fontId="85" fillId="5" borderId="569" xfId="4" applyFont="1" applyFill="1" applyBorder="1" applyAlignment="1" applyProtection="1">
      <alignment horizontal="center"/>
    </xf>
  </cellXfs>
  <cellStyles count="7">
    <cellStyle name="Currency" xfId="1" builtinId="4"/>
    <cellStyle name="Hyperlink" xfId="5" builtinId="8"/>
    <cellStyle name="Normal" xfId="0" builtinId="0"/>
    <cellStyle name="Normal 2 3" xfId="3" xr:uid="{00000000-0005-0000-0000-000003000000}"/>
    <cellStyle name="Normal 3 2" xfId="6" xr:uid="{00000000-0005-0000-0000-000004000000}"/>
    <cellStyle name="Normal_LIHTC Allocation scoring synopsis" xfId="4" xr:uid="{00000000-0005-0000-0000-000005000000}"/>
    <cellStyle name="Percent" xfId="2" builtinId="5"/>
  </cellStyles>
  <dxfs count="157">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bottom style="thin">
          <color indexed="64"/>
        </bottom>
      </border>
    </dxf>
    <dxf>
      <border outline="0">
        <left style="medium">
          <color indexed="64"/>
        </left>
        <right style="medium">
          <color indexed="64"/>
        </right>
        <top style="thin">
          <color indexed="64"/>
        </top>
        <bottom style="thin">
          <color theme="3" tint="0.39994506668294322"/>
        </bottom>
      </border>
    </dxf>
    <dxf>
      <protection locked="0" hidden="0"/>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bottom style="thin">
          <color theme="3" tint="0.39994506668294322"/>
        </bottom>
      </border>
    </dxf>
    <dxf>
      <border outline="0">
        <left style="medium">
          <color indexed="64"/>
        </left>
        <right style="medium">
          <color indexed="64"/>
        </right>
        <bottom style="thin">
          <color theme="3" tint="0.39994506668294322"/>
        </bottom>
      </border>
    </dxf>
    <dxf>
      <protection locked="1" hidden="0"/>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bottom style="thin">
          <color indexed="64"/>
        </bottom>
      </border>
    </dxf>
    <dxf>
      <border outline="0">
        <left style="medium">
          <color indexed="64"/>
        </left>
        <right style="medium">
          <color indexed="64"/>
        </right>
        <top style="thin">
          <color indexed="64"/>
        </top>
        <bottom style="thin">
          <color theme="3" tint="0.39994506668294322"/>
        </bottom>
      </border>
    </dxf>
    <dxf>
      <protection locked="1" hidden="0"/>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FFFFCC"/>
      <color rgb="FF9C6500"/>
      <color rgb="FFFFEB9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88ed76fa058b6a4c/DESC%20-%20Healthcare%20PSH/Development%20Budgets/DESC%2022nd%20Ave%20RES%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ESDS-Reference Table"/>
      <sheetName val="ESDS-Lookup Table"/>
      <sheetName val="5 Default Check"/>
      <sheetName val="LIHTC_ScoringLists"/>
      <sheetName val="Sheet1"/>
      <sheetName val="HTF_Quickload"/>
      <sheetName val="1"/>
      <sheetName val="Summary"/>
      <sheetName val="6A"/>
      <sheetName val="6B"/>
      <sheetName val="6D"/>
      <sheetName val="7A"/>
      <sheetName val="8A"/>
      <sheetName val="8B"/>
      <sheetName val="8C"/>
      <sheetName val="8D"/>
      <sheetName val="7B"/>
      <sheetName val="3"/>
      <sheetName val="CF During Const"/>
      <sheetName val="5"/>
      <sheetName val="Credit delivery"/>
      <sheetName val="Benefit Schedule"/>
      <sheetName val="Sources of Funds"/>
      <sheetName val="2A"/>
      <sheetName val="2B"/>
      <sheetName val="2C"/>
      <sheetName val="4"/>
      <sheetName val="6C"/>
      <sheetName val="6E"/>
      <sheetName val="8E"/>
      <sheetName val="9A"/>
      <sheetName val="9B"/>
      <sheetName val="9C"/>
      <sheetName val="9D"/>
      <sheetName val="9E"/>
      <sheetName val="11A"/>
      <sheetName val="11B"/>
      <sheetName val="Timing of Costs"/>
      <sheetName val="Definitions"/>
      <sheetName val="Validations Checklist"/>
    </sheetNames>
    <sheetDataSet>
      <sheetData sheetId="0"/>
      <sheetData sheetId="1"/>
      <sheetData sheetId="2"/>
      <sheetData sheetId="3"/>
      <sheetData sheetId="4"/>
      <sheetData sheetId="5"/>
      <sheetData sheetId="6"/>
      <sheetData sheetId="7"/>
      <sheetData sheetId="8">
        <row r="2">
          <cell r="A2">
            <v>90</v>
          </cell>
        </row>
        <row r="3">
          <cell r="D3">
            <v>90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N21" totalsRowShown="0" headerRowDxfId="137" dataDxfId="136" headerRowBorderDxfId="134" tableBorderDxfId="135">
  <tableColumns count="12">
    <tableColumn id="1" xr3:uid="{00000000-0010-0000-0000-000001000000}" name="Building ID#/Name" dataDxfId="133"/>
    <tableColumn id="2" xr3:uid="{00000000-0010-0000-0000-000002000000}" name="Building Address _x000a_(Street)" dataDxfId="132"/>
    <tableColumn id="3" xr3:uid="{00000000-0010-0000-0000-000003000000}" name="Building Address_x000a_(City)" dataDxfId="131"/>
    <tableColumn id="4" xr3:uid="{00000000-0010-0000-0000-000004000000}" name="Building Type" dataDxfId="130"/>
    <tableColumn id="5" xr3:uid="{00000000-0010-0000-0000-000005000000}" name="Building Activity" dataDxfId="129"/>
    <tableColumn id="6" xr3:uid="{00000000-0010-0000-0000-000006000000}" name="Transitional Housing for the Homeless?" dataDxfId="128"/>
    <tableColumn id="7" xr3:uid="{00000000-0010-0000-0000-000007000000}" name="Low-Income Units" dataDxfId="127"/>
    <tableColumn id="8" xr3:uid="{00000000-0010-0000-0000-000008000000}" name="Market Rate Units" dataDxfId="126"/>
    <tableColumn id="9" xr3:uid="{00000000-0010-0000-0000-000009000000}" name="Common Area Units" dataDxfId="125"/>
    <tableColumn id="10" xr3:uid="{00000000-0010-0000-0000-00000A000000}" name="TOTAL UNITS" dataDxfId="124">
      <calculatedColumnFormula>SUM(I8:K8)</calculatedColumnFormula>
    </tableColumn>
    <tableColumn id="11" xr3:uid="{00000000-0010-0000-0000-00000B000000}" name="Year building received original Certificate of Occupancy" dataDxfId="123"/>
    <tableColumn id="12" xr3:uid="{00000000-0010-0000-0000-00000C000000}" name="Expected Placed-In-Service Date (MM/DD/YYYY)" dataDxfId="122">
      <calculatedColumnFormula>'5'!E73</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0:O33" headerRowCount="0" totalsRowShown="0" headerRowDxfId="121" dataDxfId="120" headerRowBorderDxfId="118" tableBorderDxfId="119">
  <tableColumns count="13">
    <tableColumn id="1" xr3:uid="{00000000-0010-0000-0100-000001000000}" name="Building # " headerRowDxfId="117" dataDxfId="116"/>
    <tableColumn id="2" xr3:uid="{00000000-0010-0000-0100-000002000000}" name="# of Floors" headerRowDxfId="115" dataDxfId="114"/>
    <tableColumn id="3" xr3:uid="{00000000-0010-0000-0100-000003000000}" name=" Low-Income Units" headerRowDxfId="113" dataDxfId="112">
      <calculatedColumnFormula>344*90</calculatedColumnFormula>
    </tableColumn>
    <tableColumn id="4" xr3:uid="{00000000-0010-0000-0100-000004000000}" name="Common Area/ Manager Units" headerRowDxfId="111" dataDxfId="110"/>
    <tableColumn id="5" xr3:uid="{00000000-0010-0000-0100-000005000000}" name="Market Rate Units" headerRowDxfId="109" dataDxfId="108"/>
    <tableColumn id="6" xr3:uid="{00000000-0010-0000-0100-000006000000}" name="Common Area for Residential Services" headerRowDxfId="107" dataDxfId="106"/>
    <tableColumn id="7" xr3:uid="{00000000-0010-0000-0100-000007000000}" name="Other Common Area" headerRowDxfId="105" dataDxfId="104">
      <calculatedColumnFormula>53020-Table2[[#This Row],[Common Area for Residential Services]]-Table2[[#This Row],[ Low-Income Units]]</calculatedColumnFormula>
    </tableColumn>
    <tableColumn id="8" xr3:uid="{00000000-0010-0000-0100-000008000000}" name="Structured Residential Parking" headerRowDxfId="103" dataDxfId="102"/>
    <tableColumn id="9" xr3:uid="{00000000-0010-0000-0100-000009000000}" name="Total Residential Gross Square Footage" headerRowDxfId="101" dataDxfId="100">
      <calculatedColumnFormula>SUM(E21:J21)</calculatedColumnFormula>
    </tableColumn>
    <tableColumn id="10" xr3:uid="{00000000-0010-0000-0100-00000A000000}" name="." headerRowDxfId="99" dataDxfId="98"/>
    <tableColumn id="11" xr3:uid="{00000000-0010-0000-0100-00000B000000}" name="# of floors2" headerRowDxfId="97" dataDxfId="96"/>
    <tableColumn id="12" xr3:uid="{00000000-0010-0000-0100-00000C000000}" name="Gross Square Footage" headerRowDxfId="95" dataDxfId="94"/>
    <tableColumn id="13" xr3:uid="{00000000-0010-0000-0100-00000D000000}" name="Total Gross Square Footage" headerRowDxfId="93" dataDxfId="92">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0:G31" totalsRowShown="0" headerRowDxfId="72" dataDxfId="71" headerRowBorderDxfId="69" tableBorderDxfId="70">
  <tableColumns count="5">
    <tableColumn id="1" xr3:uid="{00000000-0010-0000-0200-000001000000}" name="Population Type" dataDxfId="68"/>
    <tableColumn id="2" xr3:uid="{00000000-0010-0000-0200-000002000000}" name="Homeless at Entry?" dataDxfId="67"/>
    <tableColumn id="3" xr3:uid="{00000000-0010-0000-0200-000003000000}" name="Residency Type" dataDxfId="66"/>
    <tableColumn id="4" xr3:uid="{00000000-0010-0000-0200-000004000000}" name="Unit _x000a_or Bed" dataDxfId="65"/>
    <tableColumn id="5" xr3:uid="{00000000-0010-0000-0200-000005000000}" name="Qty." dataDxfId="64"/>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H177"/>
  <sheetViews>
    <sheetView topLeftCell="A145" workbookViewId="0" xr3:uid="{AEA406A1-0E4B-5B11-9CD5-51D6E497D94C}">
      <selection activeCell="A145" sqref="A1:XFD1048576"/>
    </sheetView>
  </sheetViews>
  <sheetFormatPr defaultColWidth="9.140625" defaultRowHeight="14.45"/>
  <cols>
    <col min="1" max="1" width="17.42578125" style="1842" bestFit="1" customWidth="1"/>
    <col min="2" max="2" width="42.42578125" style="1842" bestFit="1" customWidth="1"/>
    <col min="3" max="3" width="9.140625" style="1842"/>
    <col min="4" max="4" width="19.5703125" style="1842" bestFit="1" customWidth="1"/>
    <col min="5" max="5" width="25.28515625" style="1842" bestFit="1" customWidth="1"/>
    <col min="6" max="6" width="9.140625" style="1842"/>
    <col min="7" max="7" width="16.5703125" style="1842" bestFit="1" customWidth="1"/>
    <col min="8" max="8" width="10.7109375" style="1842" bestFit="1" customWidth="1"/>
    <col min="9" max="16384" width="9.140625" style="1842"/>
  </cols>
  <sheetData>
    <row r="3" spans="1:2">
      <c r="A3" s="298" t="s">
        <v>0</v>
      </c>
      <c r="B3" s="665" t="s">
        <v>1</v>
      </c>
    </row>
    <row r="4" spans="1:2">
      <c r="A4" s="1971"/>
      <c r="B4" s="666" t="s">
        <v>2</v>
      </c>
    </row>
    <row r="5" spans="1:2">
      <c r="A5" s="1971"/>
      <c r="B5" s="666" t="s">
        <v>3</v>
      </c>
    </row>
    <row r="6" spans="1:2">
      <c r="A6" s="1971"/>
      <c r="B6" s="666" t="s">
        <v>4</v>
      </c>
    </row>
    <row r="7" spans="1:2">
      <c r="A7" s="1971"/>
      <c r="B7" s="666" t="s">
        <v>5</v>
      </c>
    </row>
    <row r="8" spans="1:2">
      <c r="A8" s="1971"/>
      <c r="B8" s="666" t="s">
        <v>6</v>
      </c>
    </row>
    <row r="9" spans="1:2">
      <c r="A9" s="1971"/>
      <c r="B9" s="666" t="s">
        <v>7</v>
      </c>
    </row>
    <row r="10" spans="1:2">
      <c r="A10" s="1971"/>
      <c r="B10" s="666" t="s">
        <v>8</v>
      </c>
    </row>
    <row r="11" spans="1:2">
      <c r="A11" s="1971"/>
      <c r="B11" s="666" t="s">
        <v>9</v>
      </c>
    </row>
    <row r="12" spans="1:2">
      <c r="A12" s="1971"/>
      <c r="B12" s="666" t="s">
        <v>10</v>
      </c>
    </row>
    <row r="13" spans="1:2">
      <c r="A13" s="1971"/>
      <c r="B13" s="666" t="s">
        <v>11</v>
      </c>
    </row>
    <row r="14" spans="1:2">
      <c r="A14" s="1971"/>
      <c r="B14" s="666" t="s">
        <v>12</v>
      </c>
    </row>
    <row r="15" spans="1:2">
      <c r="A15" s="1971"/>
      <c r="B15" s="666" t="s">
        <v>13</v>
      </c>
    </row>
    <row r="16" spans="1:2">
      <c r="A16" s="1971"/>
      <c r="B16" s="666" t="s">
        <v>14</v>
      </c>
    </row>
    <row r="17" spans="1:2">
      <c r="A17" s="1971"/>
      <c r="B17" s="666" t="s">
        <v>15</v>
      </c>
    </row>
    <row r="18" spans="1:2">
      <c r="A18" s="1971"/>
      <c r="B18" s="666" t="s">
        <v>16</v>
      </c>
    </row>
    <row r="19" spans="1:2">
      <c r="A19" s="1971"/>
      <c r="B19" s="666" t="s">
        <v>17</v>
      </c>
    </row>
    <row r="20" spans="1:2">
      <c r="A20" s="1971"/>
      <c r="B20" s="666" t="s">
        <v>18</v>
      </c>
    </row>
    <row r="21" spans="1:2">
      <c r="A21" s="1971"/>
      <c r="B21" s="666" t="s">
        <v>19</v>
      </c>
    </row>
    <row r="22" spans="1:2">
      <c r="A22" s="1971"/>
      <c r="B22" s="667" t="s">
        <v>20</v>
      </c>
    </row>
    <row r="26" spans="1:2">
      <c r="A26" s="1971" t="s">
        <v>21</v>
      </c>
      <c r="B26" s="280" t="s">
        <v>1</v>
      </c>
    </row>
    <row r="27" spans="1:2">
      <c r="A27" s="1971"/>
      <c r="B27" s="669" t="s">
        <v>22</v>
      </c>
    </row>
    <row r="28" spans="1:2">
      <c r="A28" s="1971"/>
      <c r="B28" s="668" t="s">
        <v>23</v>
      </c>
    </row>
    <row r="30" spans="1:2">
      <c r="A30" s="1971" t="s">
        <v>24</v>
      </c>
      <c r="B30" s="665" t="s">
        <v>1</v>
      </c>
    </row>
    <row r="31" spans="1:2">
      <c r="A31" s="1971"/>
      <c r="B31" s="672" t="s">
        <v>22</v>
      </c>
    </row>
    <row r="32" spans="1:2">
      <c r="A32" s="1971"/>
      <c r="B32" s="672" t="s">
        <v>23</v>
      </c>
    </row>
    <row r="33" spans="1:2">
      <c r="A33" s="1971"/>
      <c r="B33" s="891" t="s">
        <v>25</v>
      </c>
    </row>
    <row r="35" spans="1:2">
      <c r="A35" s="1971" t="s">
        <v>26</v>
      </c>
      <c r="B35" s="665" t="s">
        <v>1</v>
      </c>
    </row>
    <row r="36" spans="1:2">
      <c r="A36" s="1971"/>
      <c r="B36" s="672" t="s">
        <v>22</v>
      </c>
    </row>
    <row r="37" spans="1:2">
      <c r="A37" s="1971"/>
      <c r="B37" s="672" t="s">
        <v>23</v>
      </c>
    </row>
    <row r="38" spans="1:2">
      <c r="A38" s="1971"/>
      <c r="B38" s="891" t="s">
        <v>27</v>
      </c>
    </row>
    <row r="40" spans="1:2">
      <c r="A40" s="1971" t="s">
        <v>28</v>
      </c>
      <c r="B40" s="280" t="s">
        <v>1</v>
      </c>
    </row>
    <row r="41" spans="1:2">
      <c r="A41" s="1971"/>
      <c r="B41" s="669" t="s">
        <v>29</v>
      </c>
    </row>
    <row r="42" spans="1:2">
      <c r="A42" s="1971"/>
      <c r="B42" s="669" t="s">
        <v>30</v>
      </c>
    </row>
    <row r="43" spans="1:2">
      <c r="A43" s="1971"/>
      <c r="B43" s="669" t="s">
        <v>31</v>
      </c>
    </row>
    <row r="44" spans="1:2">
      <c r="A44" s="1971"/>
      <c r="B44" s="668" t="s">
        <v>32</v>
      </c>
    </row>
    <row r="46" spans="1:2">
      <c r="A46" s="1971" t="s">
        <v>33</v>
      </c>
      <c r="B46" s="280" t="s">
        <v>1</v>
      </c>
    </row>
    <row r="47" spans="1:2">
      <c r="A47" s="1971"/>
      <c r="B47" s="669" t="s">
        <v>34</v>
      </c>
    </row>
    <row r="48" spans="1:2">
      <c r="A48" s="1971"/>
      <c r="B48" s="668" t="s">
        <v>35</v>
      </c>
    </row>
    <row r="51" spans="1:8">
      <c r="A51" s="1971" t="s">
        <v>36</v>
      </c>
      <c r="B51" s="280" t="s">
        <v>37</v>
      </c>
      <c r="C51" s="1971"/>
      <c r="D51" s="1971" t="s">
        <v>38</v>
      </c>
      <c r="E51" s="280" t="s">
        <v>1</v>
      </c>
      <c r="F51" s="1971"/>
      <c r="G51" s="1971" t="s">
        <v>39</v>
      </c>
      <c r="H51" s="1971" t="s">
        <v>40</v>
      </c>
    </row>
    <row r="52" spans="1:8">
      <c r="A52" s="1971"/>
      <c r="B52" s="669" t="s">
        <v>41</v>
      </c>
      <c r="C52" s="1971"/>
      <c r="D52" s="1971"/>
      <c r="E52" s="669" t="s">
        <v>41</v>
      </c>
      <c r="F52" s="1971"/>
      <c r="G52" s="1564" t="s">
        <v>42</v>
      </c>
      <c r="H52" s="1564" t="s">
        <v>43</v>
      </c>
    </row>
    <row r="53" spans="1:8">
      <c r="A53" s="1971"/>
      <c r="B53" s="669" t="s">
        <v>44</v>
      </c>
      <c r="C53" s="1971"/>
      <c r="D53" s="1971"/>
      <c r="E53" s="668" t="s">
        <v>44</v>
      </c>
      <c r="F53" s="1971"/>
      <c r="G53" s="1564" t="s">
        <v>45</v>
      </c>
      <c r="H53" s="1564" t="s">
        <v>46</v>
      </c>
    </row>
    <row r="54" spans="1:8">
      <c r="A54" s="1971"/>
      <c r="B54" s="668" t="s">
        <v>47</v>
      </c>
      <c r="C54" s="1971"/>
      <c r="D54" s="1971"/>
      <c r="E54" s="1971"/>
      <c r="F54" s="1971"/>
      <c r="G54" s="1564"/>
      <c r="H54" s="1564" t="s">
        <v>48</v>
      </c>
    </row>
    <row r="55" spans="1:8">
      <c r="A55" s="1971"/>
      <c r="B55" s="1971"/>
      <c r="C55" s="1971"/>
      <c r="D55" s="1971"/>
      <c r="E55" s="1971"/>
      <c r="F55" s="1971"/>
      <c r="G55" s="1971"/>
      <c r="H55" s="1564" t="s">
        <v>49</v>
      </c>
    </row>
    <row r="56" spans="1:8">
      <c r="A56" s="1971" t="s">
        <v>50</v>
      </c>
      <c r="B56" s="665" t="s">
        <v>1</v>
      </c>
      <c r="C56" s="1971"/>
      <c r="D56" s="1971"/>
      <c r="E56" s="1971"/>
      <c r="F56" s="1971"/>
      <c r="G56" s="1971"/>
      <c r="H56" s="1564" t="s">
        <v>51</v>
      </c>
    </row>
    <row r="57" spans="1:8">
      <c r="A57" s="1971"/>
      <c r="B57" s="672" t="s">
        <v>52</v>
      </c>
      <c r="C57" s="1971"/>
      <c r="D57" s="1971"/>
      <c r="E57" s="1971"/>
      <c r="F57" s="1971"/>
      <c r="G57" s="1971"/>
      <c r="H57" s="1564"/>
    </row>
    <row r="58" spans="1:8">
      <c r="A58" s="1971"/>
      <c r="B58" s="891" t="s">
        <v>53</v>
      </c>
      <c r="C58" s="1971"/>
      <c r="D58" s="1971"/>
      <c r="E58" s="1971"/>
      <c r="F58" s="1971"/>
      <c r="G58" s="1971"/>
      <c r="H58" s="1564"/>
    </row>
    <row r="59" spans="1:8">
      <c r="A59" s="1971"/>
      <c r="B59" s="1971"/>
      <c r="C59" s="1971"/>
      <c r="D59" s="1971"/>
      <c r="E59" s="1971"/>
      <c r="F59" s="1971"/>
      <c r="G59" s="1971"/>
      <c r="H59" s="1564"/>
    </row>
    <row r="60" spans="1:8">
      <c r="A60" s="1971" t="s">
        <v>54</v>
      </c>
      <c r="B60" s="280" t="s">
        <v>1</v>
      </c>
      <c r="C60" s="1971"/>
      <c r="D60" s="1971"/>
      <c r="E60" s="1971"/>
      <c r="F60" s="1971"/>
      <c r="G60" s="1971"/>
      <c r="H60" s="1971"/>
    </row>
    <row r="61" spans="1:8">
      <c r="A61" s="1971"/>
      <c r="B61" s="669" t="s">
        <v>55</v>
      </c>
      <c r="C61" s="1971"/>
      <c r="D61" s="1971"/>
      <c r="E61" s="1971"/>
      <c r="F61" s="1971"/>
      <c r="G61" s="1971"/>
      <c r="H61" s="1971"/>
    </row>
    <row r="62" spans="1:8">
      <c r="A62" s="1971"/>
      <c r="B62" s="668" t="s">
        <v>56</v>
      </c>
      <c r="C62" s="1971"/>
      <c r="D62" s="1971"/>
      <c r="E62" s="1971"/>
      <c r="F62" s="1971"/>
      <c r="G62" s="1971"/>
      <c r="H62" s="1971"/>
    </row>
    <row r="65" spans="1:5">
      <c r="A65" s="1971" t="s">
        <v>35</v>
      </c>
      <c r="B65" s="280"/>
      <c r="C65" s="1971"/>
      <c r="D65" s="1971"/>
      <c r="E65" s="1971"/>
    </row>
    <row r="66" spans="1:5">
      <c r="A66" s="1971"/>
      <c r="B66" s="668" t="s">
        <v>57</v>
      </c>
      <c r="C66" s="1971"/>
      <c r="D66" s="1971"/>
      <c r="E66" s="1971"/>
    </row>
    <row r="68" spans="1:5">
      <c r="A68" s="1971" t="s">
        <v>34</v>
      </c>
      <c r="B68" s="280" t="s">
        <v>1</v>
      </c>
      <c r="C68" s="1971"/>
      <c r="D68" s="1971" t="s">
        <v>58</v>
      </c>
      <c r="E68" s="280" t="s">
        <v>1</v>
      </c>
    </row>
    <row r="69" spans="1:5">
      <c r="A69" s="1971"/>
      <c r="B69" s="669" t="s">
        <v>59</v>
      </c>
      <c r="C69" s="1971"/>
      <c r="D69" s="1971"/>
      <c r="E69" s="669" t="s">
        <v>59</v>
      </c>
    </row>
    <row r="70" spans="1:5">
      <c r="A70" s="1971"/>
      <c r="B70" s="669" t="s">
        <v>60</v>
      </c>
      <c r="C70" s="1971"/>
      <c r="D70" s="1971"/>
      <c r="E70" s="669" t="s">
        <v>60</v>
      </c>
    </row>
    <row r="71" spans="1:5">
      <c r="A71" s="1971"/>
      <c r="B71" s="669" t="s">
        <v>61</v>
      </c>
      <c r="C71" s="1971"/>
      <c r="D71" s="1971"/>
      <c r="E71" s="669" t="s">
        <v>61</v>
      </c>
    </row>
    <row r="72" spans="1:5">
      <c r="A72" s="1971"/>
      <c r="B72" s="669" t="s">
        <v>62</v>
      </c>
      <c r="C72" s="1971"/>
      <c r="D72" s="1971"/>
      <c r="E72" s="669" t="s">
        <v>62</v>
      </c>
    </row>
    <row r="73" spans="1:5">
      <c r="A73" s="1971"/>
      <c r="B73" s="669" t="s">
        <v>63</v>
      </c>
      <c r="C73" s="1971"/>
      <c r="D73" s="1971"/>
      <c r="E73" s="669" t="s">
        <v>63</v>
      </c>
    </row>
    <row r="74" spans="1:5">
      <c r="A74" s="1971"/>
      <c r="B74" s="669" t="s">
        <v>64</v>
      </c>
      <c r="C74" s="1971"/>
      <c r="D74" s="1971"/>
      <c r="E74" s="669" t="s">
        <v>64</v>
      </c>
    </row>
    <row r="75" spans="1:5">
      <c r="A75" s="1971"/>
      <c r="B75" s="668" t="s">
        <v>65</v>
      </c>
      <c r="C75" s="1971"/>
      <c r="D75" s="1971"/>
      <c r="E75" s="891" t="s">
        <v>66</v>
      </c>
    </row>
    <row r="77" spans="1:5">
      <c r="A77" s="1971" t="s">
        <v>67</v>
      </c>
      <c r="B77" s="280" t="s">
        <v>1</v>
      </c>
      <c r="C77" s="1971"/>
      <c r="D77" s="1971"/>
      <c r="E77" s="1971"/>
    </row>
    <row r="78" spans="1:5">
      <c r="A78" s="1971"/>
      <c r="B78" s="672" t="s">
        <v>35</v>
      </c>
      <c r="C78" s="1971"/>
      <c r="D78" s="1971"/>
      <c r="E78" s="1971"/>
    </row>
    <row r="79" spans="1:5">
      <c r="A79" s="1971"/>
      <c r="B79" s="672" t="s">
        <v>60</v>
      </c>
      <c r="C79" s="1971"/>
      <c r="D79" s="1971"/>
      <c r="E79" s="1971"/>
    </row>
    <row r="80" spans="1:5">
      <c r="A80" s="1971"/>
      <c r="B80" s="669" t="s">
        <v>59</v>
      </c>
      <c r="C80" s="1971"/>
      <c r="D80" s="1971"/>
      <c r="E80" s="1971"/>
    </row>
    <row r="81" spans="1:2">
      <c r="A81" s="1971"/>
      <c r="B81" s="669" t="s">
        <v>61</v>
      </c>
    </row>
    <row r="82" spans="1:2">
      <c r="A82" s="1971"/>
      <c r="B82" s="669" t="s">
        <v>62</v>
      </c>
    </row>
    <row r="83" spans="1:2">
      <c r="A83" s="1971"/>
      <c r="B83" s="669" t="s">
        <v>63</v>
      </c>
    </row>
    <row r="84" spans="1:2">
      <c r="A84" s="1971"/>
      <c r="B84" s="669" t="s">
        <v>64</v>
      </c>
    </row>
    <row r="85" spans="1:2">
      <c r="A85" s="1971"/>
      <c r="B85" s="668" t="s">
        <v>65</v>
      </c>
    </row>
    <row r="87" spans="1:2">
      <c r="A87" s="1971" t="s">
        <v>68</v>
      </c>
      <c r="B87" s="280" t="s">
        <v>1</v>
      </c>
    </row>
    <row r="88" spans="1:2">
      <c r="A88" s="1971"/>
      <c r="B88" s="669" t="s">
        <v>69</v>
      </c>
    </row>
    <row r="89" spans="1:2">
      <c r="A89" s="1971"/>
      <c r="B89" s="668" t="s">
        <v>70</v>
      </c>
    </row>
    <row r="92" spans="1:2">
      <c r="A92" s="1971" t="s">
        <v>71</v>
      </c>
      <c r="B92" s="280" t="s">
        <v>1</v>
      </c>
    </row>
    <row r="93" spans="1:2">
      <c r="A93" s="1971"/>
      <c r="B93" s="670">
        <v>0.25</v>
      </c>
    </row>
    <row r="94" spans="1:2">
      <c r="A94" s="1971"/>
      <c r="B94" s="670">
        <v>0.3</v>
      </c>
    </row>
    <row r="95" spans="1:2">
      <c r="A95" s="1971"/>
      <c r="B95" s="670">
        <v>0.35</v>
      </c>
    </row>
    <row r="96" spans="1:2">
      <c r="A96" s="1971"/>
      <c r="B96" s="670">
        <v>0.4</v>
      </c>
    </row>
    <row r="97" spans="1:2">
      <c r="A97" s="1971"/>
      <c r="B97" s="670">
        <v>0.45</v>
      </c>
    </row>
    <row r="98" spans="1:2">
      <c r="A98" s="1971"/>
      <c r="B98" s="670">
        <v>0.5</v>
      </c>
    </row>
    <row r="99" spans="1:2">
      <c r="A99" s="1971"/>
      <c r="B99" s="670">
        <v>0.55000000000000004</v>
      </c>
    </row>
    <row r="100" spans="1:2">
      <c r="A100" s="1971"/>
      <c r="B100" s="670">
        <v>0.6</v>
      </c>
    </row>
    <row r="101" spans="1:2">
      <c r="A101" s="1971"/>
      <c r="B101" s="670">
        <v>0.65</v>
      </c>
    </row>
    <row r="102" spans="1:2">
      <c r="A102" s="1971"/>
      <c r="B102" s="671">
        <v>0.8</v>
      </c>
    </row>
    <row r="105" spans="1:2">
      <c r="A105" s="1971" t="s">
        <v>72</v>
      </c>
      <c r="B105" s="280" t="s">
        <v>1</v>
      </c>
    </row>
    <row r="106" spans="1:2">
      <c r="A106" s="1971"/>
      <c r="B106" s="669" t="s">
        <v>73</v>
      </c>
    </row>
    <row r="107" spans="1:2">
      <c r="A107" s="1971"/>
      <c r="B107" s="668" t="s">
        <v>74</v>
      </c>
    </row>
    <row r="110" spans="1:2">
      <c r="A110" s="1971" t="s">
        <v>75</v>
      </c>
      <c r="B110" s="1095" t="s">
        <v>76</v>
      </c>
    </row>
    <row r="116" spans="1:2">
      <c r="A116" s="1971" t="s">
        <v>77</v>
      </c>
      <c r="B116" s="280" t="s">
        <v>1</v>
      </c>
    </row>
    <row r="117" spans="1:2">
      <c r="A117" s="1971"/>
      <c r="B117" s="669" t="s">
        <v>78</v>
      </c>
    </row>
    <row r="118" spans="1:2">
      <c r="A118" s="1971"/>
      <c r="B118" s="669" t="s">
        <v>79</v>
      </c>
    </row>
    <row r="119" spans="1:2">
      <c r="A119" s="1971"/>
      <c r="B119" s="669" t="s">
        <v>80</v>
      </c>
    </row>
    <row r="120" spans="1:2">
      <c r="A120" s="1971"/>
      <c r="B120" s="669" t="s">
        <v>81</v>
      </c>
    </row>
    <row r="121" spans="1:2">
      <c r="A121" s="1971"/>
      <c r="B121" s="669" t="s">
        <v>82</v>
      </c>
    </row>
    <row r="122" spans="1:2">
      <c r="A122" s="1971"/>
      <c r="B122" s="669" t="s">
        <v>83</v>
      </c>
    </row>
    <row r="123" spans="1:2">
      <c r="A123" s="1971"/>
      <c r="B123" s="669" t="s">
        <v>84</v>
      </c>
    </row>
    <row r="124" spans="1:2">
      <c r="A124" s="1971"/>
      <c r="B124" s="668" t="s">
        <v>85</v>
      </c>
    </row>
    <row r="127" spans="1:2">
      <c r="A127" s="1971" t="s">
        <v>86</v>
      </c>
      <c r="B127" s="665" t="s">
        <v>1</v>
      </c>
    </row>
    <row r="128" spans="1:2">
      <c r="A128" s="1971"/>
      <c r="B128" s="669" t="s">
        <v>87</v>
      </c>
    </row>
    <row r="129" spans="1:2">
      <c r="A129" s="1971"/>
      <c r="B129" s="669" t="s">
        <v>88</v>
      </c>
    </row>
    <row r="130" spans="1:2">
      <c r="A130" s="1971"/>
      <c r="B130" s="668" t="s">
        <v>89</v>
      </c>
    </row>
    <row r="132" spans="1:2">
      <c r="A132" s="1971" t="s">
        <v>90</v>
      </c>
      <c r="B132" s="665" t="s">
        <v>1</v>
      </c>
    </row>
    <row r="133" spans="1:2">
      <c r="A133" s="1971"/>
      <c r="B133" s="672" t="s">
        <v>91</v>
      </c>
    </row>
    <row r="134" spans="1:2">
      <c r="A134" s="1971"/>
      <c r="B134" s="672" t="s">
        <v>92</v>
      </c>
    </row>
    <row r="135" spans="1:2">
      <c r="A135" s="1971"/>
      <c r="B135" s="672" t="s">
        <v>93</v>
      </c>
    </row>
    <row r="136" spans="1:2">
      <c r="A136" s="1971"/>
      <c r="B136" s="672" t="s">
        <v>94</v>
      </c>
    </row>
    <row r="137" spans="1:2">
      <c r="A137" s="1971"/>
      <c r="B137" s="874"/>
    </row>
    <row r="138" spans="1:2">
      <c r="A138" s="1971" t="s">
        <v>95</v>
      </c>
      <c r="B138" s="665" t="s">
        <v>37</v>
      </c>
    </row>
    <row r="139" spans="1:2">
      <c r="A139" s="1971"/>
      <c r="B139" s="669" t="s">
        <v>96</v>
      </c>
    </row>
    <row r="140" spans="1:2">
      <c r="A140" s="1971"/>
      <c r="B140" s="668" t="s">
        <v>97</v>
      </c>
    </row>
    <row r="142" spans="1:2">
      <c r="A142" s="1971" t="s">
        <v>98</v>
      </c>
      <c r="B142" s="665" t="s">
        <v>1</v>
      </c>
    </row>
    <row r="143" spans="1:2">
      <c r="A143" s="1971"/>
      <c r="B143" s="672" t="s">
        <v>99</v>
      </c>
    </row>
    <row r="144" spans="1:2">
      <c r="A144" s="1971"/>
      <c r="B144" s="672" t="s">
        <v>100</v>
      </c>
    </row>
    <row r="145" spans="1:5">
      <c r="A145" s="1971"/>
      <c r="B145" s="891" t="s">
        <v>101</v>
      </c>
      <c r="C145" s="1971"/>
      <c r="D145" s="1971"/>
      <c r="E145" s="1971"/>
    </row>
    <row r="147" spans="1:5">
      <c r="A147" s="1971" t="s">
        <v>102</v>
      </c>
      <c r="B147" s="1092" t="s">
        <v>1</v>
      </c>
      <c r="C147" s="1971"/>
      <c r="D147" s="1971"/>
      <c r="E147" s="1971"/>
    </row>
    <row r="148" spans="1:5">
      <c r="A148" s="1971"/>
      <c r="B148" s="1093" t="s">
        <v>103</v>
      </c>
      <c r="C148" s="1971"/>
      <c r="D148" s="1971"/>
      <c r="E148" s="1971"/>
    </row>
    <row r="149" spans="1:5">
      <c r="A149" s="1971"/>
      <c r="B149" s="1093" t="s">
        <v>104</v>
      </c>
      <c r="C149" s="1971"/>
      <c r="D149" s="1971"/>
      <c r="E149" s="1971"/>
    </row>
    <row r="150" spans="1:5">
      <c r="A150" s="1971"/>
      <c r="B150" s="1093" t="s">
        <v>105</v>
      </c>
      <c r="C150" s="1971"/>
      <c r="D150" s="1971"/>
      <c r="E150" s="1971"/>
    </row>
    <row r="151" spans="1:5">
      <c r="A151" s="1971"/>
      <c r="B151" s="1094" t="s">
        <v>106</v>
      </c>
      <c r="C151" s="1971"/>
      <c r="D151" s="1971"/>
      <c r="E151" s="1971"/>
    </row>
    <row r="153" spans="1:5">
      <c r="A153" s="1971" t="s">
        <v>107</v>
      </c>
      <c r="B153" s="665" t="s">
        <v>1</v>
      </c>
      <c r="C153" s="1971"/>
      <c r="D153" s="1971" t="s">
        <v>108</v>
      </c>
      <c r="E153" s="665" t="s">
        <v>1</v>
      </c>
    </row>
    <row r="154" spans="1:5">
      <c r="A154" s="1971"/>
      <c r="B154" s="899" t="s">
        <v>109</v>
      </c>
      <c r="C154" s="1971"/>
      <c r="D154" s="1971"/>
      <c r="E154" s="899" t="s">
        <v>109</v>
      </c>
    </row>
    <row r="155" spans="1:5">
      <c r="A155" s="1971"/>
      <c r="B155" s="899" t="s">
        <v>110</v>
      </c>
      <c r="C155" s="1971"/>
      <c r="D155" s="1971"/>
      <c r="E155" s="899" t="s">
        <v>110</v>
      </c>
    </row>
    <row r="156" spans="1:5">
      <c r="A156" s="1971"/>
      <c r="B156" s="899" t="s">
        <v>111</v>
      </c>
      <c r="C156" s="1971"/>
      <c r="D156" s="1971"/>
      <c r="E156" s="899" t="s">
        <v>111</v>
      </c>
    </row>
    <row r="157" spans="1:5">
      <c r="A157" s="1971"/>
      <c r="B157" s="899" t="s">
        <v>112</v>
      </c>
      <c r="C157" s="1971"/>
      <c r="D157" s="1971"/>
      <c r="E157" s="899" t="s">
        <v>112</v>
      </c>
    </row>
    <row r="158" spans="1:5">
      <c r="A158" s="1971"/>
      <c r="B158" s="899" t="s">
        <v>113</v>
      </c>
      <c r="C158" s="1971"/>
      <c r="D158" s="1971"/>
      <c r="E158" s="899" t="s">
        <v>113</v>
      </c>
    </row>
    <row r="159" spans="1:5">
      <c r="A159" s="1971"/>
      <c r="B159" s="899" t="s">
        <v>114</v>
      </c>
      <c r="C159" s="1971"/>
      <c r="D159" s="1971"/>
      <c r="E159" s="899" t="s">
        <v>114</v>
      </c>
    </row>
    <row r="160" spans="1:5">
      <c r="A160" s="1971"/>
      <c r="B160" s="899" t="s">
        <v>56</v>
      </c>
      <c r="C160" s="1971"/>
      <c r="D160" s="1971"/>
      <c r="E160" s="899" t="s">
        <v>56</v>
      </c>
    </row>
    <row r="161" spans="1:5">
      <c r="A161" s="1971"/>
      <c r="B161" s="899" t="s">
        <v>115</v>
      </c>
      <c r="C161" s="1971"/>
      <c r="D161" s="1971"/>
      <c r="E161" s="899" t="s">
        <v>115</v>
      </c>
    </row>
    <row r="162" spans="1:5">
      <c r="A162" s="1971"/>
      <c r="B162" s="899" t="s">
        <v>116</v>
      </c>
      <c r="C162" s="1971"/>
      <c r="D162" s="1971"/>
      <c r="E162" s="899" t="s">
        <v>116</v>
      </c>
    </row>
    <row r="163" spans="1:5">
      <c r="A163" s="1971"/>
      <c r="B163" s="899" t="s">
        <v>117</v>
      </c>
      <c r="C163" s="1971"/>
      <c r="D163" s="1971"/>
      <c r="E163" s="899" t="s">
        <v>118</v>
      </c>
    </row>
    <row r="164" spans="1:5">
      <c r="A164" s="1971"/>
      <c r="B164" s="899" t="s">
        <v>119</v>
      </c>
      <c r="C164" s="1971"/>
      <c r="D164" s="1971"/>
      <c r="E164" s="899"/>
    </row>
    <row r="165" spans="1:5">
      <c r="A165" s="1971"/>
      <c r="B165" s="899" t="s">
        <v>120</v>
      </c>
      <c r="C165" s="1971"/>
      <c r="D165" s="1971"/>
      <c r="E165" s="899" t="s">
        <v>120</v>
      </c>
    </row>
    <row r="166" spans="1:5">
      <c r="A166" s="1971"/>
      <c r="B166" s="952" t="s">
        <v>121</v>
      </c>
      <c r="C166" s="1971"/>
      <c r="D166" s="1971"/>
      <c r="E166" s="899" t="s">
        <v>122</v>
      </c>
    </row>
    <row r="167" spans="1:5">
      <c r="A167" s="1971"/>
      <c r="B167" s="1096" t="s">
        <v>66</v>
      </c>
      <c r="C167" s="1971"/>
      <c r="D167" s="1971"/>
      <c r="E167" s="952" t="s">
        <v>121</v>
      </c>
    </row>
    <row r="168" spans="1:5">
      <c r="A168" s="1971"/>
      <c r="B168" s="1971"/>
      <c r="C168" s="1971"/>
      <c r="D168" s="1971"/>
      <c r="E168" s="1096" t="s">
        <v>66</v>
      </c>
    </row>
    <row r="170" spans="1:5">
      <c r="A170" s="1971" t="s">
        <v>123</v>
      </c>
      <c r="B170" s="280" t="s">
        <v>1</v>
      </c>
      <c r="C170" s="1971"/>
      <c r="D170" s="1971"/>
      <c r="E170" s="1971"/>
    </row>
    <row r="171" spans="1:5">
      <c r="A171" s="1971"/>
      <c r="B171" s="669" t="s">
        <v>124</v>
      </c>
      <c r="C171" s="1971"/>
      <c r="D171" s="1971"/>
      <c r="E171" s="1971"/>
    </row>
    <row r="172" spans="1:5">
      <c r="A172" s="1971"/>
      <c r="B172" s="668" t="s">
        <v>125</v>
      </c>
      <c r="C172" s="1971"/>
      <c r="D172" s="1971"/>
      <c r="E172" s="1971"/>
    </row>
    <row r="175" spans="1:5">
      <c r="A175" s="1971" t="s">
        <v>126</v>
      </c>
      <c r="B175" s="665" t="s">
        <v>1</v>
      </c>
      <c r="C175" s="1971"/>
      <c r="D175" s="1971"/>
      <c r="E175" s="1971"/>
    </row>
    <row r="176" spans="1:5">
      <c r="A176" s="1971"/>
      <c r="B176" s="672" t="s">
        <v>127</v>
      </c>
      <c r="C176" s="1971"/>
      <c r="D176" s="1971"/>
      <c r="E176" s="1971"/>
    </row>
    <row r="177" spans="2:2">
      <c r="B177" s="891" t="s">
        <v>128</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93"/>
  <sheetViews>
    <sheetView topLeftCell="C1" workbookViewId="0" xr3:uid="{958C4451-9541-5A59-BF78-D2F731DF1C81}">
      <pane ySplit="1" topLeftCell="A2" activePane="bottomLeft" state="frozen"/>
      <selection pane="bottomLeft" activeCell="C85" sqref="C85"/>
      <selection activeCell="C85" sqref="C85"/>
    </sheetView>
  </sheetViews>
  <sheetFormatPr defaultColWidth="9.140625" defaultRowHeight="14.45"/>
  <cols>
    <col min="1" max="1" width="8.85546875" style="315" bestFit="1" customWidth="1"/>
    <col min="2" max="2" width="32.28515625" style="315" bestFit="1" customWidth="1"/>
    <col min="3" max="3" width="8.85546875" style="315" customWidth="1"/>
    <col min="4" max="4" width="17" style="315" bestFit="1" customWidth="1"/>
    <col min="5" max="5" width="9.140625" style="1251"/>
    <col min="6" max="6" width="8.85546875" style="315" bestFit="1" customWidth="1"/>
    <col min="7" max="7" width="41.140625" style="315" customWidth="1"/>
    <col min="8" max="8" width="9.140625" style="315"/>
    <col min="9" max="9" width="18.28515625" style="315" bestFit="1" customWidth="1"/>
    <col min="10" max="10" width="49.85546875" style="315" bestFit="1" customWidth="1"/>
    <col min="11" max="16384" width="9.140625" style="315"/>
  </cols>
  <sheetData>
    <row r="1" spans="1:10">
      <c r="A1" s="1250" t="s">
        <v>129</v>
      </c>
      <c r="B1" s="1250" t="s">
        <v>130</v>
      </c>
      <c r="C1" s="1250" t="s">
        <v>131</v>
      </c>
      <c r="D1" s="1250" t="s">
        <v>132</v>
      </c>
      <c r="E1" s="1251" t="s">
        <v>133</v>
      </c>
      <c r="F1" s="1252" t="s">
        <v>129</v>
      </c>
      <c r="G1" s="1253" t="s">
        <v>134</v>
      </c>
      <c r="H1" s="1973" t="s">
        <v>131</v>
      </c>
      <c r="I1" s="1973" t="s">
        <v>132</v>
      </c>
      <c r="J1" s="1177" t="s">
        <v>135</v>
      </c>
    </row>
    <row r="2" spans="1:10">
      <c r="A2" s="1254">
        <v>1.1000000000000001</v>
      </c>
      <c r="B2" s="1255" t="s">
        <v>136</v>
      </c>
      <c r="C2" s="1250" t="s">
        <v>137</v>
      </c>
      <c r="D2" s="1250" t="s">
        <v>87</v>
      </c>
      <c r="E2" s="1251">
        <v>1</v>
      </c>
      <c r="F2" s="1252" t="s">
        <v>138</v>
      </c>
      <c r="G2" s="1256" t="s">
        <v>136</v>
      </c>
      <c r="H2" s="1177" t="s">
        <v>139</v>
      </c>
      <c r="I2" s="1177" t="s">
        <v>87</v>
      </c>
      <c r="J2" s="1257" t="s">
        <v>140</v>
      </c>
    </row>
    <row r="3" spans="1:10">
      <c r="A3" s="1258">
        <v>1.2</v>
      </c>
      <c r="B3" s="1259" t="s">
        <v>141</v>
      </c>
      <c r="C3" s="1250" t="s">
        <v>137</v>
      </c>
      <c r="D3" s="1250" t="s">
        <v>87</v>
      </c>
      <c r="E3" s="1251">
        <v>2</v>
      </c>
      <c r="F3" s="1252" t="s">
        <v>142</v>
      </c>
      <c r="G3" s="1256" t="s">
        <v>143</v>
      </c>
      <c r="H3" s="1177" t="s">
        <v>139</v>
      </c>
      <c r="I3" s="1177" t="s">
        <v>87</v>
      </c>
      <c r="J3" s="1257" t="s">
        <v>144</v>
      </c>
    </row>
    <row r="4" spans="1:10">
      <c r="A4" s="1260">
        <v>2.1</v>
      </c>
      <c r="B4" s="1255" t="s">
        <v>136</v>
      </c>
      <c r="C4" s="1250" t="s">
        <v>137</v>
      </c>
      <c r="D4" s="1250" t="s">
        <v>87</v>
      </c>
      <c r="E4" s="1251">
        <v>3</v>
      </c>
      <c r="F4" s="1252">
        <v>1.2</v>
      </c>
      <c r="G4" s="1256" t="s">
        <v>145</v>
      </c>
      <c r="H4" s="1177" t="s">
        <v>139</v>
      </c>
      <c r="I4" s="1177" t="s">
        <v>87</v>
      </c>
      <c r="J4" s="1257" t="s">
        <v>146</v>
      </c>
    </row>
    <row r="5" spans="1:10">
      <c r="A5" s="1261">
        <v>2.2000000000000002</v>
      </c>
      <c r="B5" s="1262" t="s">
        <v>147</v>
      </c>
      <c r="C5" s="1250" t="s">
        <v>137</v>
      </c>
      <c r="D5" s="1250" t="s">
        <v>87</v>
      </c>
      <c r="E5" s="1251">
        <v>4</v>
      </c>
      <c r="F5" s="1252" t="s">
        <v>148</v>
      </c>
      <c r="G5" s="1256" t="s">
        <v>136</v>
      </c>
      <c r="H5" s="1177" t="s">
        <v>139</v>
      </c>
      <c r="I5" s="1177" t="s">
        <v>87</v>
      </c>
      <c r="J5" s="1257" t="s">
        <v>140</v>
      </c>
    </row>
    <row r="6" spans="1:10">
      <c r="A6" s="1261">
        <v>2.2999999999999998</v>
      </c>
      <c r="B6" s="1262" t="s">
        <v>136</v>
      </c>
      <c r="C6" s="1250" t="s">
        <v>137</v>
      </c>
      <c r="D6" s="1250" t="s">
        <v>87</v>
      </c>
      <c r="E6" s="1251">
        <v>5</v>
      </c>
      <c r="F6" s="1252" t="s">
        <v>149</v>
      </c>
      <c r="G6" s="1263" t="s">
        <v>150</v>
      </c>
      <c r="H6" s="1177" t="s">
        <v>139</v>
      </c>
      <c r="I6" s="1177" t="s">
        <v>87</v>
      </c>
      <c r="J6" s="1257" t="s">
        <v>151</v>
      </c>
    </row>
    <row r="7" spans="1:10">
      <c r="A7" s="1261">
        <v>2.4</v>
      </c>
      <c r="B7" s="1262" t="s">
        <v>152</v>
      </c>
      <c r="C7" s="1250" t="s">
        <v>137</v>
      </c>
      <c r="D7" s="1250" t="s">
        <v>87</v>
      </c>
      <c r="E7" s="1251">
        <v>6</v>
      </c>
      <c r="F7" s="1264">
        <v>1.4</v>
      </c>
      <c r="G7" s="1263" t="s">
        <v>153</v>
      </c>
      <c r="H7" s="1177" t="s">
        <v>139</v>
      </c>
      <c r="I7" s="1177" t="s">
        <v>87</v>
      </c>
      <c r="J7" s="1257" t="s">
        <v>154</v>
      </c>
    </row>
    <row r="8" spans="1:10">
      <c r="A8" s="1261">
        <v>2.5</v>
      </c>
      <c r="B8" s="1262" t="s">
        <v>155</v>
      </c>
      <c r="C8" s="1250" t="s">
        <v>137</v>
      </c>
      <c r="D8" s="1250" t="s">
        <v>87</v>
      </c>
      <c r="E8" s="1251">
        <v>7</v>
      </c>
      <c r="F8" s="1264">
        <v>2.1</v>
      </c>
      <c r="G8" s="1256" t="s">
        <v>136</v>
      </c>
      <c r="H8" s="1177" t="s">
        <v>139</v>
      </c>
      <c r="I8" s="1177" t="s">
        <v>87</v>
      </c>
      <c r="J8" s="1257" t="s">
        <v>140</v>
      </c>
    </row>
    <row r="9" spans="1:10">
      <c r="A9" s="1261">
        <v>2.6</v>
      </c>
      <c r="B9" s="1262" t="s">
        <v>156</v>
      </c>
      <c r="C9" s="1250" t="s">
        <v>137</v>
      </c>
      <c r="D9" s="1250" t="s">
        <v>87</v>
      </c>
      <c r="E9" s="1251">
        <v>8</v>
      </c>
      <c r="F9" s="1264">
        <v>2.2000000000000002</v>
      </c>
      <c r="G9" s="1256" t="s">
        <v>136</v>
      </c>
      <c r="H9" s="1177" t="s">
        <v>139</v>
      </c>
      <c r="I9" s="1177" t="s">
        <v>87</v>
      </c>
      <c r="J9" s="1257" t="s">
        <v>140</v>
      </c>
    </row>
    <row r="10" spans="1:10">
      <c r="A10" s="1265" t="s">
        <v>157</v>
      </c>
      <c r="B10" s="1262" t="s">
        <v>57</v>
      </c>
      <c r="C10" s="1250" t="s">
        <v>137</v>
      </c>
      <c r="D10" s="1250" t="s">
        <v>87</v>
      </c>
      <c r="E10" s="1251">
        <v>9</v>
      </c>
      <c r="F10" s="1264">
        <v>2.2999999999999998</v>
      </c>
      <c r="G10" s="1256" t="s">
        <v>136</v>
      </c>
      <c r="H10" s="1177" t="s">
        <v>139</v>
      </c>
      <c r="I10" s="1177" t="s">
        <v>87</v>
      </c>
      <c r="J10" s="1257" t="s">
        <v>140</v>
      </c>
    </row>
    <row r="11" spans="1:10">
      <c r="A11" s="1261" t="s">
        <v>158</v>
      </c>
      <c r="B11" s="1262" t="s">
        <v>159</v>
      </c>
      <c r="C11" s="1250" t="s">
        <v>137</v>
      </c>
      <c r="D11" s="1250" t="s">
        <v>87</v>
      </c>
      <c r="E11" s="1251">
        <v>10</v>
      </c>
      <c r="F11" s="1264">
        <v>2.4</v>
      </c>
      <c r="G11" s="1256" t="s">
        <v>152</v>
      </c>
      <c r="H11" s="1177" t="s">
        <v>139</v>
      </c>
      <c r="I11" s="1177" t="s">
        <v>87</v>
      </c>
      <c r="J11" s="1257" t="s">
        <v>160</v>
      </c>
    </row>
    <row r="12" spans="1:10">
      <c r="A12" s="1261">
        <v>2.8</v>
      </c>
      <c r="B12" s="1262" t="s">
        <v>161</v>
      </c>
      <c r="C12" s="1250" t="s">
        <v>137</v>
      </c>
      <c r="D12" s="1250" t="s">
        <v>87</v>
      </c>
      <c r="E12" s="1251">
        <v>11</v>
      </c>
      <c r="F12" s="1264">
        <v>2.5</v>
      </c>
      <c r="G12" s="1256" t="s">
        <v>162</v>
      </c>
      <c r="H12" s="1177" t="s">
        <v>139</v>
      </c>
      <c r="I12" s="1177" t="s">
        <v>87</v>
      </c>
      <c r="J12" s="1257" t="s">
        <v>163</v>
      </c>
    </row>
    <row r="13" spans="1:10">
      <c r="A13" s="1261">
        <v>2.9</v>
      </c>
      <c r="B13" s="1262" t="s">
        <v>164</v>
      </c>
      <c r="C13" s="1250" t="s">
        <v>137</v>
      </c>
      <c r="D13" s="1250" t="s">
        <v>87</v>
      </c>
      <c r="E13" s="1251">
        <v>12</v>
      </c>
      <c r="F13" s="1264">
        <v>2.6</v>
      </c>
      <c r="G13" s="1256" t="s">
        <v>136</v>
      </c>
      <c r="H13" s="1177" t="s">
        <v>139</v>
      </c>
      <c r="I13" s="1177" t="s">
        <v>87</v>
      </c>
      <c r="J13" s="1257" t="s">
        <v>140</v>
      </c>
    </row>
    <row r="14" spans="1:10">
      <c r="A14" s="1266" t="s">
        <v>165</v>
      </c>
      <c r="B14" s="1259" t="s">
        <v>156</v>
      </c>
      <c r="C14" s="1250" t="s">
        <v>137</v>
      </c>
      <c r="D14" s="1250" t="s">
        <v>87</v>
      </c>
      <c r="E14" s="1251">
        <v>13</v>
      </c>
      <c r="F14" s="1134" t="s">
        <v>166</v>
      </c>
      <c r="G14" s="1256" t="s">
        <v>136</v>
      </c>
      <c r="H14" s="1177" t="s">
        <v>139</v>
      </c>
      <c r="I14" s="1177" t="s">
        <v>87</v>
      </c>
      <c r="J14" s="1257" t="s">
        <v>140</v>
      </c>
    </row>
    <row r="15" spans="1:10">
      <c r="A15" s="1260" t="s">
        <v>167</v>
      </c>
      <c r="B15" s="1255" t="s">
        <v>136</v>
      </c>
      <c r="C15" s="1250" t="s">
        <v>137</v>
      </c>
      <c r="D15" s="1250" t="s">
        <v>87</v>
      </c>
      <c r="E15" s="1251">
        <v>14</v>
      </c>
      <c r="F15" s="1252" t="s">
        <v>168</v>
      </c>
      <c r="G15" s="1256" t="s">
        <v>169</v>
      </c>
      <c r="H15" s="1177" t="s">
        <v>139</v>
      </c>
      <c r="I15" s="1177" t="s">
        <v>87</v>
      </c>
      <c r="J15" s="1257" t="s">
        <v>170</v>
      </c>
    </row>
    <row r="16" spans="1:10">
      <c r="A16" s="1261" t="s">
        <v>171</v>
      </c>
      <c r="B16" s="1262" t="s">
        <v>136</v>
      </c>
      <c r="C16" s="1250" t="s">
        <v>137</v>
      </c>
      <c r="D16" s="1250" t="s">
        <v>87</v>
      </c>
      <c r="E16" s="1251">
        <v>15</v>
      </c>
      <c r="F16" s="1264">
        <v>2.8</v>
      </c>
      <c r="G16" s="1256" t="s">
        <v>147</v>
      </c>
      <c r="H16" s="1177" t="s">
        <v>139</v>
      </c>
      <c r="I16" s="1177" t="s">
        <v>87</v>
      </c>
      <c r="J16" s="1257" t="s">
        <v>172</v>
      </c>
    </row>
    <row r="17" spans="1:10">
      <c r="A17" s="1261" t="s">
        <v>173</v>
      </c>
      <c r="B17" s="1267" t="s">
        <v>174</v>
      </c>
      <c r="C17" s="1250" t="s">
        <v>137</v>
      </c>
      <c r="D17" s="1250" t="s">
        <v>87</v>
      </c>
      <c r="E17" s="1251">
        <v>16</v>
      </c>
      <c r="F17" s="1264">
        <v>2.9</v>
      </c>
      <c r="G17" s="1256" t="s">
        <v>152</v>
      </c>
      <c r="H17" s="1177" t="s">
        <v>139</v>
      </c>
      <c r="I17" s="1177" t="s">
        <v>87</v>
      </c>
      <c r="J17" s="1257" t="s">
        <v>160</v>
      </c>
    </row>
    <row r="18" spans="1:10">
      <c r="A18" s="1261" t="s">
        <v>175</v>
      </c>
      <c r="B18" s="1262" t="s">
        <v>152</v>
      </c>
      <c r="C18" s="1250" t="s">
        <v>137</v>
      </c>
      <c r="D18" s="1250" t="s">
        <v>87</v>
      </c>
      <c r="E18" s="1251">
        <v>17</v>
      </c>
      <c r="F18" s="1268" t="s">
        <v>165</v>
      </c>
      <c r="G18" s="1256" t="s">
        <v>156</v>
      </c>
      <c r="H18" s="1177" t="s">
        <v>139</v>
      </c>
      <c r="I18" s="1177" t="s">
        <v>87</v>
      </c>
      <c r="J18" s="1257" t="s">
        <v>176</v>
      </c>
    </row>
    <row r="19" spans="1:10">
      <c r="A19" s="1261" t="s">
        <v>177</v>
      </c>
      <c r="B19" s="1262" t="s">
        <v>178</v>
      </c>
      <c r="C19" s="1250" t="s">
        <v>137</v>
      </c>
      <c r="D19" s="1250" t="s">
        <v>87</v>
      </c>
      <c r="E19" s="1251">
        <v>18</v>
      </c>
      <c r="F19" s="1264">
        <v>3.1</v>
      </c>
      <c r="G19" s="1256" t="s">
        <v>136</v>
      </c>
      <c r="H19" s="1177" t="s">
        <v>139</v>
      </c>
      <c r="I19" s="1177" t="s">
        <v>87</v>
      </c>
      <c r="J19" s="1257" t="s">
        <v>140</v>
      </c>
    </row>
    <row r="20" spans="1:10">
      <c r="A20" s="1261" t="s">
        <v>179</v>
      </c>
      <c r="B20" s="1267" t="s">
        <v>180</v>
      </c>
      <c r="C20" s="1269" t="s">
        <v>137</v>
      </c>
      <c r="D20" s="1269" t="s">
        <v>87</v>
      </c>
      <c r="E20" s="1251">
        <v>19</v>
      </c>
      <c r="F20" s="1252">
        <v>3.2</v>
      </c>
      <c r="G20" s="1256" t="s">
        <v>136</v>
      </c>
      <c r="H20" s="1177" t="s">
        <v>139</v>
      </c>
      <c r="I20" s="1177" t="s">
        <v>87</v>
      </c>
      <c r="J20" s="1257" t="s">
        <v>140</v>
      </c>
    </row>
    <row r="21" spans="1:10">
      <c r="A21" s="1261" t="s">
        <v>181</v>
      </c>
      <c r="B21" s="1262" t="s">
        <v>182</v>
      </c>
      <c r="C21" s="1250" t="s">
        <v>137</v>
      </c>
      <c r="D21" s="1250" t="s">
        <v>87</v>
      </c>
      <c r="E21" s="1251">
        <v>20</v>
      </c>
      <c r="F21" s="1252" t="s">
        <v>183</v>
      </c>
      <c r="G21" s="1256" t="s">
        <v>184</v>
      </c>
      <c r="H21" s="1177" t="s">
        <v>139</v>
      </c>
      <c r="I21" s="1177" t="s">
        <v>87</v>
      </c>
      <c r="J21" s="1257" t="s">
        <v>185</v>
      </c>
    </row>
    <row r="22" spans="1:10">
      <c r="A22" s="1261" t="s">
        <v>186</v>
      </c>
      <c r="B22" s="1259" t="s">
        <v>136</v>
      </c>
      <c r="C22" s="1250" t="s">
        <v>137</v>
      </c>
      <c r="D22" s="1250" t="s">
        <v>87</v>
      </c>
      <c r="E22" s="1251">
        <v>21</v>
      </c>
      <c r="F22" s="1252" t="s">
        <v>187</v>
      </c>
      <c r="G22" s="1256" t="s">
        <v>152</v>
      </c>
      <c r="H22" s="1177" t="s">
        <v>139</v>
      </c>
      <c r="I22" s="1177" t="s">
        <v>87</v>
      </c>
      <c r="J22" s="1257" t="s">
        <v>160</v>
      </c>
    </row>
    <row r="23" spans="1:10">
      <c r="A23" s="1270" t="s">
        <v>188</v>
      </c>
      <c r="B23" s="1271" t="s">
        <v>136</v>
      </c>
      <c r="C23" s="1250" t="s">
        <v>137</v>
      </c>
      <c r="D23" s="1250" t="s">
        <v>87</v>
      </c>
      <c r="E23" s="1251">
        <v>22</v>
      </c>
      <c r="F23" s="1252" t="s">
        <v>189</v>
      </c>
      <c r="G23" s="1256" t="s">
        <v>190</v>
      </c>
      <c r="H23" s="1177" t="s">
        <v>139</v>
      </c>
      <c r="I23" s="1177" t="s">
        <v>87</v>
      </c>
      <c r="J23" s="1257" t="s">
        <v>191</v>
      </c>
    </row>
    <row r="24" spans="1:10">
      <c r="A24" s="1272" t="s">
        <v>192</v>
      </c>
      <c r="B24" s="1273" t="s">
        <v>182</v>
      </c>
      <c r="C24" s="1269" t="s">
        <v>137</v>
      </c>
      <c r="D24" s="1250" t="s">
        <v>87</v>
      </c>
      <c r="E24" s="1251">
        <v>23</v>
      </c>
      <c r="F24" s="1274">
        <v>3.4</v>
      </c>
      <c r="G24" s="1263" t="s">
        <v>193</v>
      </c>
      <c r="H24" s="1177" t="s">
        <v>139</v>
      </c>
      <c r="I24" s="1177" t="s">
        <v>87</v>
      </c>
      <c r="J24" s="1257" t="s">
        <v>185</v>
      </c>
    </row>
    <row r="25" spans="1:10">
      <c r="A25" s="1272" t="s">
        <v>194</v>
      </c>
      <c r="B25" s="1275" t="s">
        <v>195</v>
      </c>
      <c r="C25" s="1269" t="s">
        <v>137</v>
      </c>
      <c r="D25" s="1250" t="s">
        <v>87</v>
      </c>
      <c r="E25" s="1251">
        <v>24</v>
      </c>
      <c r="F25" s="1264">
        <v>3.5</v>
      </c>
      <c r="G25" s="1256" t="s">
        <v>196</v>
      </c>
      <c r="H25" s="1177" t="s">
        <v>139</v>
      </c>
      <c r="I25" s="1177" t="s">
        <v>87</v>
      </c>
      <c r="J25" s="1257" t="s">
        <v>197</v>
      </c>
    </row>
    <row r="26" spans="1:10">
      <c r="A26" s="1276" t="s">
        <v>198</v>
      </c>
      <c r="B26" s="1277" t="s">
        <v>136</v>
      </c>
      <c r="C26" s="1269" t="s">
        <v>137</v>
      </c>
      <c r="D26" s="1250" t="s">
        <v>87</v>
      </c>
      <c r="E26" s="1251">
        <v>25</v>
      </c>
      <c r="F26" s="1264">
        <v>3.6</v>
      </c>
      <c r="G26" s="1256" t="s">
        <v>136</v>
      </c>
      <c r="H26" s="1177" t="s">
        <v>139</v>
      </c>
      <c r="I26" s="1177" t="s">
        <v>87</v>
      </c>
      <c r="J26" s="1257" t="s">
        <v>140</v>
      </c>
    </row>
    <row r="27" spans="1:10">
      <c r="A27" s="1278" t="s">
        <v>199</v>
      </c>
      <c r="B27" s="1279" t="s">
        <v>57</v>
      </c>
      <c r="C27" s="1250" t="s">
        <v>137</v>
      </c>
      <c r="D27" s="1250" t="s">
        <v>87</v>
      </c>
      <c r="E27" s="1251">
        <v>26</v>
      </c>
      <c r="F27" s="1252" t="s">
        <v>200</v>
      </c>
      <c r="G27" s="1256" t="s">
        <v>136</v>
      </c>
      <c r="H27" s="1177" t="s">
        <v>139</v>
      </c>
      <c r="I27" s="1177" t="s">
        <v>87</v>
      </c>
      <c r="J27" s="1257" t="s">
        <v>140</v>
      </c>
    </row>
    <row r="28" spans="1:10">
      <c r="A28" s="1280" t="s">
        <v>201</v>
      </c>
      <c r="B28" s="1279" t="s">
        <v>202</v>
      </c>
      <c r="C28" s="1250" t="s">
        <v>137</v>
      </c>
      <c r="D28" s="1250" t="s">
        <v>87</v>
      </c>
      <c r="E28" s="1251">
        <v>27</v>
      </c>
      <c r="F28" s="1252" t="s">
        <v>203</v>
      </c>
      <c r="G28" s="1256" t="s">
        <v>204</v>
      </c>
      <c r="H28" s="1177" t="s">
        <v>139</v>
      </c>
      <c r="I28" s="1177" t="s">
        <v>87</v>
      </c>
      <c r="J28" s="1257" t="s">
        <v>205</v>
      </c>
    </row>
    <row r="29" spans="1:10">
      <c r="A29" s="1278" t="s">
        <v>206</v>
      </c>
      <c r="B29" s="1279" t="s">
        <v>57</v>
      </c>
      <c r="C29" s="1269" t="s">
        <v>137</v>
      </c>
      <c r="D29" s="1250" t="s">
        <v>87</v>
      </c>
      <c r="E29" s="1251">
        <v>28</v>
      </c>
      <c r="F29" s="1264">
        <v>4.2</v>
      </c>
      <c r="G29" s="1256" t="s">
        <v>147</v>
      </c>
      <c r="H29" s="1177" t="s">
        <v>139</v>
      </c>
      <c r="I29" s="1177" t="s">
        <v>87</v>
      </c>
      <c r="J29" s="1257" t="s">
        <v>172</v>
      </c>
    </row>
    <row r="30" spans="1:10">
      <c r="A30" s="1280" t="s">
        <v>207</v>
      </c>
      <c r="B30" s="1279" t="s">
        <v>136</v>
      </c>
      <c r="C30" s="1269" t="s">
        <v>137</v>
      </c>
      <c r="D30" s="1250" t="s">
        <v>87</v>
      </c>
      <c r="E30" s="1251">
        <v>29</v>
      </c>
      <c r="F30" s="1264">
        <v>4.3</v>
      </c>
      <c r="G30" s="1256" t="s">
        <v>208</v>
      </c>
      <c r="H30" s="1177" t="s">
        <v>139</v>
      </c>
      <c r="I30" s="1177" t="s">
        <v>87</v>
      </c>
      <c r="J30" s="1257" t="s">
        <v>209</v>
      </c>
    </row>
    <row r="31" spans="1:10">
      <c r="A31" s="1280" t="s">
        <v>210</v>
      </c>
      <c r="B31" s="1281" t="s">
        <v>211</v>
      </c>
      <c r="C31" s="1269" t="s">
        <v>137</v>
      </c>
      <c r="D31" s="1250" t="s">
        <v>87</v>
      </c>
      <c r="E31" s="1251">
        <v>30</v>
      </c>
      <c r="F31" s="1264">
        <v>4.4000000000000004</v>
      </c>
      <c r="G31" s="1256" t="s">
        <v>212</v>
      </c>
      <c r="H31" s="1177" t="s">
        <v>139</v>
      </c>
      <c r="I31" s="1177" t="s">
        <v>87</v>
      </c>
      <c r="J31" s="1257" t="s">
        <v>213</v>
      </c>
    </row>
    <row r="32" spans="1:10">
      <c r="A32" s="1280" t="s">
        <v>214</v>
      </c>
      <c r="B32" s="1279" t="s">
        <v>156</v>
      </c>
      <c r="C32" s="1250" t="s">
        <v>137</v>
      </c>
      <c r="D32" s="1250" t="s">
        <v>87</v>
      </c>
      <c r="E32" s="1251">
        <v>31</v>
      </c>
      <c r="F32" s="1252" t="s">
        <v>215</v>
      </c>
      <c r="G32" s="1256" t="s">
        <v>136</v>
      </c>
      <c r="H32" s="1177" t="s">
        <v>139</v>
      </c>
      <c r="I32" s="1177" t="s">
        <v>87</v>
      </c>
      <c r="J32" s="1257" t="s">
        <v>140</v>
      </c>
    </row>
    <row r="33" spans="1:10">
      <c r="A33" s="1280" t="s">
        <v>216</v>
      </c>
      <c r="B33" s="1279" t="s">
        <v>136</v>
      </c>
      <c r="C33" s="1250" t="s">
        <v>137</v>
      </c>
      <c r="D33" s="1250" t="s">
        <v>87</v>
      </c>
      <c r="E33" s="1251">
        <v>32</v>
      </c>
      <c r="F33" s="1252" t="s">
        <v>217</v>
      </c>
      <c r="G33" s="1256" t="s">
        <v>57</v>
      </c>
      <c r="H33" s="1177" t="s">
        <v>139</v>
      </c>
      <c r="I33" s="1177" t="s">
        <v>87</v>
      </c>
      <c r="J33" s="1257" t="s">
        <v>57</v>
      </c>
    </row>
    <row r="34" spans="1:10">
      <c r="A34" s="1280" t="s">
        <v>218</v>
      </c>
      <c r="B34" s="1279" t="s">
        <v>136</v>
      </c>
      <c r="C34" s="1250" t="s">
        <v>137</v>
      </c>
      <c r="D34" s="1250" t="s">
        <v>87</v>
      </c>
      <c r="E34" s="1251">
        <v>33</v>
      </c>
      <c r="F34" s="1252" t="s">
        <v>219</v>
      </c>
      <c r="G34" s="1282" t="s">
        <v>220</v>
      </c>
      <c r="H34" s="1177" t="s">
        <v>139</v>
      </c>
      <c r="I34" s="1177" t="s">
        <v>87</v>
      </c>
      <c r="J34" s="1257" t="s">
        <v>221</v>
      </c>
    </row>
    <row r="35" spans="1:10">
      <c r="A35" s="1278" t="s">
        <v>222</v>
      </c>
      <c r="B35" s="1279" t="s">
        <v>57</v>
      </c>
      <c r="C35" s="1250" t="s">
        <v>137</v>
      </c>
      <c r="D35" s="1250" t="s">
        <v>87</v>
      </c>
      <c r="E35" s="1251">
        <v>34</v>
      </c>
      <c r="F35" s="1252" t="s">
        <v>223</v>
      </c>
      <c r="G35" s="1256" t="s">
        <v>57</v>
      </c>
      <c r="H35" s="1177" t="s">
        <v>139</v>
      </c>
      <c r="I35" s="1177" t="s">
        <v>87</v>
      </c>
      <c r="J35" s="1257" t="s">
        <v>57</v>
      </c>
    </row>
    <row r="36" spans="1:10">
      <c r="A36" s="1280" t="s">
        <v>224</v>
      </c>
      <c r="B36" s="1279" t="s">
        <v>225</v>
      </c>
      <c r="C36" s="1269" t="s">
        <v>137</v>
      </c>
      <c r="D36" s="1250" t="s">
        <v>87</v>
      </c>
      <c r="E36" s="1251">
        <v>35</v>
      </c>
      <c r="F36" s="1264">
        <v>5.3</v>
      </c>
      <c r="G36" s="1256" t="s">
        <v>226</v>
      </c>
      <c r="H36" s="1177" t="s">
        <v>139</v>
      </c>
      <c r="I36" s="1177" t="s">
        <v>87</v>
      </c>
      <c r="J36" s="1257" t="s">
        <v>227</v>
      </c>
    </row>
    <row r="37" spans="1:10">
      <c r="A37" s="1280" t="s">
        <v>228</v>
      </c>
      <c r="B37" s="1279" t="s">
        <v>229</v>
      </c>
      <c r="C37" s="1269" t="s">
        <v>137</v>
      </c>
      <c r="D37" s="1250" t="s">
        <v>87</v>
      </c>
      <c r="E37" s="1251">
        <v>36</v>
      </c>
      <c r="F37" s="1264">
        <v>5.4</v>
      </c>
      <c r="G37" s="1263" t="s">
        <v>230</v>
      </c>
      <c r="H37" s="1177" t="s">
        <v>139</v>
      </c>
      <c r="I37" s="1177" t="s">
        <v>87</v>
      </c>
      <c r="J37" s="1257" t="s">
        <v>185</v>
      </c>
    </row>
    <row r="38" spans="1:10">
      <c r="A38" s="1280" t="s">
        <v>231</v>
      </c>
      <c r="B38" s="1279" t="s">
        <v>232</v>
      </c>
      <c r="C38" s="1269" t="s">
        <v>137</v>
      </c>
      <c r="D38" s="1250" t="s">
        <v>87</v>
      </c>
      <c r="E38" s="1251">
        <v>37</v>
      </c>
      <c r="F38" s="1264">
        <v>5.5</v>
      </c>
      <c r="G38" s="1256" t="s">
        <v>156</v>
      </c>
      <c r="H38" s="1177" t="s">
        <v>139</v>
      </c>
      <c r="I38" s="1177" t="s">
        <v>87</v>
      </c>
      <c r="J38" s="1257" t="s">
        <v>176</v>
      </c>
    </row>
    <row r="39" spans="1:10">
      <c r="A39" s="1280" t="s">
        <v>233</v>
      </c>
      <c r="B39" s="1279" t="s">
        <v>136</v>
      </c>
      <c r="C39" s="1269" t="s">
        <v>137</v>
      </c>
      <c r="D39" s="1250" t="s">
        <v>87</v>
      </c>
      <c r="E39" s="1251">
        <v>38</v>
      </c>
      <c r="F39" s="1264">
        <v>5.6</v>
      </c>
      <c r="G39" s="1256" t="s">
        <v>136</v>
      </c>
      <c r="H39" s="1177" t="s">
        <v>139</v>
      </c>
      <c r="I39" s="1177" t="s">
        <v>87</v>
      </c>
      <c r="J39" s="1257" t="s">
        <v>140</v>
      </c>
    </row>
    <row r="40" spans="1:10">
      <c r="A40" s="1280" t="s">
        <v>234</v>
      </c>
      <c r="B40" s="1279" t="s">
        <v>235</v>
      </c>
      <c r="C40" s="1250" t="s">
        <v>137</v>
      </c>
      <c r="D40" s="1250" t="s">
        <v>87</v>
      </c>
      <c r="E40" s="1251">
        <v>39</v>
      </c>
      <c r="F40" s="1252" t="s">
        <v>236</v>
      </c>
      <c r="G40" s="1256" t="s">
        <v>136</v>
      </c>
      <c r="H40" s="1177" t="s">
        <v>139</v>
      </c>
      <c r="I40" s="1177" t="s">
        <v>87</v>
      </c>
      <c r="J40" s="1257" t="s">
        <v>140</v>
      </c>
    </row>
    <row r="41" spans="1:10">
      <c r="A41" s="1280">
        <v>5.1100000000000003</v>
      </c>
      <c r="B41" s="1279" t="s">
        <v>57</v>
      </c>
      <c r="C41" s="1250" t="s">
        <v>137</v>
      </c>
      <c r="D41" s="1250" t="s">
        <v>87</v>
      </c>
      <c r="E41" s="1251">
        <v>40</v>
      </c>
      <c r="F41" s="1252" t="s">
        <v>237</v>
      </c>
      <c r="G41" s="1256" t="s">
        <v>57</v>
      </c>
      <c r="H41" s="1177" t="s">
        <v>139</v>
      </c>
      <c r="I41" s="1177" t="s">
        <v>87</v>
      </c>
      <c r="J41" s="1257" t="s">
        <v>57</v>
      </c>
    </row>
    <row r="42" spans="1:10">
      <c r="A42" s="1280">
        <v>5.12</v>
      </c>
      <c r="B42" s="1279" t="s">
        <v>57</v>
      </c>
      <c r="C42" s="1250" t="s">
        <v>137</v>
      </c>
      <c r="D42" s="1250" t="s">
        <v>87</v>
      </c>
      <c r="E42" s="1251">
        <v>41</v>
      </c>
      <c r="F42" s="1252" t="s">
        <v>238</v>
      </c>
      <c r="G42" s="1256" t="s">
        <v>57</v>
      </c>
      <c r="H42" s="1177" t="s">
        <v>139</v>
      </c>
      <c r="I42" s="1177" t="s">
        <v>87</v>
      </c>
      <c r="J42" s="1257" t="s">
        <v>57</v>
      </c>
    </row>
    <row r="43" spans="1:10">
      <c r="A43" s="1283">
        <v>5.13</v>
      </c>
      <c r="B43" s="1284" t="s">
        <v>57</v>
      </c>
      <c r="C43" s="1250" t="s">
        <v>137</v>
      </c>
      <c r="D43" s="1250" t="s">
        <v>87</v>
      </c>
      <c r="E43" s="1251">
        <v>42</v>
      </c>
      <c r="F43" s="1252" t="s">
        <v>239</v>
      </c>
      <c r="G43" s="1256" t="s">
        <v>229</v>
      </c>
      <c r="H43" s="1177" t="s">
        <v>139</v>
      </c>
      <c r="I43" s="1177" t="s">
        <v>87</v>
      </c>
      <c r="J43" s="1257" t="s">
        <v>240</v>
      </c>
    </row>
    <row r="44" spans="1:10">
      <c r="A44" s="1276" t="s">
        <v>241</v>
      </c>
      <c r="B44" s="1277" t="s">
        <v>136</v>
      </c>
      <c r="C44" s="1250" t="s">
        <v>137</v>
      </c>
      <c r="D44" s="1250" t="s">
        <v>87</v>
      </c>
      <c r="E44" s="1251">
        <v>43</v>
      </c>
      <c r="F44" s="1252" t="s">
        <v>242</v>
      </c>
      <c r="G44" s="1256" t="s">
        <v>57</v>
      </c>
      <c r="H44" s="1177" t="s">
        <v>139</v>
      </c>
      <c r="I44" s="1177" t="s">
        <v>87</v>
      </c>
      <c r="J44" s="1257" t="s">
        <v>57</v>
      </c>
    </row>
    <row r="45" spans="1:10">
      <c r="A45" s="1280" t="s">
        <v>243</v>
      </c>
      <c r="B45" s="1279" t="s">
        <v>136</v>
      </c>
      <c r="C45" s="1269" t="s">
        <v>137</v>
      </c>
      <c r="D45" s="1250" t="s">
        <v>87</v>
      </c>
      <c r="E45" s="1251">
        <v>44</v>
      </c>
      <c r="F45" s="1264">
        <v>5.9</v>
      </c>
      <c r="G45" s="1256" t="s">
        <v>136</v>
      </c>
      <c r="H45" s="1177" t="s">
        <v>139</v>
      </c>
      <c r="I45" s="1177" t="s">
        <v>87</v>
      </c>
      <c r="J45" s="1257" t="s">
        <v>140</v>
      </c>
    </row>
    <row r="46" spans="1:10">
      <c r="A46" s="1280" t="s">
        <v>244</v>
      </c>
      <c r="B46" s="1279" t="s">
        <v>178</v>
      </c>
      <c r="C46" s="1269" t="s">
        <v>137</v>
      </c>
      <c r="D46" s="1250" t="s">
        <v>87</v>
      </c>
      <c r="E46" s="1251">
        <v>45</v>
      </c>
      <c r="F46" s="1268" t="s">
        <v>234</v>
      </c>
      <c r="G46" s="1256" t="s">
        <v>57</v>
      </c>
      <c r="H46" s="1177" t="s">
        <v>139</v>
      </c>
      <c r="I46" s="1177" t="s">
        <v>87</v>
      </c>
      <c r="J46" s="1257" t="s">
        <v>57</v>
      </c>
    </row>
    <row r="47" spans="1:10">
      <c r="A47" s="1280" t="s">
        <v>245</v>
      </c>
      <c r="B47" s="1279" t="s">
        <v>246</v>
      </c>
      <c r="C47" s="1269" t="s">
        <v>137</v>
      </c>
      <c r="D47" s="1250" t="s">
        <v>87</v>
      </c>
      <c r="E47" s="1251">
        <v>46</v>
      </c>
      <c r="F47" s="1264">
        <v>5.1100000000000003</v>
      </c>
      <c r="G47" s="1256" t="s">
        <v>57</v>
      </c>
      <c r="H47" s="1177" t="s">
        <v>139</v>
      </c>
      <c r="I47" s="1177" t="s">
        <v>87</v>
      </c>
      <c r="J47" s="1257" t="s">
        <v>57</v>
      </c>
    </row>
    <row r="48" spans="1:10">
      <c r="A48" s="1280" t="s">
        <v>247</v>
      </c>
      <c r="B48" s="1279" t="s">
        <v>178</v>
      </c>
      <c r="C48" s="1269" t="s">
        <v>137</v>
      </c>
      <c r="D48" s="1250" t="s">
        <v>87</v>
      </c>
      <c r="E48" s="1251">
        <v>47</v>
      </c>
      <c r="F48" s="1264">
        <v>5.12</v>
      </c>
      <c r="G48" s="1256" t="s">
        <v>57</v>
      </c>
      <c r="H48" s="1177" t="s">
        <v>139</v>
      </c>
      <c r="I48" s="1177" t="s">
        <v>87</v>
      </c>
      <c r="J48" s="1257" t="s">
        <v>57</v>
      </c>
    </row>
    <row r="49" spans="1:10">
      <c r="A49" s="1280" t="s">
        <v>248</v>
      </c>
      <c r="B49" s="1279" t="s">
        <v>178</v>
      </c>
      <c r="C49" s="1269" t="s">
        <v>137</v>
      </c>
      <c r="D49" s="1250" t="s">
        <v>87</v>
      </c>
      <c r="E49" s="1251">
        <v>48</v>
      </c>
      <c r="F49" s="1264">
        <v>5.13</v>
      </c>
      <c r="G49" s="1256" t="s">
        <v>57</v>
      </c>
      <c r="H49" s="1177" t="s">
        <v>139</v>
      </c>
      <c r="I49" s="1177" t="s">
        <v>87</v>
      </c>
      <c r="J49" s="1257" t="s">
        <v>57</v>
      </c>
    </row>
    <row r="50" spans="1:10">
      <c r="A50" s="1280" t="s">
        <v>249</v>
      </c>
      <c r="B50" s="1279" t="s">
        <v>152</v>
      </c>
      <c r="C50" s="1269" t="s">
        <v>137</v>
      </c>
      <c r="D50" s="1250" t="s">
        <v>87</v>
      </c>
      <c r="E50" s="1251">
        <v>49</v>
      </c>
      <c r="F50" s="1264">
        <v>6.1</v>
      </c>
      <c r="G50" s="1256" t="s">
        <v>136</v>
      </c>
      <c r="H50" s="1177" t="s">
        <v>139</v>
      </c>
      <c r="I50" s="1177" t="s">
        <v>87</v>
      </c>
      <c r="J50" s="1257" t="s">
        <v>140</v>
      </c>
    </row>
    <row r="51" spans="1:10">
      <c r="A51" s="1280" t="s">
        <v>250</v>
      </c>
      <c r="B51" s="1279" t="s">
        <v>152</v>
      </c>
      <c r="C51" s="1269" t="s">
        <v>137</v>
      </c>
      <c r="D51" s="1250" t="s">
        <v>87</v>
      </c>
      <c r="E51" s="1251">
        <v>50</v>
      </c>
      <c r="F51" s="1264">
        <v>6.2</v>
      </c>
      <c r="G51" s="1256" t="s">
        <v>136</v>
      </c>
      <c r="H51" s="1177" t="s">
        <v>139</v>
      </c>
      <c r="I51" s="1177" t="s">
        <v>87</v>
      </c>
      <c r="J51" s="1257" t="s">
        <v>140</v>
      </c>
    </row>
    <row r="52" spans="1:10">
      <c r="A52" s="1283" t="s">
        <v>251</v>
      </c>
      <c r="B52" s="1284" t="s">
        <v>252</v>
      </c>
      <c r="C52" s="1269" t="s">
        <v>137</v>
      </c>
      <c r="D52" s="1250" t="s">
        <v>87</v>
      </c>
      <c r="E52" s="1251">
        <v>51</v>
      </c>
      <c r="F52" s="1264">
        <v>6.3</v>
      </c>
      <c r="G52" s="1256" t="s">
        <v>190</v>
      </c>
      <c r="H52" s="1177" t="s">
        <v>139</v>
      </c>
      <c r="I52" s="1177" t="s">
        <v>87</v>
      </c>
      <c r="J52" s="1285" t="s">
        <v>191</v>
      </c>
    </row>
    <row r="53" spans="1:10">
      <c r="A53" s="1276" t="s">
        <v>253</v>
      </c>
      <c r="B53" s="1277" t="s">
        <v>136</v>
      </c>
      <c r="C53" s="1269" t="s">
        <v>137</v>
      </c>
      <c r="D53" s="1250" t="s">
        <v>87</v>
      </c>
      <c r="E53" s="1251">
        <v>52</v>
      </c>
      <c r="F53" s="1264">
        <v>6.4</v>
      </c>
      <c r="G53" s="1263" t="s">
        <v>254</v>
      </c>
      <c r="H53" s="1177" t="s">
        <v>139</v>
      </c>
      <c r="I53" s="1177" t="s">
        <v>87</v>
      </c>
      <c r="J53" s="1257" t="s">
        <v>255</v>
      </c>
    </row>
    <row r="54" spans="1:10">
      <c r="A54" s="1280" t="s">
        <v>256</v>
      </c>
      <c r="B54" s="1281" t="s">
        <v>257</v>
      </c>
      <c r="C54" s="1250" t="s">
        <v>137</v>
      </c>
      <c r="D54" s="1250" t="s">
        <v>87</v>
      </c>
      <c r="E54" s="1251">
        <v>53</v>
      </c>
      <c r="F54" s="1252" t="s">
        <v>258</v>
      </c>
      <c r="G54" s="1256" t="s">
        <v>147</v>
      </c>
      <c r="H54" s="1177" t="s">
        <v>139</v>
      </c>
      <c r="I54" s="1177" t="s">
        <v>87</v>
      </c>
      <c r="J54" s="1257" t="s">
        <v>172</v>
      </c>
    </row>
    <row r="55" spans="1:10">
      <c r="A55" s="1280" t="s">
        <v>259</v>
      </c>
      <c r="B55" s="1279" t="s">
        <v>260</v>
      </c>
      <c r="C55" s="1250" t="s">
        <v>137</v>
      </c>
      <c r="D55" s="1250" t="s">
        <v>87</v>
      </c>
      <c r="E55" s="1251">
        <v>54</v>
      </c>
      <c r="F55" s="1252" t="s">
        <v>261</v>
      </c>
      <c r="G55" s="1256" t="s">
        <v>262</v>
      </c>
      <c r="H55" s="1177" t="s">
        <v>139</v>
      </c>
      <c r="I55" s="1177" t="s">
        <v>87</v>
      </c>
      <c r="J55" s="1257" t="s">
        <v>172</v>
      </c>
    </row>
    <row r="56" spans="1:10">
      <c r="A56" s="1280" t="s">
        <v>263</v>
      </c>
      <c r="B56" s="1279" t="s">
        <v>136</v>
      </c>
      <c r="C56" s="1269" t="s">
        <v>137</v>
      </c>
      <c r="D56" s="1250" t="s">
        <v>87</v>
      </c>
      <c r="E56" s="1251">
        <v>55</v>
      </c>
      <c r="F56" s="1264">
        <v>6.6</v>
      </c>
      <c r="G56" s="1256" t="s">
        <v>145</v>
      </c>
      <c r="H56" s="1177" t="s">
        <v>139</v>
      </c>
      <c r="I56" s="1177" t="s">
        <v>87</v>
      </c>
      <c r="J56" s="1285" t="s">
        <v>146</v>
      </c>
    </row>
    <row r="57" spans="1:10">
      <c r="A57" s="1278" t="s">
        <v>264</v>
      </c>
      <c r="B57" s="1279" t="s">
        <v>57</v>
      </c>
      <c r="C57" s="1269" t="s">
        <v>137</v>
      </c>
      <c r="D57" s="1250" t="s">
        <v>87</v>
      </c>
      <c r="E57" s="1251">
        <v>56</v>
      </c>
      <c r="F57" s="1264">
        <v>7.1</v>
      </c>
      <c r="G57" s="1256" t="s">
        <v>136</v>
      </c>
      <c r="H57" s="1177" t="s">
        <v>139</v>
      </c>
      <c r="I57" s="1177" t="s">
        <v>87</v>
      </c>
      <c r="J57" s="1257" t="s">
        <v>140</v>
      </c>
    </row>
    <row r="58" spans="1:10">
      <c r="A58" s="1280" t="s">
        <v>265</v>
      </c>
      <c r="B58" s="1279" t="s">
        <v>136</v>
      </c>
      <c r="C58" s="1250" t="s">
        <v>137</v>
      </c>
      <c r="D58" s="1250" t="s">
        <v>87</v>
      </c>
      <c r="E58" s="1251">
        <v>57</v>
      </c>
      <c r="F58" s="1252" t="s">
        <v>266</v>
      </c>
      <c r="G58" s="1256" t="s">
        <v>267</v>
      </c>
      <c r="H58" s="1177" t="s">
        <v>139</v>
      </c>
      <c r="I58" s="1177" t="s">
        <v>87</v>
      </c>
      <c r="J58" s="1257" t="s">
        <v>185</v>
      </c>
    </row>
    <row r="59" spans="1:10">
      <c r="A59" s="1278" t="s">
        <v>268</v>
      </c>
      <c r="B59" s="1279" t="s">
        <v>57</v>
      </c>
      <c r="C59" s="1250" t="s">
        <v>137</v>
      </c>
      <c r="D59" s="1250" t="s">
        <v>87</v>
      </c>
      <c r="E59" s="1251">
        <v>58</v>
      </c>
      <c r="F59" s="1252" t="s">
        <v>269</v>
      </c>
      <c r="G59" s="1256" t="s">
        <v>270</v>
      </c>
      <c r="H59" s="1177" t="s">
        <v>139</v>
      </c>
      <c r="I59" s="1177" t="s">
        <v>87</v>
      </c>
      <c r="J59" s="1257" t="s">
        <v>271</v>
      </c>
    </row>
    <row r="60" spans="1:10">
      <c r="A60" s="1280">
        <v>7.5</v>
      </c>
      <c r="B60" s="1279" t="s">
        <v>136</v>
      </c>
      <c r="C60" s="1250" t="s">
        <v>137</v>
      </c>
      <c r="D60" s="1250" t="s">
        <v>87</v>
      </c>
      <c r="E60" s="1251">
        <v>59</v>
      </c>
      <c r="F60" s="1252" t="s">
        <v>272</v>
      </c>
      <c r="G60" s="1256" t="s">
        <v>136</v>
      </c>
      <c r="H60" s="1177" t="s">
        <v>139</v>
      </c>
      <c r="I60" s="1177" t="s">
        <v>87</v>
      </c>
      <c r="J60" s="1257" t="s">
        <v>140</v>
      </c>
    </row>
    <row r="61" spans="1:10">
      <c r="A61" s="1280">
        <v>7.6</v>
      </c>
      <c r="B61" s="1279" t="s">
        <v>136</v>
      </c>
      <c r="C61" s="1250" t="s">
        <v>137</v>
      </c>
      <c r="D61" s="1250" t="s">
        <v>87</v>
      </c>
      <c r="E61" s="1251">
        <v>60</v>
      </c>
      <c r="F61" s="1252" t="s">
        <v>273</v>
      </c>
      <c r="G61" s="1256" t="s">
        <v>57</v>
      </c>
      <c r="H61" s="1177" t="s">
        <v>139</v>
      </c>
      <c r="I61" s="1177" t="s">
        <v>87</v>
      </c>
      <c r="J61" s="1257" t="s">
        <v>57</v>
      </c>
    </row>
    <row r="62" spans="1:10">
      <c r="A62" s="1280">
        <v>7.7</v>
      </c>
      <c r="B62" s="1279" t="s">
        <v>136</v>
      </c>
      <c r="C62" s="1250" t="s">
        <v>137</v>
      </c>
      <c r="D62" s="1250" t="s">
        <v>87</v>
      </c>
      <c r="E62" s="1251">
        <v>61</v>
      </c>
      <c r="F62" s="1252" t="s">
        <v>274</v>
      </c>
      <c r="G62" s="1256" t="s">
        <v>136</v>
      </c>
      <c r="H62" s="1177" t="s">
        <v>139</v>
      </c>
      <c r="I62" s="1177" t="s">
        <v>87</v>
      </c>
      <c r="J62" s="1257" t="s">
        <v>140</v>
      </c>
    </row>
    <row r="63" spans="1:10">
      <c r="A63" s="1280">
        <v>7.8</v>
      </c>
      <c r="B63" s="1279" t="s">
        <v>136</v>
      </c>
      <c r="C63" s="1250" t="s">
        <v>137</v>
      </c>
      <c r="D63" s="1250" t="s">
        <v>87</v>
      </c>
      <c r="E63" s="1251">
        <v>62</v>
      </c>
      <c r="F63" s="1252" t="s">
        <v>275</v>
      </c>
      <c r="G63" s="1256" t="s">
        <v>57</v>
      </c>
      <c r="H63" s="1177" t="s">
        <v>139</v>
      </c>
      <c r="I63" s="1177" t="s">
        <v>87</v>
      </c>
      <c r="J63" s="1257" t="s">
        <v>57</v>
      </c>
    </row>
    <row r="64" spans="1:10">
      <c r="A64" s="1286" t="s">
        <v>276</v>
      </c>
      <c r="B64" s="1279" t="s">
        <v>136</v>
      </c>
      <c r="C64" s="1250" t="s">
        <v>137</v>
      </c>
      <c r="D64" s="1250" t="s">
        <v>87</v>
      </c>
      <c r="E64" s="1251">
        <v>63</v>
      </c>
      <c r="F64" s="1264">
        <v>7.5</v>
      </c>
      <c r="G64" s="1256" t="s">
        <v>136</v>
      </c>
      <c r="H64" s="1177" t="s">
        <v>139</v>
      </c>
      <c r="I64" s="1177" t="s">
        <v>87</v>
      </c>
      <c r="J64" s="1257" t="s">
        <v>140</v>
      </c>
    </row>
    <row r="65" spans="1:10">
      <c r="A65" s="1280" t="s">
        <v>277</v>
      </c>
      <c r="B65" s="1279" t="s">
        <v>136</v>
      </c>
      <c r="C65" s="1250" t="s">
        <v>137</v>
      </c>
      <c r="D65" s="1250" t="s">
        <v>87</v>
      </c>
      <c r="E65" s="1251">
        <v>64</v>
      </c>
      <c r="F65" s="1264">
        <v>7.6</v>
      </c>
      <c r="G65" s="1256" t="s">
        <v>136</v>
      </c>
      <c r="H65" s="1177" t="s">
        <v>139</v>
      </c>
      <c r="I65" s="1177" t="s">
        <v>87</v>
      </c>
      <c r="J65" s="1257" t="s">
        <v>140</v>
      </c>
    </row>
    <row r="66" spans="1:10">
      <c r="A66" s="1280" t="s">
        <v>278</v>
      </c>
      <c r="B66" s="1279" t="s">
        <v>136</v>
      </c>
      <c r="C66" s="1250" t="s">
        <v>137</v>
      </c>
      <c r="D66" s="1250" t="s">
        <v>87</v>
      </c>
      <c r="E66" s="1251">
        <v>65</v>
      </c>
      <c r="F66" s="1264">
        <v>7.7</v>
      </c>
      <c r="G66" s="1256" t="s">
        <v>136</v>
      </c>
      <c r="H66" s="1177" t="s">
        <v>139</v>
      </c>
      <c r="I66" s="1177" t="s">
        <v>87</v>
      </c>
      <c r="J66" s="1257" t="s">
        <v>140</v>
      </c>
    </row>
    <row r="67" spans="1:10">
      <c r="A67" s="1280" t="s">
        <v>279</v>
      </c>
      <c r="B67" s="1279" t="s">
        <v>136</v>
      </c>
      <c r="C67" s="1250" t="s">
        <v>137</v>
      </c>
      <c r="D67" s="1250" t="s">
        <v>87</v>
      </c>
      <c r="E67" s="1251">
        <v>66</v>
      </c>
      <c r="F67" s="1264">
        <v>7.8</v>
      </c>
      <c r="G67" s="1256" t="s">
        <v>136</v>
      </c>
      <c r="H67" s="1177" t="s">
        <v>139</v>
      </c>
      <c r="I67" s="1177" t="s">
        <v>87</v>
      </c>
      <c r="J67" s="1257" t="s">
        <v>140</v>
      </c>
    </row>
    <row r="68" spans="1:10">
      <c r="A68" s="1280">
        <v>7.11</v>
      </c>
      <c r="B68" s="1279" t="s">
        <v>136</v>
      </c>
      <c r="C68" s="1250" t="s">
        <v>137</v>
      </c>
      <c r="D68" s="1250" t="s">
        <v>87</v>
      </c>
      <c r="E68" s="1251">
        <v>67</v>
      </c>
      <c r="F68" s="1264">
        <v>7.9</v>
      </c>
      <c r="G68" s="1256" t="s">
        <v>136</v>
      </c>
      <c r="H68" s="1177" t="s">
        <v>139</v>
      </c>
      <c r="I68" s="1177" t="s">
        <v>87</v>
      </c>
      <c r="J68" s="1257" t="s">
        <v>140</v>
      </c>
    </row>
    <row r="69" spans="1:10">
      <c r="A69" s="1280">
        <v>7.12</v>
      </c>
      <c r="B69" s="1279" t="s">
        <v>136</v>
      </c>
      <c r="C69" s="1269" t="s">
        <v>137</v>
      </c>
      <c r="D69" s="1250" t="s">
        <v>87</v>
      </c>
      <c r="E69" s="1251">
        <v>68</v>
      </c>
      <c r="F69" s="1268" t="s">
        <v>279</v>
      </c>
      <c r="G69" s="1256" t="s">
        <v>136</v>
      </c>
      <c r="H69" s="1177" t="s">
        <v>139</v>
      </c>
      <c r="I69" s="1177" t="s">
        <v>87</v>
      </c>
      <c r="J69" s="1257" t="s">
        <v>140</v>
      </c>
    </row>
    <row r="70" spans="1:10">
      <c r="A70" s="1280">
        <v>7.13</v>
      </c>
      <c r="B70" s="1279" t="s">
        <v>280</v>
      </c>
      <c r="C70" s="1269" t="s">
        <v>137</v>
      </c>
      <c r="D70" s="1250" t="s">
        <v>87</v>
      </c>
      <c r="E70" s="1251">
        <v>69</v>
      </c>
      <c r="F70" s="1264">
        <v>7.11</v>
      </c>
      <c r="G70" s="1256" t="s">
        <v>136</v>
      </c>
      <c r="H70" s="1177" t="s">
        <v>139</v>
      </c>
      <c r="I70" s="1177" t="s">
        <v>87</v>
      </c>
      <c r="J70" s="1257" t="s">
        <v>140</v>
      </c>
    </row>
    <row r="71" spans="1:10">
      <c r="A71" s="1280">
        <v>7.14</v>
      </c>
      <c r="B71" s="1279" t="s">
        <v>136</v>
      </c>
      <c r="C71" s="1269" t="s">
        <v>137</v>
      </c>
      <c r="D71" s="1250" t="s">
        <v>87</v>
      </c>
      <c r="E71" s="1251">
        <v>70</v>
      </c>
      <c r="F71" s="1264">
        <v>7.12</v>
      </c>
      <c r="G71" s="1256" t="s">
        <v>136</v>
      </c>
      <c r="H71" s="1177" t="s">
        <v>139</v>
      </c>
      <c r="I71" s="1177" t="s">
        <v>87</v>
      </c>
      <c r="J71" s="1257" t="s">
        <v>140</v>
      </c>
    </row>
    <row r="72" spans="1:10">
      <c r="A72" s="1280">
        <v>7.15</v>
      </c>
      <c r="B72" s="1279" t="s">
        <v>136</v>
      </c>
      <c r="C72" s="1250" t="s">
        <v>137</v>
      </c>
      <c r="D72" s="1250" t="s">
        <v>87</v>
      </c>
      <c r="E72" s="1251">
        <v>71</v>
      </c>
      <c r="F72" s="1252" t="s">
        <v>281</v>
      </c>
      <c r="G72" s="1256" t="s">
        <v>136</v>
      </c>
      <c r="H72" s="1177" t="s">
        <v>139</v>
      </c>
      <c r="I72" s="1177" t="s">
        <v>87</v>
      </c>
      <c r="J72" s="1257" t="s">
        <v>140</v>
      </c>
    </row>
    <row r="73" spans="1:10">
      <c r="A73" s="1280">
        <v>7.16</v>
      </c>
      <c r="B73" s="1279" t="s">
        <v>136</v>
      </c>
      <c r="C73" s="1250" t="s">
        <v>137</v>
      </c>
      <c r="D73" s="1250" t="s">
        <v>87</v>
      </c>
      <c r="E73" s="1251">
        <v>72</v>
      </c>
      <c r="F73" s="1252" t="s">
        <v>282</v>
      </c>
      <c r="G73" s="1256" t="s">
        <v>283</v>
      </c>
      <c r="H73" s="1177" t="s">
        <v>139</v>
      </c>
      <c r="I73" s="1177" t="s">
        <v>87</v>
      </c>
      <c r="J73" s="1257" t="s">
        <v>284</v>
      </c>
    </row>
    <row r="74" spans="1:10">
      <c r="A74" s="1283">
        <v>7.17</v>
      </c>
      <c r="B74" s="1284" t="s">
        <v>212</v>
      </c>
      <c r="C74" s="1269" t="s">
        <v>137</v>
      </c>
      <c r="D74" s="1250" t="s">
        <v>87</v>
      </c>
      <c r="E74" s="1251">
        <v>73</v>
      </c>
      <c r="F74" s="1264">
        <v>7.14</v>
      </c>
      <c r="G74" s="1256" t="s">
        <v>136</v>
      </c>
      <c r="H74" s="1177" t="s">
        <v>139</v>
      </c>
      <c r="I74" s="1177" t="s">
        <v>87</v>
      </c>
      <c r="J74" s="1257" t="s">
        <v>140</v>
      </c>
    </row>
    <row r="75" spans="1:10">
      <c r="A75" s="1276" t="s">
        <v>285</v>
      </c>
      <c r="B75" s="1277" t="s">
        <v>136</v>
      </c>
      <c r="C75" s="1269" t="s">
        <v>137</v>
      </c>
      <c r="D75" s="1250" t="s">
        <v>87</v>
      </c>
      <c r="E75" s="1251">
        <v>74</v>
      </c>
      <c r="F75" s="1264">
        <v>7.15</v>
      </c>
      <c r="G75" s="1256" t="s">
        <v>136</v>
      </c>
      <c r="H75" s="1177" t="s">
        <v>139</v>
      </c>
      <c r="I75" s="1177" t="s">
        <v>87</v>
      </c>
      <c r="J75" s="1257" t="s">
        <v>140</v>
      </c>
    </row>
    <row r="76" spans="1:10">
      <c r="A76" s="1280" t="s">
        <v>286</v>
      </c>
      <c r="B76" s="1279" t="s">
        <v>136</v>
      </c>
      <c r="C76" s="1250" t="s">
        <v>137</v>
      </c>
      <c r="D76" s="1250" t="s">
        <v>87</v>
      </c>
      <c r="E76" s="1251">
        <v>75</v>
      </c>
      <c r="F76" s="1264">
        <v>7.16</v>
      </c>
      <c r="G76" s="1256" t="s">
        <v>136</v>
      </c>
      <c r="H76" s="1177" t="s">
        <v>139</v>
      </c>
      <c r="I76" s="1177" t="s">
        <v>87</v>
      </c>
      <c r="J76" s="1257" t="s">
        <v>140</v>
      </c>
    </row>
    <row r="77" spans="1:10">
      <c r="A77" s="1280" t="s">
        <v>287</v>
      </c>
      <c r="B77" s="1279" t="s">
        <v>136</v>
      </c>
      <c r="C77" s="1250" t="s">
        <v>137</v>
      </c>
      <c r="D77" s="1250" t="s">
        <v>87</v>
      </c>
      <c r="E77" s="1251">
        <v>76</v>
      </c>
      <c r="F77" s="1264">
        <v>7.17</v>
      </c>
      <c r="G77" s="1256" t="s">
        <v>136</v>
      </c>
      <c r="H77" s="1177" t="s">
        <v>139</v>
      </c>
      <c r="I77" s="1177" t="s">
        <v>87</v>
      </c>
      <c r="J77" s="1257" t="s">
        <v>140</v>
      </c>
    </row>
    <row r="78" spans="1:10">
      <c r="A78" s="1287" t="s">
        <v>288</v>
      </c>
      <c r="B78" s="1288" t="s">
        <v>212</v>
      </c>
      <c r="C78" s="1250" t="s">
        <v>137</v>
      </c>
      <c r="D78" s="1250" t="s">
        <v>87</v>
      </c>
      <c r="E78" s="1251">
        <v>77</v>
      </c>
      <c r="F78" s="1252" t="s">
        <v>289</v>
      </c>
      <c r="G78" s="1256" t="s">
        <v>136</v>
      </c>
      <c r="H78" s="1177" t="s">
        <v>139</v>
      </c>
      <c r="I78" s="1177" t="s">
        <v>87</v>
      </c>
      <c r="J78" s="1289" t="s">
        <v>140</v>
      </c>
    </row>
    <row r="79" spans="1:10" s="965" customFormat="1" ht="15" thickBot="1">
      <c r="A79" s="1290" t="s">
        <v>290</v>
      </c>
      <c r="B79" s="1291" t="s">
        <v>147</v>
      </c>
      <c r="C79" s="1291" t="s">
        <v>137</v>
      </c>
      <c r="D79" s="1291" t="s">
        <v>87</v>
      </c>
      <c r="E79" s="1251">
        <v>78</v>
      </c>
      <c r="F79" s="1134" t="s">
        <v>291</v>
      </c>
      <c r="G79" s="1256" t="s">
        <v>212</v>
      </c>
      <c r="H79" s="1177" t="s">
        <v>139</v>
      </c>
      <c r="I79" s="1177" t="s">
        <v>87</v>
      </c>
      <c r="J79" s="1134" t="s">
        <v>213</v>
      </c>
    </row>
    <row r="80" spans="1:10" ht="15" thickTop="1">
      <c r="A80" s="1292">
        <v>1.1000000000000001</v>
      </c>
      <c r="B80" s="1293" t="s">
        <v>136</v>
      </c>
      <c r="C80" s="1294" t="s">
        <v>137</v>
      </c>
      <c r="D80" s="1250" t="s">
        <v>292</v>
      </c>
      <c r="E80" s="1251">
        <v>79</v>
      </c>
      <c r="F80" s="1264">
        <v>8.1999999999999993</v>
      </c>
      <c r="G80" s="1263" t="s">
        <v>293</v>
      </c>
      <c r="H80" s="1177" t="s">
        <v>139</v>
      </c>
      <c r="I80" s="1177" t="s">
        <v>87</v>
      </c>
      <c r="J80" s="1295" t="s">
        <v>294</v>
      </c>
    </row>
    <row r="81" spans="1:10">
      <c r="A81" s="1258">
        <v>1.2</v>
      </c>
      <c r="B81" s="1259" t="s">
        <v>141</v>
      </c>
      <c r="C81" s="1296" t="s">
        <v>137</v>
      </c>
      <c r="D81" s="1250" t="s">
        <v>292</v>
      </c>
      <c r="E81" s="1251">
        <v>80</v>
      </c>
      <c r="F81" s="1264">
        <v>8.3000000000000007</v>
      </c>
      <c r="G81" s="1256" t="s">
        <v>136</v>
      </c>
      <c r="H81" s="1177" t="s">
        <v>139</v>
      </c>
      <c r="I81" s="1177" t="s">
        <v>87</v>
      </c>
      <c r="J81" s="1257" t="s">
        <v>140</v>
      </c>
    </row>
    <row r="82" spans="1:10">
      <c r="A82" s="1260">
        <v>2.1</v>
      </c>
      <c r="B82" s="1255" t="s">
        <v>136</v>
      </c>
      <c r="C82" s="1296" t="s">
        <v>137</v>
      </c>
      <c r="D82" s="1250" t="s">
        <v>292</v>
      </c>
      <c r="E82" s="1251">
        <v>81</v>
      </c>
      <c r="F82" s="1264">
        <v>8.4</v>
      </c>
      <c r="G82" s="1256" t="s">
        <v>295</v>
      </c>
      <c r="H82" s="1177" t="s">
        <v>139</v>
      </c>
      <c r="I82" s="1177" t="s">
        <v>87</v>
      </c>
      <c r="J82" s="1257" t="s">
        <v>296</v>
      </c>
    </row>
    <row r="83" spans="1:10" ht="15" thickBot="1">
      <c r="A83" s="1261">
        <v>2.2000000000000002</v>
      </c>
      <c r="B83" s="1262" t="s">
        <v>57</v>
      </c>
      <c r="C83" s="1296" t="s">
        <v>137</v>
      </c>
      <c r="D83" s="1250" t="s">
        <v>292</v>
      </c>
      <c r="E83" s="1251">
        <v>82</v>
      </c>
      <c r="F83" s="1297">
        <v>8.5</v>
      </c>
      <c r="G83" s="1256" t="s">
        <v>136</v>
      </c>
      <c r="H83" s="1298" t="s">
        <v>139</v>
      </c>
      <c r="I83" s="1299" t="s">
        <v>87</v>
      </c>
      <c r="J83" s="1300" t="s">
        <v>140</v>
      </c>
    </row>
    <row r="84" spans="1:10" ht="15" thickTop="1">
      <c r="A84" s="1261">
        <v>2.2999999999999998</v>
      </c>
      <c r="B84" s="1262" t="s">
        <v>136</v>
      </c>
      <c r="C84" s="1296" t="s">
        <v>137</v>
      </c>
      <c r="D84" s="1250" t="s">
        <v>292</v>
      </c>
      <c r="E84" s="1251">
        <v>83</v>
      </c>
      <c r="F84" s="1252" t="s">
        <v>138</v>
      </c>
      <c r="G84" s="1263" t="s">
        <v>136</v>
      </c>
      <c r="H84" s="1971" t="s">
        <v>139</v>
      </c>
      <c r="I84" s="1971" t="s">
        <v>297</v>
      </c>
      <c r="J84" s="1295" t="s">
        <v>140</v>
      </c>
    </row>
    <row r="85" spans="1:10">
      <c r="A85" s="1261">
        <v>2.4</v>
      </c>
      <c r="B85" s="1262" t="s">
        <v>152</v>
      </c>
      <c r="C85" s="1296" t="s">
        <v>137</v>
      </c>
      <c r="D85" s="1250" t="s">
        <v>292</v>
      </c>
      <c r="E85" s="1251">
        <v>84</v>
      </c>
      <c r="F85" s="1252" t="s">
        <v>142</v>
      </c>
      <c r="G85" s="1256" t="s">
        <v>143</v>
      </c>
      <c r="H85" s="1971" t="s">
        <v>139</v>
      </c>
      <c r="I85" s="1971" t="s">
        <v>297</v>
      </c>
      <c r="J85" s="1257" t="s">
        <v>144</v>
      </c>
    </row>
    <row r="86" spans="1:10">
      <c r="A86" s="1261">
        <v>2.5</v>
      </c>
      <c r="B86" s="1262" t="s">
        <v>155</v>
      </c>
      <c r="C86" s="1296" t="s">
        <v>137</v>
      </c>
      <c r="D86" s="1250" t="s">
        <v>292</v>
      </c>
      <c r="E86" s="1251">
        <v>85</v>
      </c>
      <c r="F86" s="1264">
        <v>1.2</v>
      </c>
      <c r="G86" s="1263" t="s">
        <v>298</v>
      </c>
      <c r="H86" s="1971" t="s">
        <v>139</v>
      </c>
      <c r="I86" s="1971" t="s">
        <v>297</v>
      </c>
      <c r="J86" s="1257" t="s">
        <v>146</v>
      </c>
    </row>
    <row r="87" spans="1:10">
      <c r="A87" s="1261">
        <v>2.6</v>
      </c>
      <c r="B87" s="1262" t="s">
        <v>156</v>
      </c>
      <c r="C87" s="1296" t="s">
        <v>137</v>
      </c>
      <c r="D87" s="1250" t="s">
        <v>292</v>
      </c>
      <c r="E87" s="1251">
        <v>86</v>
      </c>
      <c r="F87" s="1252" t="s">
        <v>148</v>
      </c>
      <c r="G87" s="1263" t="s">
        <v>136</v>
      </c>
      <c r="H87" s="1971" t="s">
        <v>139</v>
      </c>
      <c r="I87" s="1971" t="s">
        <v>297</v>
      </c>
      <c r="J87" s="1257" t="s">
        <v>140</v>
      </c>
    </row>
    <row r="88" spans="1:10">
      <c r="A88" s="1265" t="s">
        <v>157</v>
      </c>
      <c r="B88" s="1262" t="s">
        <v>57</v>
      </c>
      <c r="C88" s="1296" t="s">
        <v>137</v>
      </c>
      <c r="D88" s="1250" t="s">
        <v>292</v>
      </c>
      <c r="E88" s="1251">
        <v>87</v>
      </c>
      <c r="F88" s="1252" t="s">
        <v>149</v>
      </c>
      <c r="G88" s="1263" t="s">
        <v>150</v>
      </c>
      <c r="H88" s="1971" t="s">
        <v>139</v>
      </c>
      <c r="I88" s="1971" t="s">
        <v>297</v>
      </c>
      <c r="J88" s="1257" t="s">
        <v>151</v>
      </c>
    </row>
    <row r="89" spans="1:10">
      <c r="A89" s="1261" t="s">
        <v>158</v>
      </c>
      <c r="B89" s="1262" t="s">
        <v>159</v>
      </c>
      <c r="C89" s="1296" t="s">
        <v>137</v>
      </c>
      <c r="D89" s="1250" t="s">
        <v>292</v>
      </c>
      <c r="E89" s="1251">
        <v>88</v>
      </c>
      <c r="F89" s="1264">
        <v>1.4</v>
      </c>
      <c r="G89" s="1263" t="s">
        <v>153</v>
      </c>
      <c r="H89" s="1971" t="s">
        <v>139</v>
      </c>
      <c r="I89" s="1971" t="s">
        <v>297</v>
      </c>
      <c r="J89" s="1257" t="s">
        <v>154</v>
      </c>
    </row>
    <row r="90" spans="1:10">
      <c r="A90" s="1261">
        <v>2.8</v>
      </c>
      <c r="B90" s="1262" t="s">
        <v>161</v>
      </c>
      <c r="C90" s="1296" t="s">
        <v>137</v>
      </c>
      <c r="D90" s="1250" t="s">
        <v>292</v>
      </c>
      <c r="E90" s="1251">
        <v>89</v>
      </c>
      <c r="F90" s="1264">
        <v>2.1</v>
      </c>
      <c r="G90" s="1263" t="s">
        <v>136</v>
      </c>
      <c r="H90" s="1971" t="s">
        <v>139</v>
      </c>
      <c r="I90" s="1971" t="s">
        <v>297</v>
      </c>
      <c r="J90" s="1257" t="s">
        <v>140</v>
      </c>
    </row>
    <row r="91" spans="1:10">
      <c r="A91" s="1261">
        <v>2.9</v>
      </c>
      <c r="B91" s="1262" t="s">
        <v>164</v>
      </c>
      <c r="C91" s="1296" t="s">
        <v>137</v>
      </c>
      <c r="D91" s="1250" t="s">
        <v>292</v>
      </c>
      <c r="E91" s="1251">
        <v>90</v>
      </c>
      <c r="F91" s="1264">
        <v>2.2000000000000002</v>
      </c>
      <c r="G91" s="1263" t="s">
        <v>57</v>
      </c>
      <c r="H91" s="1971" t="s">
        <v>139</v>
      </c>
      <c r="I91" s="1971" t="s">
        <v>297</v>
      </c>
      <c r="J91" s="1257" t="s">
        <v>57</v>
      </c>
    </row>
    <row r="92" spans="1:10">
      <c r="A92" s="1266" t="s">
        <v>165</v>
      </c>
      <c r="B92" s="1259" t="s">
        <v>156</v>
      </c>
      <c r="C92" s="1296" t="s">
        <v>137</v>
      </c>
      <c r="D92" s="1250" t="s">
        <v>292</v>
      </c>
      <c r="E92" s="1251">
        <v>91</v>
      </c>
      <c r="F92" s="1264">
        <v>2.2999999999999998</v>
      </c>
      <c r="G92" s="1263" t="s">
        <v>136</v>
      </c>
      <c r="H92" s="1971" t="s">
        <v>139</v>
      </c>
      <c r="I92" s="1971" t="s">
        <v>297</v>
      </c>
      <c r="J92" s="1257" t="s">
        <v>140</v>
      </c>
    </row>
    <row r="93" spans="1:10">
      <c r="A93" s="1260" t="s">
        <v>167</v>
      </c>
      <c r="B93" s="1255" t="s">
        <v>136</v>
      </c>
      <c r="C93" s="1296" t="s">
        <v>137</v>
      </c>
      <c r="D93" s="1250" t="s">
        <v>292</v>
      </c>
      <c r="E93" s="1251">
        <v>92</v>
      </c>
      <c r="F93" s="1264">
        <v>2.4</v>
      </c>
      <c r="G93" s="1263" t="s">
        <v>152</v>
      </c>
      <c r="H93" s="1971" t="s">
        <v>139</v>
      </c>
      <c r="I93" s="1971" t="s">
        <v>297</v>
      </c>
      <c r="J93" s="1257" t="s">
        <v>160</v>
      </c>
    </row>
    <row r="94" spans="1:10">
      <c r="A94" s="1261" t="s">
        <v>171</v>
      </c>
      <c r="B94" s="1262" t="s">
        <v>136</v>
      </c>
      <c r="C94" s="1296" t="s">
        <v>137</v>
      </c>
      <c r="D94" s="1250" t="s">
        <v>292</v>
      </c>
      <c r="E94" s="1251">
        <v>93</v>
      </c>
      <c r="F94" s="1264">
        <v>2.5</v>
      </c>
      <c r="G94" s="1263" t="s">
        <v>299</v>
      </c>
      <c r="H94" s="1971" t="s">
        <v>139</v>
      </c>
      <c r="I94" s="1971" t="s">
        <v>297</v>
      </c>
      <c r="J94" s="1257" t="s">
        <v>163</v>
      </c>
    </row>
    <row r="95" spans="1:10">
      <c r="A95" s="1261" t="s">
        <v>173</v>
      </c>
      <c r="B95" s="1267" t="s">
        <v>174</v>
      </c>
      <c r="C95" s="1296" t="s">
        <v>137</v>
      </c>
      <c r="D95" s="1250" t="s">
        <v>292</v>
      </c>
      <c r="E95" s="1251">
        <v>94</v>
      </c>
      <c r="F95" s="1264">
        <v>2.6</v>
      </c>
      <c r="G95" s="1263" t="s">
        <v>136</v>
      </c>
      <c r="H95" s="1971" t="s">
        <v>139</v>
      </c>
      <c r="I95" s="1971" t="s">
        <v>297</v>
      </c>
      <c r="J95" s="1257" t="s">
        <v>140</v>
      </c>
    </row>
    <row r="96" spans="1:10">
      <c r="A96" s="1261" t="s">
        <v>175</v>
      </c>
      <c r="B96" s="1262" t="s">
        <v>152</v>
      </c>
      <c r="C96" s="1296" t="s">
        <v>137</v>
      </c>
      <c r="D96" s="1250" t="s">
        <v>292</v>
      </c>
      <c r="E96" s="1251">
        <v>95</v>
      </c>
      <c r="F96" s="1252" t="s">
        <v>166</v>
      </c>
      <c r="G96" s="1263" t="s">
        <v>136</v>
      </c>
      <c r="H96" s="637" t="s">
        <v>139</v>
      </c>
      <c r="I96" s="1971" t="s">
        <v>297</v>
      </c>
      <c r="J96" s="1257" t="s">
        <v>140</v>
      </c>
    </row>
    <row r="97" spans="1:10">
      <c r="A97" s="1261" t="s">
        <v>177</v>
      </c>
      <c r="B97" s="1262" t="s">
        <v>178</v>
      </c>
      <c r="C97" s="1296" t="s">
        <v>137</v>
      </c>
      <c r="D97" s="1250" t="s">
        <v>292</v>
      </c>
      <c r="E97" s="1251">
        <v>96</v>
      </c>
      <c r="F97" s="1252" t="s">
        <v>168</v>
      </c>
      <c r="G97" s="1256" t="s">
        <v>169</v>
      </c>
      <c r="H97" s="637" t="s">
        <v>139</v>
      </c>
      <c r="I97" s="1971" t="s">
        <v>297</v>
      </c>
      <c r="J97" s="1257" t="s">
        <v>170</v>
      </c>
    </row>
    <row r="98" spans="1:10">
      <c r="A98" s="1261" t="s">
        <v>179</v>
      </c>
      <c r="B98" s="1267" t="s">
        <v>180</v>
      </c>
      <c r="C98" s="1296" t="s">
        <v>137</v>
      </c>
      <c r="D98" s="1250" t="s">
        <v>292</v>
      </c>
      <c r="E98" s="1251">
        <v>97</v>
      </c>
      <c r="F98" s="1264">
        <v>2.8</v>
      </c>
      <c r="G98" s="1263" t="s">
        <v>300</v>
      </c>
      <c r="H98" s="1971" t="s">
        <v>139</v>
      </c>
      <c r="I98" s="1971" t="s">
        <v>297</v>
      </c>
      <c r="J98" s="1257" t="s">
        <v>301</v>
      </c>
    </row>
    <row r="99" spans="1:10">
      <c r="A99" s="1261" t="s">
        <v>181</v>
      </c>
      <c r="B99" s="1262" t="s">
        <v>182</v>
      </c>
      <c r="C99" s="1296" t="s">
        <v>137</v>
      </c>
      <c r="D99" s="1250" t="s">
        <v>292</v>
      </c>
      <c r="E99" s="1251">
        <v>98</v>
      </c>
      <c r="F99" s="1264">
        <v>2.9</v>
      </c>
      <c r="G99" s="1263" t="s">
        <v>152</v>
      </c>
      <c r="H99" s="1971" t="s">
        <v>139</v>
      </c>
      <c r="I99" s="1971" t="s">
        <v>297</v>
      </c>
      <c r="J99" s="1257" t="s">
        <v>160</v>
      </c>
    </row>
    <row r="100" spans="1:10">
      <c r="A100" s="1261" t="s">
        <v>186</v>
      </c>
      <c r="B100" s="1259" t="s">
        <v>136</v>
      </c>
      <c r="C100" s="1296" t="s">
        <v>137</v>
      </c>
      <c r="D100" s="1250" t="s">
        <v>292</v>
      </c>
      <c r="E100" s="1251">
        <v>99</v>
      </c>
      <c r="F100" s="1268" t="s">
        <v>165</v>
      </c>
      <c r="G100" s="1263" t="s">
        <v>156</v>
      </c>
      <c r="H100" s="1971" t="s">
        <v>139</v>
      </c>
      <c r="I100" s="1971" t="s">
        <v>297</v>
      </c>
      <c r="J100" s="1257" t="s">
        <v>176</v>
      </c>
    </row>
    <row r="101" spans="1:10">
      <c r="A101" s="1270" t="s">
        <v>188</v>
      </c>
      <c r="B101" s="1271" t="s">
        <v>136</v>
      </c>
      <c r="C101" s="1296" t="s">
        <v>137</v>
      </c>
      <c r="D101" s="1250" t="s">
        <v>292</v>
      </c>
      <c r="E101" s="1251">
        <v>100</v>
      </c>
      <c r="F101" s="1264">
        <v>3.1</v>
      </c>
      <c r="G101" s="1263" t="s">
        <v>136</v>
      </c>
      <c r="H101" s="1971" t="s">
        <v>139</v>
      </c>
      <c r="I101" s="1971" t="s">
        <v>297</v>
      </c>
      <c r="J101" s="1257" t="s">
        <v>140</v>
      </c>
    </row>
    <row r="102" spans="1:10">
      <c r="A102" s="1272" t="s">
        <v>192</v>
      </c>
      <c r="B102" s="1273" t="s">
        <v>182</v>
      </c>
      <c r="C102" s="1296" t="s">
        <v>137</v>
      </c>
      <c r="D102" s="1250" t="s">
        <v>292</v>
      </c>
      <c r="E102" s="1251">
        <v>101</v>
      </c>
      <c r="F102" s="1264">
        <v>3.2</v>
      </c>
      <c r="G102" s="1263" t="s">
        <v>136</v>
      </c>
      <c r="H102" s="1971" t="s">
        <v>139</v>
      </c>
      <c r="I102" s="1971" t="s">
        <v>297</v>
      </c>
      <c r="J102" s="1257" t="s">
        <v>140</v>
      </c>
    </row>
    <row r="103" spans="1:10">
      <c r="A103" s="1272" t="s">
        <v>194</v>
      </c>
      <c r="B103" s="1275" t="s">
        <v>195</v>
      </c>
      <c r="C103" s="1296" t="s">
        <v>137</v>
      </c>
      <c r="D103" s="1250" t="s">
        <v>292</v>
      </c>
      <c r="E103" s="1251">
        <v>102</v>
      </c>
      <c r="F103" s="1252" t="s">
        <v>183</v>
      </c>
      <c r="G103" s="1263" t="s">
        <v>302</v>
      </c>
      <c r="H103" s="637" t="s">
        <v>139</v>
      </c>
      <c r="I103" s="1971" t="s">
        <v>297</v>
      </c>
      <c r="J103" s="1257" t="s">
        <v>185</v>
      </c>
    </row>
    <row r="104" spans="1:10">
      <c r="A104" s="1276" t="s">
        <v>198</v>
      </c>
      <c r="B104" s="1277" t="s">
        <v>57</v>
      </c>
      <c r="C104" s="1296" t="s">
        <v>137</v>
      </c>
      <c r="D104" s="1250" t="s">
        <v>292</v>
      </c>
      <c r="E104" s="1251">
        <v>103</v>
      </c>
      <c r="F104" s="1252" t="s">
        <v>187</v>
      </c>
      <c r="G104" s="1263" t="s">
        <v>152</v>
      </c>
      <c r="H104" s="637" t="s">
        <v>139</v>
      </c>
      <c r="I104" s="1971" t="s">
        <v>297</v>
      </c>
      <c r="J104" s="1257" t="s">
        <v>160</v>
      </c>
    </row>
    <row r="105" spans="1:10">
      <c r="A105" s="1278" t="s">
        <v>199</v>
      </c>
      <c r="B105" s="1279" t="s">
        <v>136</v>
      </c>
      <c r="C105" s="1296" t="s">
        <v>137</v>
      </c>
      <c r="D105" s="1250" t="s">
        <v>292</v>
      </c>
      <c r="E105" s="1251">
        <v>104</v>
      </c>
      <c r="F105" s="1252" t="s">
        <v>189</v>
      </c>
      <c r="G105" s="1263" t="s">
        <v>190</v>
      </c>
      <c r="H105" s="637" t="s">
        <v>139</v>
      </c>
      <c r="I105" s="1971" t="s">
        <v>297</v>
      </c>
      <c r="J105" s="1257" t="s">
        <v>191</v>
      </c>
    </row>
    <row r="106" spans="1:10">
      <c r="A106" s="1280" t="s">
        <v>201</v>
      </c>
      <c r="B106" s="1279" t="s">
        <v>57</v>
      </c>
      <c r="C106" s="1296" t="s">
        <v>137</v>
      </c>
      <c r="D106" s="1250" t="s">
        <v>292</v>
      </c>
      <c r="E106" s="1251">
        <v>105</v>
      </c>
      <c r="F106" s="1264">
        <v>3.4</v>
      </c>
      <c r="G106" s="1263" t="s">
        <v>193</v>
      </c>
      <c r="H106" s="1971" t="s">
        <v>139</v>
      </c>
      <c r="I106" s="1971" t="s">
        <v>297</v>
      </c>
      <c r="J106" s="1257" t="s">
        <v>185</v>
      </c>
    </row>
    <row r="107" spans="1:10">
      <c r="A107" s="1278" t="s">
        <v>206</v>
      </c>
      <c r="B107" s="1279" t="s">
        <v>152</v>
      </c>
      <c r="C107" s="1296" t="s">
        <v>137</v>
      </c>
      <c r="D107" s="1250" t="s">
        <v>292</v>
      </c>
      <c r="E107" s="1251">
        <v>106</v>
      </c>
      <c r="F107" s="1264">
        <v>3.5</v>
      </c>
      <c r="G107" s="1256" t="s">
        <v>196</v>
      </c>
      <c r="H107" s="1971" t="s">
        <v>139</v>
      </c>
      <c r="I107" s="1971" t="s">
        <v>297</v>
      </c>
      <c r="J107" s="1257" t="s">
        <v>197</v>
      </c>
    </row>
    <row r="108" spans="1:10">
      <c r="A108" s="1280" t="s">
        <v>207</v>
      </c>
      <c r="B108" s="1279" t="s">
        <v>136</v>
      </c>
      <c r="C108" s="1296" t="s">
        <v>137</v>
      </c>
      <c r="D108" s="1250" t="s">
        <v>292</v>
      </c>
      <c r="E108" s="1251">
        <v>107</v>
      </c>
      <c r="F108" s="1264">
        <v>3.6</v>
      </c>
      <c r="G108" s="1263" t="s">
        <v>136</v>
      </c>
      <c r="H108" s="1971" t="s">
        <v>139</v>
      </c>
      <c r="I108" s="1971" t="s">
        <v>297</v>
      </c>
      <c r="J108" s="1257" t="s">
        <v>140</v>
      </c>
    </row>
    <row r="109" spans="1:10">
      <c r="A109" s="1280" t="s">
        <v>210</v>
      </c>
      <c r="B109" s="1281" t="s">
        <v>211</v>
      </c>
      <c r="C109" s="1296" t="s">
        <v>137</v>
      </c>
      <c r="D109" s="1250" t="s">
        <v>292</v>
      </c>
      <c r="E109" s="1251">
        <v>108</v>
      </c>
      <c r="F109" s="1252" t="s">
        <v>200</v>
      </c>
      <c r="G109" s="1263" t="s">
        <v>136</v>
      </c>
      <c r="H109" s="637" t="s">
        <v>139</v>
      </c>
      <c r="I109" s="1971" t="s">
        <v>297</v>
      </c>
      <c r="J109" s="1257" t="s">
        <v>140</v>
      </c>
    </row>
    <row r="110" spans="1:10">
      <c r="A110" s="1280" t="s">
        <v>214</v>
      </c>
      <c r="B110" s="1279" t="s">
        <v>156</v>
      </c>
      <c r="C110" s="1296" t="s">
        <v>137</v>
      </c>
      <c r="D110" s="1250" t="s">
        <v>292</v>
      </c>
      <c r="E110" s="1251">
        <v>109</v>
      </c>
      <c r="F110" s="1252" t="s">
        <v>203</v>
      </c>
      <c r="G110" s="1263" t="s">
        <v>303</v>
      </c>
      <c r="H110" s="637" t="s">
        <v>139</v>
      </c>
      <c r="I110" s="1971" t="s">
        <v>297</v>
      </c>
      <c r="J110" s="1257" t="s">
        <v>205</v>
      </c>
    </row>
    <row r="111" spans="1:10">
      <c r="A111" s="1280" t="s">
        <v>216</v>
      </c>
      <c r="B111" s="1279" t="s">
        <v>136</v>
      </c>
      <c r="C111" s="1296" t="s">
        <v>137</v>
      </c>
      <c r="D111" s="1250" t="s">
        <v>292</v>
      </c>
      <c r="E111" s="1251">
        <v>110</v>
      </c>
      <c r="F111" s="1264">
        <v>4.2</v>
      </c>
      <c r="G111" s="1263" t="s">
        <v>260</v>
      </c>
      <c r="H111" s="1971" t="s">
        <v>139</v>
      </c>
      <c r="I111" s="1971" t="s">
        <v>297</v>
      </c>
      <c r="J111" s="1257" t="s">
        <v>227</v>
      </c>
    </row>
    <row r="112" spans="1:10">
      <c r="A112" s="1280" t="s">
        <v>218</v>
      </c>
      <c r="B112" s="1279" t="s">
        <v>57</v>
      </c>
      <c r="C112" s="1296" t="s">
        <v>137</v>
      </c>
      <c r="D112" s="1250" t="s">
        <v>292</v>
      </c>
      <c r="E112" s="1251">
        <v>111</v>
      </c>
      <c r="F112" s="1264">
        <v>4.3</v>
      </c>
      <c r="G112" s="1263" t="s">
        <v>208</v>
      </c>
      <c r="H112" s="1971" t="s">
        <v>139</v>
      </c>
      <c r="I112" s="1971" t="s">
        <v>297</v>
      </c>
      <c r="J112" s="1257" t="s">
        <v>209</v>
      </c>
    </row>
    <row r="113" spans="1:10">
      <c r="A113" s="1278" t="s">
        <v>222</v>
      </c>
      <c r="B113" s="1279" t="s">
        <v>147</v>
      </c>
      <c r="C113" s="1296" t="s">
        <v>137</v>
      </c>
      <c r="D113" s="1250" t="s">
        <v>292</v>
      </c>
      <c r="E113" s="1251">
        <v>112</v>
      </c>
      <c r="F113" s="1264">
        <v>4.4000000000000004</v>
      </c>
      <c r="G113" s="1263" t="s">
        <v>212</v>
      </c>
      <c r="H113" s="1971" t="s">
        <v>139</v>
      </c>
      <c r="I113" s="1971" t="s">
        <v>297</v>
      </c>
      <c r="J113" s="1257" t="s">
        <v>213</v>
      </c>
    </row>
    <row r="114" spans="1:10">
      <c r="A114" s="1280" t="s">
        <v>224</v>
      </c>
      <c r="B114" s="1279" t="s">
        <v>225</v>
      </c>
      <c r="C114" s="1296" t="s">
        <v>137</v>
      </c>
      <c r="D114" s="1250" t="s">
        <v>292</v>
      </c>
      <c r="E114" s="1251">
        <v>113</v>
      </c>
      <c r="F114" s="1252" t="s">
        <v>215</v>
      </c>
      <c r="G114" s="1263" t="s">
        <v>57</v>
      </c>
      <c r="H114" s="637" t="s">
        <v>139</v>
      </c>
      <c r="I114" s="1971" t="s">
        <v>297</v>
      </c>
      <c r="J114" s="1257" t="s">
        <v>57</v>
      </c>
    </row>
    <row r="115" spans="1:10">
      <c r="A115" s="1280" t="s">
        <v>228</v>
      </c>
      <c r="B115" s="1279" t="s">
        <v>229</v>
      </c>
      <c r="C115" s="1296" t="s">
        <v>137</v>
      </c>
      <c r="D115" s="1250" t="s">
        <v>292</v>
      </c>
      <c r="E115" s="1251">
        <v>114</v>
      </c>
      <c r="F115" s="1252" t="s">
        <v>217</v>
      </c>
      <c r="G115" s="1263" t="s">
        <v>136</v>
      </c>
      <c r="H115" s="637" t="s">
        <v>139</v>
      </c>
      <c r="I115" s="1971" t="s">
        <v>297</v>
      </c>
      <c r="J115" s="1257" t="s">
        <v>140</v>
      </c>
    </row>
    <row r="116" spans="1:10">
      <c r="A116" s="1280" t="s">
        <v>231</v>
      </c>
      <c r="B116" s="1279" t="s">
        <v>232</v>
      </c>
      <c r="C116" s="1296" t="s">
        <v>137</v>
      </c>
      <c r="D116" s="1250" t="s">
        <v>292</v>
      </c>
      <c r="E116" s="1251">
        <v>115</v>
      </c>
      <c r="F116" s="1252" t="s">
        <v>219</v>
      </c>
      <c r="G116" s="1282" t="s">
        <v>57</v>
      </c>
      <c r="H116" s="637" t="s">
        <v>139</v>
      </c>
      <c r="I116" s="1971" t="s">
        <v>297</v>
      </c>
      <c r="J116" s="1257" t="s">
        <v>57</v>
      </c>
    </row>
    <row r="117" spans="1:10">
      <c r="A117" s="1280" t="s">
        <v>233</v>
      </c>
      <c r="B117" s="1279" t="s">
        <v>136</v>
      </c>
      <c r="C117" s="1296" t="s">
        <v>137</v>
      </c>
      <c r="D117" s="1250" t="s">
        <v>292</v>
      </c>
      <c r="E117" s="1251">
        <v>116</v>
      </c>
      <c r="F117" s="1252" t="s">
        <v>223</v>
      </c>
      <c r="G117" s="1263" t="s">
        <v>152</v>
      </c>
      <c r="H117" s="637" t="s">
        <v>139</v>
      </c>
      <c r="I117" s="1971" t="s">
        <v>297</v>
      </c>
      <c r="J117" s="1257" t="s">
        <v>160</v>
      </c>
    </row>
    <row r="118" spans="1:10">
      <c r="A118" s="1280" t="s">
        <v>234</v>
      </c>
      <c r="B118" s="1279" t="s">
        <v>235</v>
      </c>
      <c r="C118" s="1296" t="s">
        <v>137</v>
      </c>
      <c r="D118" s="1250" t="s">
        <v>292</v>
      </c>
      <c r="E118" s="1251">
        <v>117</v>
      </c>
      <c r="F118" s="1264">
        <v>5.3</v>
      </c>
      <c r="G118" s="1256" t="s">
        <v>226</v>
      </c>
      <c r="H118" s="1971" t="s">
        <v>139</v>
      </c>
      <c r="I118" s="1971" t="s">
        <v>297</v>
      </c>
      <c r="J118" s="1257" t="s">
        <v>227</v>
      </c>
    </row>
    <row r="119" spans="1:10">
      <c r="A119" s="1280">
        <v>5.1100000000000003</v>
      </c>
      <c r="B119" s="1279" t="s">
        <v>304</v>
      </c>
      <c r="C119" s="1296" t="s">
        <v>137</v>
      </c>
      <c r="D119" s="1250" t="s">
        <v>292</v>
      </c>
      <c r="E119" s="1251">
        <v>118</v>
      </c>
      <c r="F119" s="1264">
        <v>5.4</v>
      </c>
      <c r="G119" s="1263" t="s">
        <v>230</v>
      </c>
      <c r="H119" s="1971" t="s">
        <v>139</v>
      </c>
      <c r="I119" s="1971" t="s">
        <v>297</v>
      </c>
      <c r="J119" s="1257" t="s">
        <v>185</v>
      </c>
    </row>
    <row r="120" spans="1:10">
      <c r="A120" s="1280">
        <v>5.12</v>
      </c>
      <c r="B120" s="1279" t="s">
        <v>164</v>
      </c>
      <c r="C120" s="1296" t="s">
        <v>137</v>
      </c>
      <c r="D120" s="1250" t="s">
        <v>292</v>
      </c>
      <c r="E120" s="1251">
        <v>119</v>
      </c>
      <c r="F120" s="1264">
        <v>5.5</v>
      </c>
      <c r="G120" s="1256" t="s">
        <v>156</v>
      </c>
      <c r="H120" s="1971" t="s">
        <v>139</v>
      </c>
      <c r="I120" s="1971" t="s">
        <v>297</v>
      </c>
      <c r="J120" s="1257" t="s">
        <v>176</v>
      </c>
    </row>
    <row r="121" spans="1:10">
      <c r="A121" s="1283">
        <v>5.13</v>
      </c>
      <c r="B121" s="1284" t="s">
        <v>305</v>
      </c>
      <c r="C121" s="1296" t="s">
        <v>137</v>
      </c>
      <c r="D121" s="1250" t="s">
        <v>292</v>
      </c>
      <c r="E121" s="1251">
        <v>120</v>
      </c>
      <c r="F121" s="1264">
        <v>5.6</v>
      </c>
      <c r="G121" s="1263" t="s">
        <v>136</v>
      </c>
      <c r="H121" s="1971" t="s">
        <v>139</v>
      </c>
      <c r="I121" s="1971" t="s">
        <v>297</v>
      </c>
      <c r="J121" s="1257" t="s">
        <v>140</v>
      </c>
    </row>
    <row r="122" spans="1:10">
      <c r="A122" s="1276" t="s">
        <v>241</v>
      </c>
      <c r="B122" s="1277" t="s">
        <v>136</v>
      </c>
      <c r="C122" s="1296" t="s">
        <v>137</v>
      </c>
      <c r="D122" s="1250" t="s">
        <v>292</v>
      </c>
      <c r="E122" s="1251">
        <v>121</v>
      </c>
      <c r="F122" s="1252" t="s">
        <v>236</v>
      </c>
      <c r="G122" s="1263" t="s">
        <v>57</v>
      </c>
      <c r="H122" s="637" t="s">
        <v>139</v>
      </c>
      <c r="I122" s="1971" t="s">
        <v>297</v>
      </c>
      <c r="J122" s="1257" t="s">
        <v>57</v>
      </c>
    </row>
    <row r="123" spans="1:10">
      <c r="A123" s="1280" t="s">
        <v>243</v>
      </c>
      <c r="B123" s="1279" t="s">
        <v>136</v>
      </c>
      <c r="C123" s="1296" t="s">
        <v>137</v>
      </c>
      <c r="D123" s="1250" t="s">
        <v>292</v>
      </c>
      <c r="E123" s="1251">
        <v>122</v>
      </c>
      <c r="F123" s="1252" t="s">
        <v>237</v>
      </c>
      <c r="G123" s="1263" t="s">
        <v>306</v>
      </c>
      <c r="H123" s="637" t="s">
        <v>139</v>
      </c>
      <c r="I123" s="1971" t="s">
        <v>297</v>
      </c>
      <c r="J123" s="1257" t="s">
        <v>172</v>
      </c>
    </row>
    <row r="124" spans="1:10">
      <c r="A124" s="1280" t="s">
        <v>244</v>
      </c>
      <c r="B124" s="1279" t="s">
        <v>178</v>
      </c>
      <c r="C124" s="1296" t="s">
        <v>137</v>
      </c>
      <c r="D124" s="1250" t="s">
        <v>292</v>
      </c>
      <c r="E124" s="1251">
        <v>123</v>
      </c>
      <c r="F124" s="1252" t="s">
        <v>238</v>
      </c>
      <c r="G124" s="1263" t="s">
        <v>307</v>
      </c>
      <c r="H124" s="637" t="s">
        <v>139</v>
      </c>
      <c r="I124" s="1971" t="s">
        <v>297</v>
      </c>
      <c r="J124" s="1301" t="s">
        <v>308</v>
      </c>
    </row>
    <row r="125" spans="1:10">
      <c r="A125" s="1280" t="s">
        <v>245</v>
      </c>
      <c r="B125" s="1279" t="s">
        <v>246</v>
      </c>
      <c r="C125" s="1296" t="s">
        <v>137</v>
      </c>
      <c r="D125" s="1250" t="s">
        <v>292</v>
      </c>
      <c r="E125" s="1251">
        <v>124</v>
      </c>
      <c r="F125" s="1252" t="s">
        <v>239</v>
      </c>
      <c r="G125" s="1263" t="s">
        <v>229</v>
      </c>
      <c r="H125" s="637" t="s">
        <v>139</v>
      </c>
      <c r="I125" s="1971" t="s">
        <v>297</v>
      </c>
      <c r="J125" s="1257" t="s">
        <v>240</v>
      </c>
    </row>
    <row r="126" spans="1:10">
      <c r="A126" s="1280" t="s">
        <v>247</v>
      </c>
      <c r="B126" s="1279" t="s">
        <v>178</v>
      </c>
      <c r="C126" s="1296" t="s">
        <v>137</v>
      </c>
      <c r="D126" s="1250" t="s">
        <v>292</v>
      </c>
      <c r="E126" s="1251">
        <v>125</v>
      </c>
      <c r="F126" s="1252" t="s">
        <v>242</v>
      </c>
      <c r="G126" s="1263" t="s">
        <v>309</v>
      </c>
      <c r="H126" s="637" t="s">
        <v>139</v>
      </c>
      <c r="I126" s="1971" t="s">
        <v>297</v>
      </c>
      <c r="J126" s="1285" t="s">
        <v>310</v>
      </c>
    </row>
    <row r="127" spans="1:10">
      <c r="A127" s="1280" t="s">
        <v>248</v>
      </c>
      <c r="B127" s="1279" t="s">
        <v>178</v>
      </c>
      <c r="C127" s="1296" t="s">
        <v>137</v>
      </c>
      <c r="D127" s="1250" t="s">
        <v>292</v>
      </c>
      <c r="E127" s="1251">
        <v>126</v>
      </c>
      <c r="F127" s="1264">
        <v>5.9</v>
      </c>
      <c r="G127" s="1263" t="s">
        <v>136</v>
      </c>
      <c r="H127" s="1971" t="s">
        <v>139</v>
      </c>
      <c r="I127" s="1971" t="s">
        <v>297</v>
      </c>
      <c r="J127" s="1257" t="s">
        <v>140</v>
      </c>
    </row>
    <row r="128" spans="1:10">
      <c r="A128" s="1280" t="s">
        <v>249</v>
      </c>
      <c r="B128" s="1279" t="s">
        <v>152</v>
      </c>
      <c r="C128" s="1296" t="s">
        <v>137</v>
      </c>
      <c r="D128" s="1250" t="s">
        <v>292</v>
      </c>
      <c r="E128" s="1251">
        <v>127</v>
      </c>
      <c r="F128" s="1268" t="s">
        <v>234</v>
      </c>
      <c r="G128" s="1263" t="s">
        <v>311</v>
      </c>
      <c r="H128" s="1971" t="s">
        <v>139</v>
      </c>
      <c r="I128" s="1971" t="s">
        <v>297</v>
      </c>
      <c r="J128" s="1257" t="s">
        <v>312</v>
      </c>
    </row>
    <row r="129" spans="1:13">
      <c r="A129" s="1280" t="s">
        <v>250</v>
      </c>
      <c r="B129" s="1279" t="s">
        <v>152</v>
      </c>
      <c r="C129" s="1296" t="s">
        <v>137</v>
      </c>
      <c r="D129" s="1250" t="s">
        <v>292</v>
      </c>
      <c r="E129" s="1251">
        <v>128</v>
      </c>
      <c r="F129" s="1264">
        <v>5.1100000000000003</v>
      </c>
      <c r="G129" s="1263" t="s">
        <v>313</v>
      </c>
      <c r="H129" s="1971" t="s">
        <v>139</v>
      </c>
      <c r="I129" s="1971" t="s">
        <v>297</v>
      </c>
      <c r="J129" s="1257" t="s">
        <v>314</v>
      </c>
      <c r="K129" s="1973"/>
      <c r="L129" s="1973"/>
      <c r="M129" s="1973"/>
    </row>
    <row r="130" spans="1:13">
      <c r="A130" s="1283" t="s">
        <v>251</v>
      </c>
      <c r="B130" s="1284" t="s">
        <v>252</v>
      </c>
      <c r="C130" s="1296" t="s">
        <v>137</v>
      </c>
      <c r="D130" s="1250" t="s">
        <v>292</v>
      </c>
      <c r="E130" s="1251">
        <v>129</v>
      </c>
      <c r="F130" s="1264">
        <v>5.12</v>
      </c>
      <c r="G130" s="1263" t="s">
        <v>164</v>
      </c>
      <c r="H130" s="1971" t="s">
        <v>139</v>
      </c>
      <c r="I130" s="1971" t="s">
        <v>297</v>
      </c>
      <c r="J130" s="1257">
        <v>10</v>
      </c>
      <c r="K130" s="1973"/>
      <c r="L130" s="1973"/>
      <c r="M130" s="1973"/>
    </row>
    <row r="131" spans="1:13">
      <c r="A131" s="1276" t="s">
        <v>253</v>
      </c>
      <c r="B131" s="1277" t="s">
        <v>136</v>
      </c>
      <c r="C131" s="1296" t="s">
        <v>137</v>
      </c>
      <c r="D131" s="1250" t="s">
        <v>292</v>
      </c>
      <c r="E131" s="1251">
        <v>130</v>
      </c>
      <c r="F131" s="1264">
        <v>5.13</v>
      </c>
      <c r="G131" s="1263" t="s">
        <v>315</v>
      </c>
      <c r="H131" s="1971" t="s">
        <v>139</v>
      </c>
      <c r="I131" s="1971" t="s">
        <v>297</v>
      </c>
      <c r="J131" s="1257" t="s">
        <v>316</v>
      </c>
      <c r="K131" s="1973"/>
      <c r="L131" s="1973"/>
      <c r="M131" s="1973"/>
    </row>
    <row r="132" spans="1:13">
      <c r="A132" s="1280" t="s">
        <v>256</v>
      </c>
      <c r="B132" s="1281" t="s">
        <v>257</v>
      </c>
      <c r="C132" s="1296" t="s">
        <v>137</v>
      </c>
      <c r="D132" s="1250" t="s">
        <v>292</v>
      </c>
      <c r="E132" s="1251">
        <v>131</v>
      </c>
      <c r="F132" s="1264">
        <v>6.1</v>
      </c>
      <c r="G132" s="1263" t="s">
        <v>136</v>
      </c>
      <c r="H132" s="1971" t="s">
        <v>139</v>
      </c>
      <c r="I132" s="1971" t="s">
        <v>297</v>
      </c>
      <c r="J132" s="1257" t="s">
        <v>140</v>
      </c>
      <c r="K132" s="1973"/>
      <c r="L132" s="1973"/>
      <c r="M132" s="1973"/>
    </row>
    <row r="133" spans="1:13">
      <c r="A133" s="1280" t="s">
        <v>259</v>
      </c>
      <c r="B133" s="1279" t="s">
        <v>260</v>
      </c>
      <c r="C133" s="1296" t="s">
        <v>137</v>
      </c>
      <c r="D133" s="1250" t="s">
        <v>292</v>
      </c>
      <c r="E133" s="1251">
        <v>132</v>
      </c>
      <c r="F133" s="1264">
        <v>6.2</v>
      </c>
      <c r="G133" s="1263" t="s">
        <v>136</v>
      </c>
      <c r="H133" s="1971" t="s">
        <v>139</v>
      </c>
      <c r="I133" s="1971" t="s">
        <v>297</v>
      </c>
      <c r="J133" s="1257" t="s">
        <v>140</v>
      </c>
      <c r="K133" s="1973"/>
      <c r="L133" s="1973"/>
      <c r="M133" s="1973"/>
    </row>
    <row r="134" spans="1:13">
      <c r="A134" s="1280" t="s">
        <v>263</v>
      </c>
      <c r="B134" s="1279" t="s">
        <v>57</v>
      </c>
      <c r="C134" s="1296" t="s">
        <v>137</v>
      </c>
      <c r="D134" s="1250" t="s">
        <v>292</v>
      </c>
      <c r="E134" s="1251">
        <v>133</v>
      </c>
      <c r="F134" s="1264">
        <v>6.3</v>
      </c>
      <c r="G134" s="1263" t="s">
        <v>190</v>
      </c>
      <c r="H134" s="1971" t="s">
        <v>139</v>
      </c>
      <c r="I134" s="1971" t="s">
        <v>297</v>
      </c>
      <c r="J134" s="1285" t="s">
        <v>191</v>
      </c>
      <c r="K134" s="1973"/>
      <c r="L134" s="1973"/>
      <c r="M134" s="1973"/>
    </row>
    <row r="135" spans="1:13">
      <c r="A135" s="1278" t="s">
        <v>264</v>
      </c>
      <c r="B135" s="1279" t="s">
        <v>152</v>
      </c>
      <c r="C135" s="1296" t="s">
        <v>137</v>
      </c>
      <c r="D135" s="1250" t="s">
        <v>292</v>
      </c>
      <c r="E135" s="1251">
        <v>134</v>
      </c>
      <c r="F135" s="1264">
        <v>6.4</v>
      </c>
      <c r="G135" s="1263" t="s">
        <v>254</v>
      </c>
      <c r="H135" s="1971" t="s">
        <v>139</v>
      </c>
      <c r="I135" s="1971" t="s">
        <v>297</v>
      </c>
      <c r="J135" s="1257" t="s">
        <v>255</v>
      </c>
      <c r="K135" s="1973"/>
      <c r="L135" s="1973"/>
      <c r="M135" s="1973"/>
    </row>
    <row r="136" spans="1:13">
      <c r="A136" s="1280" t="s">
        <v>265</v>
      </c>
      <c r="B136" s="1279" t="s">
        <v>57</v>
      </c>
      <c r="C136" s="1296" t="s">
        <v>137</v>
      </c>
      <c r="D136" s="1250" t="s">
        <v>292</v>
      </c>
      <c r="E136" s="1251">
        <v>135</v>
      </c>
      <c r="F136" s="1252" t="s">
        <v>258</v>
      </c>
      <c r="G136" s="1263" t="s">
        <v>147</v>
      </c>
      <c r="H136" s="637" t="s">
        <v>139</v>
      </c>
      <c r="I136" s="1971" t="s">
        <v>297</v>
      </c>
      <c r="J136" s="1257" t="s">
        <v>172</v>
      </c>
      <c r="K136" s="1973"/>
      <c r="L136" s="1973"/>
      <c r="M136" s="1973"/>
    </row>
    <row r="137" spans="1:13">
      <c r="A137" s="1278" t="s">
        <v>268</v>
      </c>
      <c r="B137" s="1279" t="s">
        <v>156</v>
      </c>
      <c r="C137" s="1296" t="s">
        <v>137</v>
      </c>
      <c r="D137" s="1250" t="s">
        <v>292</v>
      </c>
      <c r="E137" s="1251">
        <v>136</v>
      </c>
      <c r="F137" s="1252" t="s">
        <v>261</v>
      </c>
      <c r="G137" s="1256" t="s">
        <v>262</v>
      </c>
      <c r="H137" s="637" t="s">
        <v>139</v>
      </c>
      <c r="I137" s="1971" t="s">
        <v>297</v>
      </c>
      <c r="J137" s="1257" t="s">
        <v>172</v>
      </c>
      <c r="K137" s="1973"/>
      <c r="L137" s="1973"/>
      <c r="M137" s="1973"/>
    </row>
    <row r="138" spans="1:13">
      <c r="A138" s="1280">
        <v>7.5</v>
      </c>
      <c r="B138" s="1279" t="s">
        <v>136</v>
      </c>
      <c r="C138" s="1296" t="s">
        <v>137</v>
      </c>
      <c r="D138" s="1250" t="s">
        <v>292</v>
      </c>
      <c r="E138" s="1251">
        <v>137</v>
      </c>
      <c r="F138" s="1264">
        <v>6.6</v>
      </c>
      <c r="G138" s="1263" t="s">
        <v>145</v>
      </c>
      <c r="H138" s="1971" t="s">
        <v>139</v>
      </c>
      <c r="I138" s="1971" t="s">
        <v>297</v>
      </c>
      <c r="J138" s="1285" t="s">
        <v>146</v>
      </c>
      <c r="K138" s="1973"/>
      <c r="L138" s="1973"/>
      <c r="M138" s="1973"/>
    </row>
    <row r="139" spans="1:13">
      <c r="A139" s="1280">
        <v>7.6</v>
      </c>
      <c r="B139" s="1279" t="s">
        <v>136</v>
      </c>
      <c r="C139" s="1296" t="s">
        <v>137</v>
      </c>
      <c r="D139" s="1250" t="s">
        <v>292</v>
      </c>
      <c r="E139" s="1251">
        <v>138</v>
      </c>
      <c r="F139" s="1264">
        <v>7.1</v>
      </c>
      <c r="G139" s="1263" t="s">
        <v>136</v>
      </c>
      <c r="H139" s="1971" t="s">
        <v>139</v>
      </c>
      <c r="I139" s="1971" t="s">
        <v>297</v>
      </c>
      <c r="J139" s="1257" t="s">
        <v>140</v>
      </c>
      <c r="K139" s="1973"/>
      <c r="L139" s="1973"/>
      <c r="M139" s="1973"/>
    </row>
    <row r="140" spans="1:13">
      <c r="A140" s="1280">
        <v>7.7</v>
      </c>
      <c r="B140" s="1279" t="s">
        <v>136</v>
      </c>
      <c r="C140" s="1296" t="s">
        <v>137</v>
      </c>
      <c r="D140" s="1250" t="s">
        <v>292</v>
      </c>
      <c r="E140" s="1251">
        <v>139</v>
      </c>
      <c r="F140" s="1252" t="s">
        <v>266</v>
      </c>
      <c r="G140" s="1256" t="s">
        <v>267</v>
      </c>
      <c r="H140" s="637" t="s">
        <v>139</v>
      </c>
      <c r="I140" s="1971" t="s">
        <v>297</v>
      </c>
      <c r="J140" s="1257" t="s">
        <v>185</v>
      </c>
      <c r="K140" s="1973"/>
      <c r="L140" s="1973"/>
      <c r="M140" s="1973"/>
    </row>
    <row r="141" spans="1:13">
      <c r="A141" s="1280">
        <v>7.8</v>
      </c>
      <c r="B141" s="1279" t="s">
        <v>136</v>
      </c>
      <c r="C141" s="1296" t="s">
        <v>137</v>
      </c>
      <c r="D141" s="1250" t="s">
        <v>292</v>
      </c>
      <c r="E141" s="1251">
        <v>140</v>
      </c>
      <c r="F141" s="1252" t="s">
        <v>269</v>
      </c>
      <c r="G141" s="1256" t="s">
        <v>270</v>
      </c>
      <c r="H141" s="637" t="s">
        <v>139</v>
      </c>
      <c r="I141" s="1971" t="s">
        <v>297</v>
      </c>
      <c r="J141" s="1257" t="s">
        <v>271</v>
      </c>
      <c r="K141" s="1973"/>
      <c r="L141" s="1973"/>
      <c r="M141" s="1973">
        <f>240/20</f>
        <v>12</v>
      </c>
    </row>
    <row r="142" spans="1:13">
      <c r="A142" s="1286" t="s">
        <v>276</v>
      </c>
      <c r="B142" s="1279" t="s">
        <v>57</v>
      </c>
      <c r="C142" s="1296" t="s">
        <v>137</v>
      </c>
      <c r="D142" s="1250" t="s">
        <v>292</v>
      </c>
      <c r="E142" s="1251">
        <v>141</v>
      </c>
      <c r="F142" s="1252" t="s">
        <v>272</v>
      </c>
      <c r="G142" s="1256" t="s">
        <v>136</v>
      </c>
      <c r="H142" s="637" t="s">
        <v>139</v>
      </c>
      <c r="I142" s="1971" t="s">
        <v>297</v>
      </c>
      <c r="J142" s="1257" t="s">
        <v>140</v>
      </c>
      <c r="K142" s="1973"/>
      <c r="L142" s="1973"/>
      <c r="M142" s="1973"/>
    </row>
    <row r="143" spans="1:13">
      <c r="A143" s="1280" t="s">
        <v>277</v>
      </c>
      <c r="B143" s="1279" t="s">
        <v>136</v>
      </c>
      <c r="C143" s="1296" t="s">
        <v>137</v>
      </c>
      <c r="D143" s="1250" t="s">
        <v>292</v>
      </c>
      <c r="E143" s="1251">
        <v>142</v>
      </c>
      <c r="F143" s="1252" t="s">
        <v>273</v>
      </c>
      <c r="G143" s="1263" t="s">
        <v>57</v>
      </c>
      <c r="H143" s="637" t="s">
        <v>139</v>
      </c>
      <c r="I143" s="1971" t="s">
        <v>297</v>
      </c>
      <c r="J143" s="1257" t="s">
        <v>57</v>
      </c>
      <c r="K143" s="1973"/>
      <c r="L143" s="1973"/>
      <c r="M143" s="1973"/>
    </row>
    <row r="144" spans="1:13">
      <c r="A144" s="1280" t="s">
        <v>278</v>
      </c>
      <c r="B144" s="1279" t="s">
        <v>136</v>
      </c>
      <c r="C144" s="1296" t="s">
        <v>137</v>
      </c>
      <c r="D144" s="1250" t="s">
        <v>292</v>
      </c>
      <c r="E144" s="1251">
        <v>143</v>
      </c>
      <c r="F144" s="1252" t="s">
        <v>274</v>
      </c>
      <c r="G144" s="1263" t="s">
        <v>57</v>
      </c>
      <c r="H144" s="637" t="s">
        <v>139</v>
      </c>
      <c r="I144" s="1971" t="s">
        <v>297</v>
      </c>
      <c r="J144" s="1257" t="s">
        <v>57</v>
      </c>
      <c r="K144" s="1973"/>
      <c r="L144" s="1973"/>
      <c r="M144" s="1973"/>
    </row>
    <row r="145" spans="1:10">
      <c r="A145" s="1280" t="s">
        <v>279</v>
      </c>
      <c r="B145" s="1279" t="s">
        <v>136</v>
      </c>
      <c r="C145" s="1296" t="s">
        <v>137</v>
      </c>
      <c r="D145" s="1250" t="s">
        <v>292</v>
      </c>
      <c r="E145" s="1251">
        <v>144</v>
      </c>
      <c r="F145" s="1252" t="s">
        <v>275</v>
      </c>
      <c r="G145" s="1263" t="s">
        <v>156</v>
      </c>
      <c r="H145" s="637" t="s">
        <v>139</v>
      </c>
      <c r="I145" s="1971" t="s">
        <v>297</v>
      </c>
      <c r="J145" s="1257" t="s">
        <v>176</v>
      </c>
    </row>
    <row r="146" spans="1:10">
      <c r="A146" s="1280">
        <v>7.11</v>
      </c>
      <c r="B146" s="1279" t="s">
        <v>136</v>
      </c>
      <c r="C146" s="1296" t="s">
        <v>137</v>
      </c>
      <c r="D146" s="1250" t="s">
        <v>292</v>
      </c>
      <c r="E146" s="1251">
        <v>145</v>
      </c>
      <c r="F146" s="1264">
        <v>7.5</v>
      </c>
      <c r="G146" s="1263" t="s">
        <v>136</v>
      </c>
      <c r="H146" s="1971" t="s">
        <v>139</v>
      </c>
      <c r="I146" s="1971" t="s">
        <v>297</v>
      </c>
      <c r="J146" s="1257" t="s">
        <v>140</v>
      </c>
    </row>
    <row r="147" spans="1:10">
      <c r="A147" s="1280">
        <v>7.12</v>
      </c>
      <c r="B147" s="1279" t="s">
        <v>136</v>
      </c>
      <c r="C147" s="1296" t="s">
        <v>137</v>
      </c>
      <c r="D147" s="1250" t="s">
        <v>292</v>
      </c>
      <c r="E147" s="1251">
        <v>146</v>
      </c>
      <c r="F147" s="1264">
        <v>7.6</v>
      </c>
      <c r="G147" s="1263" t="s">
        <v>136</v>
      </c>
      <c r="H147" s="1971" t="s">
        <v>139</v>
      </c>
      <c r="I147" s="1971" t="s">
        <v>297</v>
      </c>
      <c r="J147" s="1257" t="s">
        <v>140</v>
      </c>
    </row>
    <row r="148" spans="1:10">
      <c r="A148" s="1280">
        <v>7.13</v>
      </c>
      <c r="B148" s="1279" t="s">
        <v>57</v>
      </c>
      <c r="C148" s="1296" t="s">
        <v>137</v>
      </c>
      <c r="D148" s="1250" t="s">
        <v>292</v>
      </c>
      <c r="E148" s="1251">
        <v>147</v>
      </c>
      <c r="F148" s="1264">
        <v>7.7</v>
      </c>
      <c r="G148" s="1263" t="s">
        <v>136</v>
      </c>
      <c r="H148" s="1971" t="s">
        <v>139</v>
      </c>
      <c r="I148" s="1971" t="s">
        <v>297</v>
      </c>
      <c r="J148" s="1257" t="s">
        <v>140</v>
      </c>
    </row>
    <row r="149" spans="1:10">
      <c r="A149" s="1280">
        <v>7.14</v>
      </c>
      <c r="B149" s="1279" t="s">
        <v>136</v>
      </c>
      <c r="C149" s="1296" t="s">
        <v>137</v>
      </c>
      <c r="D149" s="1250" t="s">
        <v>292</v>
      </c>
      <c r="E149" s="1251">
        <v>148</v>
      </c>
      <c r="F149" s="1264">
        <v>7.8</v>
      </c>
      <c r="G149" s="1263" t="s">
        <v>136</v>
      </c>
      <c r="H149" s="1971" t="s">
        <v>139</v>
      </c>
      <c r="I149" s="1971" t="s">
        <v>297</v>
      </c>
      <c r="J149" s="1257" t="s">
        <v>140</v>
      </c>
    </row>
    <row r="150" spans="1:10">
      <c r="A150" s="1280">
        <v>7.15</v>
      </c>
      <c r="B150" s="1279" t="s">
        <v>136</v>
      </c>
      <c r="C150" s="1296" t="s">
        <v>137</v>
      </c>
      <c r="D150" s="1250" t="s">
        <v>292</v>
      </c>
      <c r="E150" s="1251">
        <v>149</v>
      </c>
      <c r="F150" s="1264">
        <v>7.9</v>
      </c>
      <c r="G150" s="1263" t="s">
        <v>136</v>
      </c>
      <c r="H150" s="1971" t="s">
        <v>139</v>
      </c>
      <c r="I150" s="1971" t="s">
        <v>297</v>
      </c>
      <c r="J150" s="1257" t="s">
        <v>140</v>
      </c>
    </row>
    <row r="151" spans="1:10">
      <c r="A151" s="1280">
        <v>7.16</v>
      </c>
      <c r="B151" s="1279" t="s">
        <v>136</v>
      </c>
      <c r="C151" s="1296" t="s">
        <v>137</v>
      </c>
      <c r="D151" s="1250" t="s">
        <v>292</v>
      </c>
      <c r="E151" s="1251">
        <v>150</v>
      </c>
      <c r="F151" s="1268" t="s">
        <v>279</v>
      </c>
      <c r="G151" s="1263" t="s">
        <v>317</v>
      </c>
      <c r="H151" s="1971" t="s">
        <v>139</v>
      </c>
      <c r="I151" s="1971" t="s">
        <v>297</v>
      </c>
      <c r="J151" s="1257" t="s">
        <v>185</v>
      </c>
    </row>
    <row r="152" spans="1:10">
      <c r="A152" s="1283">
        <v>7.17</v>
      </c>
      <c r="B152" s="1284" t="s">
        <v>212</v>
      </c>
      <c r="C152" s="1296" t="s">
        <v>137</v>
      </c>
      <c r="D152" s="1250" t="s">
        <v>292</v>
      </c>
      <c r="E152" s="1251">
        <v>151</v>
      </c>
      <c r="F152" s="1264">
        <v>7.11</v>
      </c>
      <c r="G152" s="1263" t="s">
        <v>136</v>
      </c>
      <c r="H152" s="1971" t="s">
        <v>139</v>
      </c>
      <c r="I152" s="1971" t="s">
        <v>297</v>
      </c>
      <c r="J152" s="1257" t="s">
        <v>140</v>
      </c>
    </row>
    <row r="153" spans="1:10">
      <c r="A153" s="1276" t="s">
        <v>285</v>
      </c>
      <c r="B153" s="1277" t="s">
        <v>136</v>
      </c>
      <c r="C153" s="1296" t="s">
        <v>137</v>
      </c>
      <c r="D153" s="1250" t="s">
        <v>292</v>
      </c>
      <c r="E153" s="1251">
        <v>152</v>
      </c>
      <c r="F153" s="1264">
        <v>7.12</v>
      </c>
      <c r="G153" s="1263" t="s">
        <v>136</v>
      </c>
      <c r="H153" s="1971" t="s">
        <v>139</v>
      </c>
      <c r="I153" s="1971" t="s">
        <v>297</v>
      </c>
      <c r="J153" s="1257" t="s">
        <v>140</v>
      </c>
    </row>
    <row r="154" spans="1:10">
      <c r="A154" s="1280" t="s">
        <v>286</v>
      </c>
      <c r="B154" s="1279" t="s">
        <v>136</v>
      </c>
      <c r="C154" s="1296" t="s">
        <v>137</v>
      </c>
      <c r="D154" s="1250" t="s">
        <v>292</v>
      </c>
      <c r="E154" s="1251">
        <v>153</v>
      </c>
      <c r="F154" s="1252" t="s">
        <v>281</v>
      </c>
      <c r="G154" s="1263" t="s">
        <v>57</v>
      </c>
      <c r="H154" s="637" t="s">
        <v>139</v>
      </c>
      <c r="I154" s="1971" t="s">
        <v>297</v>
      </c>
      <c r="J154" s="1257" t="s">
        <v>57</v>
      </c>
    </row>
    <row r="155" spans="1:10">
      <c r="A155" s="1280" t="s">
        <v>287</v>
      </c>
      <c r="B155" s="1279" t="s">
        <v>136</v>
      </c>
      <c r="C155" s="1296" t="s">
        <v>137</v>
      </c>
      <c r="D155" s="1250" t="s">
        <v>292</v>
      </c>
      <c r="E155" s="1251">
        <v>154</v>
      </c>
      <c r="F155" s="1252" t="s">
        <v>282</v>
      </c>
      <c r="G155" s="1263" t="s">
        <v>318</v>
      </c>
      <c r="H155" s="637" t="s">
        <v>139</v>
      </c>
      <c r="I155" s="1971" t="s">
        <v>297</v>
      </c>
      <c r="J155" s="1257" t="s">
        <v>319</v>
      </c>
    </row>
    <row r="156" spans="1:10">
      <c r="A156" s="1280" t="s">
        <v>288</v>
      </c>
      <c r="B156" s="1279" t="s">
        <v>212</v>
      </c>
      <c r="C156" s="1296" t="s">
        <v>137</v>
      </c>
      <c r="D156" s="1250" t="s">
        <v>292</v>
      </c>
      <c r="E156" s="1251">
        <v>155</v>
      </c>
      <c r="F156" s="1264">
        <v>7.14</v>
      </c>
      <c r="G156" s="1263" t="s">
        <v>136</v>
      </c>
      <c r="H156" s="1971" t="s">
        <v>139</v>
      </c>
      <c r="I156" s="1971" t="s">
        <v>297</v>
      </c>
      <c r="J156" s="1257" t="s">
        <v>140</v>
      </c>
    </row>
    <row r="157" spans="1:10" s="965" customFormat="1">
      <c r="A157" s="1302" t="s">
        <v>290</v>
      </c>
      <c r="B157" s="1269" t="s">
        <v>147</v>
      </c>
      <c r="C157" s="1269" t="s">
        <v>137</v>
      </c>
      <c r="D157" s="1269" t="s">
        <v>292</v>
      </c>
      <c r="E157" s="1251">
        <v>156</v>
      </c>
      <c r="F157" s="1274">
        <v>7.15</v>
      </c>
      <c r="G157" s="1263" t="s">
        <v>136</v>
      </c>
      <c r="H157" s="1971" t="s">
        <v>139</v>
      </c>
      <c r="I157" s="1971" t="s">
        <v>297</v>
      </c>
      <c r="J157" s="1289" t="s">
        <v>140</v>
      </c>
    </row>
    <row r="158" spans="1:10" s="965" customFormat="1">
      <c r="A158" s="1260">
        <v>1.1000000000000001</v>
      </c>
      <c r="B158" s="1303" t="s">
        <v>136</v>
      </c>
      <c r="C158" s="1304" t="s">
        <v>137</v>
      </c>
      <c r="D158" s="1269" t="s">
        <v>320</v>
      </c>
      <c r="E158" s="1251">
        <v>157</v>
      </c>
      <c r="F158" s="1274">
        <v>7.16</v>
      </c>
      <c r="G158" s="1263" t="s">
        <v>136</v>
      </c>
      <c r="H158" s="1971" t="s">
        <v>139</v>
      </c>
      <c r="I158" s="1971" t="s">
        <v>297</v>
      </c>
      <c r="J158" s="1305" t="s">
        <v>140</v>
      </c>
    </row>
    <row r="159" spans="1:10">
      <c r="A159" s="1306">
        <v>1.2</v>
      </c>
      <c r="B159" s="1307" t="s">
        <v>141</v>
      </c>
      <c r="C159" s="1294" t="s">
        <v>137</v>
      </c>
      <c r="D159" s="1250" t="s">
        <v>320</v>
      </c>
      <c r="E159" s="1251">
        <v>158</v>
      </c>
      <c r="F159" s="1274">
        <v>7.17</v>
      </c>
      <c r="G159" s="1263" t="s">
        <v>136</v>
      </c>
      <c r="H159" s="637" t="s">
        <v>139</v>
      </c>
      <c r="I159" s="1971" t="s">
        <v>297</v>
      </c>
      <c r="J159" s="1295" t="s">
        <v>140</v>
      </c>
    </row>
    <row r="160" spans="1:10">
      <c r="A160" s="1260">
        <v>2.1</v>
      </c>
      <c r="B160" s="1255" t="s">
        <v>136</v>
      </c>
      <c r="C160" s="1296" t="s">
        <v>137</v>
      </c>
      <c r="D160" s="1250" t="s">
        <v>320</v>
      </c>
      <c r="E160" s="1251">
        <v>159</v>
      </c>
      <c r="F160" s="1252" t="s">
        <v>289</v>
      </c>
      <c r="G160" s="1263" t="s">
        <v>136</v>
      </c>
      <c r="H160" s="637" t="s">
        <v>139</v>
      </c>
      <c r="I160" s="1971" t="s">
        <v>297</v>
      </c>
      <c r="J160" s="1257" t="s">
        <v>140</v>
      </c>
    </row>
    <row r="161" spans="1:10">
      <c r="A161" s="1261">
        <v>2.2000000000000002</v>
      </c>
      <c r="B161" s="1262" t="s">
        <v>57</v>
      </c>
      <c r="C161" s="1296" t="s">
        <v>137</v>
      </c>
      <c r="D161" s="1250" t="s">
        <v>320</v>
      </c>
      <c r="E161" s="1251">
        <v>160</v>
      </c>
      <c r="F161" s="1252" t="s">
        <v>291</v>
      </c>
      <c r="G161" s="1256" t="s">
        <v>212</v>
      </c>
      <c r="H161" s="637" t="s">
        <v>139</v>
      </c>
      <c r="I161" s="1971" t="s">
        <v>297</v>
      </c>
      <c r="J161" s="1257" t="s">
        <v>213</v>
      </c>
    </row>
    <row r="162" spans="1:10">
      <c r="A162" s="1261">
        <v>2.2999999999999998</v>
      </c>
      <c r="B162" s="1262" t="s">
        <v>136</v>
      </c>
      <c r="C162" s="1296" t="s">
        <v>137</v>
      </c>
      <c r="D162" s="1250" t="s">
        <v>320</v>
      </c>
      <c r="E162" s="1251">
        <v>161</v>
      </c>
      <c r="F162" s="1264">
        <v>8.1999999999999993</v>
      </c>
      <c r="G162" s="1263" t="s">
        <v>293</v>
      </c>
      <c r="H162" s="1971" t="s">
        <v>139</v>
      </c>
      <c r="I162" s="1971" t="s">
        <v>297</v>
      </c>
      <c r="J162" s="1257" t="s">
        <v>294</v>
      </c>
    </row>
    <row r="163" spans="1:10">
      <c r="A163" s="1261">
        <v>2.4</v>
      </c>
      <c r="B163" s="1262" t="s">
        <v>152</v>
      </c>
      <c r="C163" s="1296" t="s">
        <v>137</v>
      </c>
      <c r="D163" s="1250" t="s">
        <v>320</v>
      </c>
      <c r="E163" s="1251">
        <v>162</v>
      </c>
      <c r="F163" s="1264">
        <v>8.3000000000000007</v>
      </c>
      <c r="G163" s="1263" t="s">
        <v>136</v>
      </c>
      <c r="H163" s="1971" t="s">
        <v>139</v>
      </c>
      <c r="I163" s="1971" t="s">
        <v>297</v>
      </c>
      <c r="J163" s="1257" t="s">
        <v>140</v>
      </c>
    </row>
    <row r="164" spans="1:10">
      <c r="A164" s="1261">
        <v>2.5</v>
      </c>
      <c r="B164" s="1262" t="s">
        <v>155</v>
      </c>
      <c r="C164" s="1296" t="s">
        <v>137</v>
      </c>
      <c r="D164" s="1250" t="s">
        <v>320</v>
      </c>
      <c r="E164" s="1251">
        <v>163</v>
      </c>
      <c r="F164" s="1264">
        <v>8.4</v>
      </c>
      <c r="G164" s="1263" t="s">
        <v>295</v>
      </c>
      <c r="H164" s="1971" t="s">
        <v>139</v>
      </c>
      <c r="I164" s="1971" t="s">
        <v>297</v>
      </c>
      <c r="J164" s="1257" t="s">
        <v>296</v>
      </c>
    </row>
    <row r="165" spans="1:10" ht="15" thickBot="1">
      <c r="A165" s="1261">
        <v>2.6</v>
      </c>
      <c r="B165" s="1262" t="s">
        <v>156</v>
      </c>
      <c r="C165" s="1296" t="s">
        <v>137</v>
      </c>
      <c r="D165" s="1250" t="s">
        <v>320</v>
      </c>
      <c r="E165" s="1251">
        <v>164</v>
      </c>
      <c r="F165" s="1297">
        <v>8.5</v>
      </c>
      <c r="G165" s="1308" t="s">
        <v>136</v>
      </c>
      <c r="H165" s="1309" t="s">
        <v>139</v>
      </c>
      <c r="I165" s="1971" t="s">
        <v>297</v>
      </c>
      <c r="J165" s="1300" t="s">
        <v>140</v>
      </c>
    </row>
    <row r="166" spans="1:10" ht="15" thickTop="1">
      <c r="A166" s="1265" t="s">
        <v>157</v>
      </c>
      <c r="B166" s="1262" t="s">
        <v>57</v>
      </c>
      <c r="C166" s="1296" t="s">
        <v>137</v>
      </c>
      <c r="D166" s="1250" t="s">
        <v>320</v>
      </c>
      <c r="E166" s="1251">
        <v>165</v>
      </c>
      <c r="F166" s="1252" t="s">
        <v>138</v>
      </c>
      <c r="G166" s="1310" t="s">
        <v>136</v>
      </c>
      <c r="H166" s="1971" t="s">
        <v>139</v>
      </c>
      <c r="I166" s="1971" t="s">
        <v>321</v>
      </c>
      <c r="J166" s="1295" t="s">
        <v>140</v>
      </c>
    </row>
    <row r="167" spans="1:10">
      <c r="A167" s="1261" t="s">
        <v>158</v>
      </c>
      <c r="B167" s="1262" t="s">
        <v>159</v>
      </c>
      <c r="C167" s="1296" t="s">
        <v>137</v>
      </c>
      <c r="D167" s="1250" t="s">
        <v>320</v>
      </c>
      <c r="E167" s="1251">
        <v>166</v>
      </c>
      <c r="F167" s="1252" t="s">
        <v>142</v>
      </c>
      <c r="G167" s="1256" t="s">
        <v>143</v>
      </c>
      <c r="H167" s="1971" t="s">
        <v>139</v>
      </c>
      <c r="I167" s="1971" t="s">
        <v>321</v>
      </c>
      <c r="J167" s="1257" t="s">
        <v>144</v>
      </c>
    </row>
    <row r="168" spans="1:10">
      <c r="A168" s="1261">
        <v>2.8</v>
      </c>
      <c r="B168" s="1262" t="s">
        <v>161</v>
      </c>
      <c r="C168" s="1296" t="s">
        <v>137</v>
      </c>
      <c r="D168" s="1250" t="s">
        <v>320</v>
      </c>
      <c r="E168" s="1251">
        <v>167</v>
      </c>
      <c r="F168" s="1264">
        <v>1.2</v>
      </c>
      <c r="G168" s="1263" t="s">
        <v>298</v>
      </c>
      <c r="H168" s="1971" t="s">
        <v>139</v>
      </c>
      <c r="I168" s="1971" t="s">
        <v>321</v>
      </c>
      <c r="J168" s="1257" t="s">
        <v>146</v>
      </c>
    </row>
    <row r="169" spans="1:10">
      <c r="A169" s="1261">
        <v>2.9</v>
      </c>
      <c r="B169" s="1262" t="s">
        <v>164</v>
      </c>
      <c r="C169" s="1296" t="s">
        <v>137</v>
      </c>
      <c r="D169" s="1250" t="s">
        <v>320</v>
      </c>
      <c r="E169" s="1251">
        <v>168</v>
      </c>
      <c r="F169" s="1252" t="s">
        <v>148</v>
      </c>
      <c r="G169" s="1263" t="s">
        <v>136</v>
      </c>
      <c r="H169" s="1971" t="s">
        <v>139</v>
      </c>
      <c r="I169" s="1971" t="s">
        <v>321</v>
      </c>
      <c r="J169" s="1257" t="s">
        <v>140</v>
      </c>
    </row>
    <row r="170" spans="1:10">
      <c r="A170" s="1266" t="s">
        <v>165</v>
      </c>
      <c r="B170" s="1259" t="s">
        <v>156</v>
      </c>
      <c r="C170" s="1296" t="s">
        <v>137</v>
      </c>
      <c r="D170" s="1250" t="s">
        <v>320</v>
      </c>
      <c r="E170" s="1251">
        <v>169</v>
      </c>
      <c r="F170" s="1252" t="s">
        <v>149</v>
      </c>
      <c r="G170" s="1263" t="s">
        <v>150</v>
      </c>
      <c r="H170" s="1971" t="s">
        <v>139</v>
      </c>
      <c r="I170" s="1971" t="s">
        <v>321</v>
      </c>
      <c r="J170" s="1257" t="s">
        <v>151</v>
      </c>
    </row>
    <row r="171" spans="1:10">
      <c r="A171" s="1260" t="s">
        <v>167</v>
      </c>
      <c r="B171" s="1255" t="s">
        <v>136</v>
      </c>
      <c r="C171" s="1296" t="s">
        <v>137</v>
      </c>
      <c r="D171" s="1250" t="s">
        <v>320</v>
      </c>
      <c r="E171" s="1251">
        <v>170</v>
      </c>
      <c r="F171" s="1264">
        <v>1.4</v>
      </c>
      <c r="G171" s="1263" t="s">
        <v>153</v>
      </c>
      <c r="H171" s="1971" t="s">
        <v>139</v>
      </c>
      <c r="I171" s="1971" t="s">
        <v>321</v>
      </c>
      <c r="J171" s="1257" t="s">
        <v>154</v>
      </c>
    </row>
    <row r="172" spans="1:10">
      <c r="A172" s="1261" t="s">
        <v>171</v>
      </c>
      <c r="B172" s="1262" t="s">
        <v>136</v>
      </c>
      <c r="C172" s="1296" t="s">
        <v>137</v>
      </c>
      <c r="D172" s="1250" t="s">
        <v>320</v>
      </c>
      <c r="E172" s="1251">
        <v>171</v>
      </c>
      <c r="F172" s="1264">
        <v>2.1</v>
      </c>
      <c r="G172" s="1263" t="s">
        <v>136</v>
      </c>
      <c r="H172" s="1971" t="s">
        <v>139</v>
      </c>
      <c r="I172" s="1971" t="s">
        <v>321</v>
      </c>
      <c r="J172" s="1257" t="s">
        <v>140</v>
      </c>
    </row>
    <row r="173" spans="1:10">
      <c r="A173" s="1261" t="s">
        <v>173</v>
      </c>
      <c r="B173" s="1267" t="s">
        <v>174</v>
      </c>
      <c r="C173" s="1296" t="s">
        <v>137</v>
      </c>
      <c r="D173" s="1250" t="s">
        <v>320</v>
      </c>
      <c r="E173" s="1251">
        <v>172</v>
      </c>
      <c r="F173" s="1264">
        <v>2.2000000000000002</v>
      </c>
      <c r="G173" s="1263" t="s">
        <v>57</v>
      </c>
      <c r="H173" s="1971" t="s">
        <v>139</v>
      </c>
      <c r="I173" s="1971" t="s">
        <v>321</v>
      </c>
      <c r="J173" s="1257" t="s">
        <v>57</v>
      </c>
    </row>
    <row r="174" spans="1:10">
      <c r="A174" s="1261" t="s">
        <v>175</v>
      </c>
      <c r="B174" s="1262" t="s">
        <v>152</v>
      </c>
      <c r="C174" s="1296" t="s">
        <v>137</v>
      </c>
      <c r="D174" s="1250" t="s">
        <v>320</v>
      </c>
      <c r="E174" s="1251">
        <v>173</v>
      </c>
      <c r="F174" s="1264">
        <v>2.2999999999999998</v>
      </c>
      <c r="G174" s="1263" t="s">
        <v>136</v>
      </c>
      <c r="H174" s="1971" t="s">
        <v>139</v>
      </c>
      <c r="I174" s="1971" t="s">
        <v>321</v>
      </c>
      <c r="J174" s="1257" t="s">
        <v>140</v>
      </c>
    </row>
    <row r="175" spans="1:10">
      <c r="A175" s="1261" t="s">
        <v>177</v>
      </c>
      <c r="B175" s="1262" t="s">
        <v>178</v>
      </c>
      <c r="C175" s="1296" t="s">
        <v>137</v>
      </c>
      <c r="D175" s="1250" t="s">
        <v>320</v>
      </c>
      <c r="E175" s="1251">
        <v>174</v>
      </c>
      <c r="F175" s="1264">
        <v>2.4</v>
      </c>
      <c r="G175" s="1256" t="s">
        <v>152</v>
      </c>
      <c r="H175" s="1971" t="s">
        <v>139</v>
      </c>
      <c r="I175" s="1971" t="s">
        <v>321</v>
      </c>
      <c r="J175" s="1257" t="s">
        <v>160</v>
      </c>
    </row>
    <row r="176" spans="1:10">
      <c r="A176" s="1261" t="s">
        <v>179</v>
      </c>
      <c r="B176" s="1267" t="s">
        <v>180</v>
      </c>
      <c r="C176" s="1296" t="s">
        <v>137</v>
      </c>
      <c r="D176" s="1250" t="s">
        <v>320</v>
      </c>
      <c r="E176" s="1251">
        <v>175</v>
      </c>
      <c r="F176" s="1264">
        <v>2.5</v>
      </c>
      <c r="G176" s="1256" t="s">
        <v>162</v>
      </c>
      <c r="H176" s="1971" t="s">
        <v>139</v>
      </c>
      <c r="I176" s="1971" t="s">
        <v>321</v>
      </c>
      <c r="J176" s="1257" t="s">
        <v>163</v>
      </c>
    </row>
    <row r="177" spans="1:10">
      <c r="A177" s="1261" t="s">
        <v>181</v>
      </c>
      <c r="B177" s="1262" t="s">
        <v>182</v>
      </c>
      <c r="C177" s="1296" t="s">
        <v>137</v>
      </c>
      <c r="D177" s="1250" t="s">
        <v>320</v>
      </c>
      <c r="E177" s="1251">
        <v>176</v>
      </c>
      <c r="F177" s="1264">
        <v>2.6</v>
      </c>
      <c r="G177" s="1263" t="s">
        <v>136</v>
      </c>
      <c r="H177" s="1971" t="s">
        <v>139</v>
      </c>
      <c r="I177" s="1971" t="s">
        <v>321</v>
      </c>
      <c r="J177" s="1257" t="s">
        <v>140</v>
      </c>
    </row>
    <row r="178" spans="1:10">
      <c r="A178" s="1261" t="s">
        <v>186</v>
      </c>
      <c r="B178" s="1259" t="s">
        <v>136</v>
      </c>
      <c r="C178" s="1296" t="s">
        <v>137</v>
      </c>
      <c r="D178" s="1250" t="s">
        <v>320</v>
      </c>
      <c r="E178" s="1251">
        <v>177</v>
      </c>
      <c r="F178" s="1252" t="s">
        <v>166</v>
      </c>
      <c r="G178" s="1256" t="s">
        <v>136</v>
      </c>
      <c r="H178" s="637" t="s">
        <v>139</v>
      </c>
      <c r="I178" s="1971" t="s">
        <v>321</v>
      </c>
      <c r="J178" s="1257" t="s">
        <v>140</v>
      </c>
    </row>
    <row r="179" spans="1:10">
      <c r="A179" s="1270" t="s">
        <v>188</v>
      </c>
      <c r="B179" s="1271" t="s">
        <v>136</v>
      </c>
      <c r="C179" s="1296" t="s">
        <v>137</v>
      </c>
      <c r="D179" s="1250" t="s">
        <v>320</v>
      </c>
      <c r="E179" s="1251">
        <v>178</v>
      </c>
      <c r="F179" s="1252" t="s">
        <v>168</v>
      </c>
      <c r="G179" s="1256" t="s">
        <v>169</v>
      </c>
      <c r="H179" s="637" t="s">
        <v>139</v>
      </c>
      <c r="I179" s="1971" t="s">
        <v>321</v>
      </c>
      <c r="J179" s="1257" t="s">
        <v>170</v>
      </c>
    </row>
    <row r="180" spans="1:10">
      <c r="A180" s="1272" t="s">
        <v>192</v>
      </c>
      <c r="B180" s="1273" t="s">
        <v>182</v>
      </c>
      <c r="C180" s="1296" t="s">
        <v>137</v>
      </c>
      <c r="D180" s="1250" t="s">
        <v>320</v>
      </c>
      <c r="E180" s="1251">
        <v>179</v>
      </c>
      <c r="F180" s="1264">
        <v>2.8</v>
      </c>
      <c r="G180" s="1263" t="s">
        <v>300</v>
      </c>
      <c r="H180" s="1971" t="s">
        <v>139</v>
      </c>
      <c r="I180" s="1971" t="s">
        <v>321</v>
      </c>
      <c r="J180" s="1257" t="s">
        <v>301</v>
      </c>
    </row>
    <row r="181" spans="1:10">
      <c r="A181" s="1272" t="s">
        <v>194</v>
      </c>
      <c r="B181" s="1275" t="s">
        <v>195</v>
      </c>
      <c r="C181" s="1296" t="s">
        <v>137</v>
      </c>
      <c r="D181" s="1250" t="s">
        <v>320</v>
      </c>
      <c r="E181" s="1251">
        <v>180</v>
      </c>
      <c r="F181" s="1264">
        <v>2.9</v>
      </c>
      <c r="G181" s="1263" t="s">
        <v>152</v>
      </c>
      <c r="H181" s="1971" t="s">
        <v>139</v>
      </c>
      <c r="I181" s="1971" t="s">
        <v>321</v>
      </c>
      <c r="J181" s="1257" t="s">
        <v>160</v>
      </c>
    </row>
    <row r="182" spans="1:10">
      <c r="A182" s="1276" t="s">
        <v>198</v>
      </c>
      <c r="B182" s="1277" t="s">
        <v>57</v>
      </c>
      <c r="C182" s="1296" t="s">
        <v>137</v>
      </c>
      <c r="D182" s="1250" t="s">
        <v>320</v>
      </c>
      <c r="E182" s="1251">
        <v>181</v>
      </c>
      <c r="F182" s="1268" t="s">
        <v>165</v>
      </c>
      <c r="G182" s="1256" t="s">
        <v>156</v>
      </c>
      <c r="H182" s="1971" t="s">
        <v>139</v>
      </c>
      <c r="I182" s="1971" t="s">
        <v>321</v>
      </c>
      <c r="J182" s="1257" t="s">
        <v>176</v>
      </c>
    </row>
    <row r="183" spans="1:10">
      <c r="A183" s="1278" t="s">
        <v>199</v>
      </c>
      <c r="B183" s="1279" t="s">
        <v>136</v>
      </c>
      <c r="C183" s="1296" t="s">
        <v>137</v>
      </c>
      <c r="D183" s="1250" t="s">
        <v>320</v>
      </c>
      <c r="E183" s="1251">
        <v>182</v>
      </c>
      <c r="F183" s="1264">
        <v>3.1</v>
      </c>
      <c r="G183" s="1263" t="s">
        <v>136</v>
      </c>
      <c r="H183" s="1971" t="s">
        <v>139</v>
      </c>
      <c r="I183" s="1971" t="s">
        <v>321</v>
      </c>
      <c r="J183" s="1257" t="s">
        <v>140</v>
      </c>
    </row>
    <row r="184" spans="1:10">
      <c r="A184" s="1280" t="s">
        <v>201</v>
      </c>
      <c r="B184" s="1279" t="s">
        <v>57</v>
      </c>
      <c r="C184" s="1296" t="s">
        <v>137</v>
      </c>
      <c r="D184" s="1250" t="s">
        <v>320</v>
      </c>
      <c r="E184" s="1251">
        <v>183</v>
      </c>
      <c r="F184" s="1264">
        <v>3.2</v>
      </c>
      <c r="G184" s="1263" t="s">
        <v>136</v>
      </c>
      <c r="H184" s="1971" t="s">
        <v>139</v>
      </c>
      <c r="I184" s="1971" t="s">
        <v>321</v>
      </c>
      <c r="J184" s="1257" t="s">
        <v>140</v>
      </c>
    </row>
    <row r="185" spans="1:10">
      <c r="A185" s="1278" t="s">
        <v>206</v>
      </c>
      <c r="B185" s="1279" t="s">
        <v>152</v>
      </c>
      <c r="C185" s="1296" t="s">
        <v>137</v>
      </c>
      <c r="D185" s="1250" t="s">
        <v>320</v>
      </c>
      <c r="E185" s="1251">
        <v>184</v>
      </c>
      <c r="F185" s="1252" t="s">
        <v>183</v>
      </c>
      <c r="G185" s="1256" t="s">
        <v>184</v>
      </c>
      <c r="H185" s="637" t="s">
        <v>139</v>
      </c>
      <c r="I185" s="1971" t="s">
        <v>321</v>
      </c>
      <c r="J185" s="1257" t="s">
        <v>185</v>
      </c>
    </row>
    <row r="186" spans="1:10">
      <c r="A186" s="1280" t="s">
        <v>207</v>
      </c>
      <c r="B186" s="1279" t="s">
        <v>136</v>
      </c>
      <c r="C186" s="1296" t="s">
        <v>137</v>
      </c>
      <c r="D186" s="1250" t="s">
        <v>320</v>
      </c>
      <c r="E186" s="1251">
        <v>185</v>
      </c>
      <c r="F186" s="1252" t="s">
        <v>187</v>
      </c>
      <c r="G186" s="1256" t="s">
        <v>152</v>
      </c>
      <c r="H186" s="637" t="s">
        <v>139</v>
      </c>
      <c r="I186" s="1971" t="s">
        <v>321</v>
      </c>
      <c r="J186" s="1257" t="s">
        <v>160</v>
      </c>
    </row>
    <row r="187" spans="1:10">
      <c r="A187" s="1280" t="s">
        <v>210</v>
      </c>
      <c r="B187" s="1281" t="s">
        <v>211</v>
      </c>
      <c r="C187" s="1296" t="s">
        <v>137</v>
      </c>
      <c r="D187" s="1250" t="s">
        <v>320</v>
      </c>
      <c r="E187" s="1251">
        <v>186</v>
      </c>
      <c r="F187" s="1252" t="s">
        <v>189</v>
      </c>
      <c r="G187" s="1263" t="s">
        <v>190</v>
      </c>
      <c r="H187" s="637" t="s">
        <v>139</v>
      </c>
      <c r="I187" s="1971" t="s">
        <v>321</v>
      </c>
      <c r="J187" s="1257" t="s">
        <v>191</v>
      </c>
    </row>
    <row r="188" spans="1:10">
      <c r="A188" s="1280" t="s">
        <v>214</v>
      </c>
      <c r="B188" s="1279" t="s">
        <v>156</v>
      </c>
      <c r="C188" s="1296" t="s">
        <v>137</v>
      </c>
      <c r="D188" s="1250" t="s">
        <v>320</v>
      </c>
      <c r="E188" s="1251">
        <v>187</v>
      </c>
      <c r="F188" s="1264">
        <v>3.4</v>
      </c>
      <c r="G188" s="1263" t="s">
        <v>193</v>
      </c>
      <c r="H188" s="1971" t="s">
        <v>139</v>
      </c>
      <c r="I188" s="1971" t="s">
        <v>321</v>
      </c>
      <c r="J188" s="1257" t="s">
        <v>185</v>
      </c>
    </row>
    <row r="189" spans="1:10">
      <c r="A189" s="1280" t="s">
        <v>216</v>
      </c>
      <c r="B189" s="1279" t="s">
        <v>136</v>
      </c>
      <c r="C189" s="1296" t="s">
        <v>137</v>
      </c>
      <c r="D189" s="1250" t="s">
        <v>320</v>
      </c>
      <c r="E189" s="1251">
        <v>188</v>
      </c>
      <c r="F189" s="1264">
        <v>3.5</v>
      </c>
      <c r="G189" s="1256" t="s">
        <v>196</v>
      </c>
      <c r="H189" s="1971" t="s">
        <v>139</v>
      </c>
      <c r="I189" s="1971" t="s">
        <v>321</v>
      </c>
      <c r="J189" s="1257" t="s">
        <v>197</v>
      </c>
    </row>
    <row r="190" spans="1:10">
      <c r="A190" s="1280" t="s">
        <v>218</v>
      </c>
      <c r="B190" s="1279" t="s">
        <v>57</v>
      </c>
      <c r="C190" s="1296" t="s">
        <v>137</v>
      </c>
      <c r="D190" s="1250" t="s">
        <v>320</v>
      </c>
      <c r="E190" s="1251">
        <v>189</v>
      </c>
      <c r="F190" s="1264">
        <v>3.6</v>
      </c>
      <c r="G190" s="1263" t="s">
        <v>136</v>
      </c>
      <c r="H190" s="1971" t="s">
        <v>139</v>
      </c>
      <c r="I190" s="1971" t="s">
        <v>321</v>
      </c>
      <c r="J190" s="1257" t="s">
        <v>140</v>
      </c>
    </row>
    <row r="191" spans="1:10">
      <c r="A191" s="1278" t="s">
        <v>222</v>
      </c>
      <c r="B191" s="1279" t="s">
        <v>147</v>
      </c>
      <c r="C191" s="1296" t="s">
        <v>137</v>
      </c>
      <c r="D191" s="1250" t="s">
        <v>320</v>
      </c>
      <c r="E191" s="1251">
        <v>190</v>
      </c>
      <c r="F191" s="1252" t="s">
        <v>200</v>
      </c>
      <c r="G191" s="1263" t="s">
        <v>136</v>
      </c>
      <c r="H191" s="637" t="s">
        <v>139</v>
      </c>
      <c r="I191" s="1971" t="s">
        <v>321</v>
      </c>
      <c r="J191" s="1257" t="s">
        <v>140</v>
      </c>
    </row>
    <row r="192" spans="1:10">
      <c r="A192" s="1280" t="s">
        <v>224</v>
      </c>
      <c r="B192" s="1279" t="s">
        <v>225</v>
      </c>
      <c r="C192" s="1296" t="s">
        <v>137</v>
      </c>
      <c r="D192" s="1250" t="s">
        <v>320</v>
      </c>
      <c r="E192" s="1251">
        <v>191</v>
      </c>
      <c r="F192" s="1252" t="s">
        <v>203</v>
      </c>
      <c r="G192" s="1263" t="s">
        <v>303</v>
      </c>
      <c r="H192" s="637" t="s">
        <v>139</v>
      </c>
      <c r="I192" s="1971" t="s">
        <v>321</v>
      </c>
      <c r="J192" s="1257" t="s">
        <v>205</v>
      </c>
    </row>
    <row r="193" spans="1:10">
      <c r="A193" s="1280" t="s">
        <v>228</v>
      </c>
      <c r="B193" s="1279" t="s">
        <v>229</v>
      </c>
      <c r="C193" s="1296" t="s">
        <v>137</v>
      </c>
      <c r="D193" s="1250" t="s">
        <v>320</v>
      </c>
      <c r="E193" s="1251">
        <v>192</v>
      </c>
      <c r="F193" s="1264">
        <v>4.2</v>
      </c>
      <c r="G193" s="1263" t="s">
        <v>260</v>
      </c>
      <c r="H193" s="1971" t="s">
        <v>139</v>
      </c>
      <c r="I193" s="1971" t="s">
        <v>321</v>
      </c>
      <c r="J193" s="1257" t="s">
        <v>227</v>
      </c>
    </row>
    <row r="194" spans="1:10">
      <c r="A194" s="1280" t="s">
        <v>231</v>
      </c>
      <c r="B194" s="1279" t="s">
        <v>232</v>
      </c>
      <c r="C194" s="1296" t="s">
        <v>137</v>
      </c>
      <c r="D194" s="1250" t="s">
        <v>320</v>
      </c>
      <c r="E194" s="1251">
        <v>193</v>
      </c>
      <c r="F194" s="1264">
        <v>4.3</v>
      </c>
      <c r="G194" s="1256" t="s">
        <v>208</v>
      </c>
      <c r="H194" s="1971" t="s">
        <v>139</v>
      </c>
      <c r="I194" s="1971" t="s">
        <v>321</v>
      </c>
      <c r="J194" s="1257" t="s">
        <v>209</v>
      </c>
    </row>
    <row r="195" spans="1:10">
      <c r="A195" s="1280" t="s">
        <v>233</v>
      </c>
      <c r="B195" s="1279" t="s">
        <v>136</v>
      </c>
      <c r="C195" s="1296" t="s">
        <v>137</v>
      </c>
      <c r="D195" s="1250" t="s">
        <v>320</v>
      </c>
      <c r="E195" s="1251">
        <v>194</v>
      </c>
      <c r="F195" s="1264">
        <v>4.4000000000000004</v>
      </c>
      <c r="G195" s="1256" t="s">
        <v>212</v>
      </c>
      <c r="H195" s="1971" t="s">
        <v>139</v>
      </c>
      <c r="I195" s="1971" t="s">
        <v>321</v>
      </c>
      <c r="J195" s="1257" t="s">
        <v>213</v>
      </c>
    </row>
    <row r="196" spans="1:10">
      <c r="A196" s="1280" t="s">
        <v>234</v>
      </c>
      <c r="B196" s="1279" t="s">
        <v>235</v>
      </c>
      <c r="C196" s="1296" t="s">
        <v>137</v>
      </c>
      <c r="D196" s="1250" t="s">
        <v>320</v>
      </c>
      <c r="E196" s="1251">
        <v>195</v>
      </c>
      <c r="F196" s="1252" t="s">
        <v>215</v>
      </c>
      <c r="G196" s="1263" t="s">
        <v>57</v>
      </c>
      <c r="H196" s="637" t="s">
        <v>139</v>
      </c>
      <c r="I196" s="1971" t="s">
        <v>321</v>
      </c>
      <c r="J196" s="1257" t="s">
        <v>57</v>
      </c>
    </row>
    <row r="197" spans="1:10">
      <c r="A197" s="1280">
        <v>5.1100000000000003</v>
      </c>
      <c r="B197" s="1279" t="s">
        <v>304</v>
      </c>
      <c r="C197" s="1296" t="s">
        <v>137</v>
      </c>
      <c r="D197" s="1250" t="s">
        <v>320</v>
      </c>
      <c r="E197" s="1251">
        <v>196</v>
      </c>
      <c r="F197" s="1252" t="s">
        <v>217</v>
      </c>
      <c r="G197" s="1263" t="s">
        <v>136</v>
      </c>
      <c r="H197" s="637" t="s">
        <v>139</v>
      </c>
      <c r="I197" s="1971" t="s">
        <v>321</v>
      </c>
      <c r="J197" s="1257" t="s">
        <v>140</v>
      </c>
    </row>
    <row r="198" spans="1:10">
      <c r="A198" s="1280">
        <v>5.12</v>
      </c>
      <c r="B198" s="1279" t="s">
        <v>164</v>
      </c>
      <c r="C198" s="1296" t="s">
        <v>137</v>
      </c>
      <c r="D198" s="1250" t="s">
        <v>320</v>
      </c>
      <c r="E198" s="1251">
        <v>197</v>
      </c>
      <c r="F198" s="1252" t="s">
        <v>219</v>
      </c>
      <c r="G198" s="1282" t="s">
        <v>57</v>
      </c>
      <c r="H198" s="637" t="s">
        <v>139</v>
      </c>
      <c r="I198" s="1971" t="s">
        <v>321</v>
      </c>
      <c r="J198" s="1257" t="s">
        <v>57</v>
      </c>
    </row>
    <row r="199" spans="1:10">
      <c r="A199" s="1283">
        <v>5.13</v>
      </c>
      <c r="B199" s="1284" t="s">
        <v>305</v>
      </c>
      <c r="C199" s="1296" t="s">
        <v>137</v>
      </c>
      <c r="D199" s="1250" t="s">
        <v>320</v>
      </c>
      <c r="E199" s="1251">
        <v>198</v>
      </c>
      <c r="F199" s="1252" t="s">
        <v>223</v>
      </c>
      <c r="G199" s="1263" t="s">
        <v>152</v>
      </c>
      <c r="H199" s="637" t="s">
        <v>139</v>
      </c>
      <c r="I199" s="1971" t="s">
        <v>321</v>
      </c>
      <c r="J199" s="1257" t="s">
        <v>160</v>
      </c>
    </row>
    <row r="200" spans="1:10">
      <c r="A200" s="1276" t="s">
        <v>241</v>
      </c>
      <c r="B200" s="1277" t="s">
        <v>136</v>
      </c>
      <c r="C200" s="1296" t="s">
        <v>137</v>
      </c>
      <c r="D200" s="1250" t="s">
        <v>320</v>
      </c>
      <c r="E200" s="1251">
        <v>199</v>
      </c>
      <c r="F200" s="1264">
        <v>5.3</v>
      </c>
      <c r="G200" s="1256" t="s">
        <v>226</v>
      </c>
      <c r="H200" s="1971" t="s">
        <v>139</v>
      </c>
      <c r="I200" s="1971" t="s">
        <v>321</v>
      </c>
      <c r="J200" s="1257" t="s">
        <v>227</v>
      </c>
    </row>
    <row r="201" spans="1:10">
      <c r="A201" s="1280" t="s">
        <v>243</v>
      </c>
      <c r="B201" s="1279" t="s">
        <v>136</v>
      </c>
      <c r="C201" s="1296" t="s">
        <v>137</v>
      </c>
      <c r="D201" s="1250" t="s">
        <v>320</v>
      </c>
      <c r="E201" s="1251">
        <v>200</v>
      </c>
      <c r="F201" s="1264">
        <v>5.4</v>
      </c>
      <c r="G201" s="1263" t="s">
        <v>230</v>
      </c>
      <c r="H201" s="1971" t="s">
        <v>139</v>
      </c>
      <c r="I201" s="1971" t="s">
        <v>321</v>
      </c>
      <c r="J201" s="1257" t="s">
        <v>185</v>
      </c>
    </row>
    <row r="202" spans="1:10">
      <c r="A202" s="1280" t="s">
        <v>244</v>
      </c>
      <c r="B202" s="1279" t="s">
        <v>178</v>
      </c>
      <c r="C202" s="1296" t="s">
        <v>137</v>
      </c>
      <c r="D202" s="1250" t="s">
        <v>320</v>
      </c>
      <c r="E202" s="1251">
        <v>201</v>
      </c>
      <c r="F202" s="1264">
        <v>5.5</v>
      </c>
      <c r="G202" s="1256" t="s">
        <v>156</v>
      </c>
      <c r="H202" s="1971" t="s">
        <v>139</v>
      </c>
      <c r="I202" s="1971" t="s">
        <v>321</v>
      </c>
      <c r="J202" s="1257" t="s">
        <v>176</v>
      </c>
    </row>
    <row r="203" spans="1:10">
      <c r="A203" s="1280" t="s">
        <v>245</v>
      </c>
      <c r="B203" s="1279" t="s">
        <v>246</v>
      </c>
      <c r="C203" s="1296" t="s">
        <v>137</v>
      </c>
      <c r="D203" s="1250" t="s">
        <v>320</v>
      </c>
      <c r="E203" s="1251">
        <v>202</v>
      </c>
      <c r="F203" s="1264">
        <v>5.6</v>
      </c>
      <c r="G203" s="1263" t="s">
        <v>136</v>
      </c>
      <c r="H203" s="1971" t="s">
        <v>139</v>
      </c>
      <c r="I203" s="1971" t="s">
        <v>321</v>
      </c>
      <c r="J203" s="1257" t="s">
        <v>140</v>
      </c>
    </row>
    <row r="204" spans="1:10">
      <c r="A204" s="1280" t="s">
        <v>247</v>
      </c>
      <c r="B204" s="1279" t="s">
        <v>178</v>
      </c>
      <c r="C204" s="1296" t="s">
        <v>137</v>
      </c>
      <c r="D204" s="1250" t="s">
        <v>320</v>
      </c>
      <c r="E204" s="1251">
        <v>203</v>
      </c>
      <c r="F204" s="1252" t="s">
        <v>236</v>
      </c>
      <c r="G204" s="1263" t="s">
        <v>57</v>
      </c>
      <c r="H204" s="637" t="s">
        <v>139</v>
      </c>
      <c r="I204" s="1971" t="s">
        <v>321</v>
      </c>
      <c r="J204" s="1257" t="s">
        <v>57</v>
      </c>
    </row>
    <row r="205" spans="1:10">
      <c r="A205" s="1280" t="s">
        <v>248</v>
      </c>
      <c r="B205" s="1279" t="s">
        <v>178</v>
      </c>
      <c r="C205" s="1296" t="s">
        <v>137</v>
      </c>
      <c r="D205" s="1250" t="s">
        <v>320</v>
      </c>
      <c r="E205" s="1251">
        <v>204</v>
      </c>
      <c r="F205" s="1252" t="s">
        <v>237</v>
      </c>
      <c r="G205" s="1263" t="s">
        <v>147</v>
      </c>
      <c r="H205" s="637" t="s">
        <v>139</v>
      </c>
      <c r="I205" s="1971" t="s">
        <v>321</v>
      </c>
      <c r="J205" s="1257" t="s">
        <v>172</v>
      </c>
    </row>
    <row r="206" spans="1:10">
      <c r="A206" s="1280" t="s">
        <v>249</v>
      </c>
      <c r="B206" s="1279" t="s">
        <v>152</v>
      </c>
      <c r="C206" s="1296" t="s">
        <v>137</v>
      </c>
      <c r="D206" s="1250" t="s">
        <v>320</v>
      </c>
      <c r="E206" s="1251">
        <v>205</v>
      </c>
      <c r="F206" s="1252" t="s">
        <v>238</v>
      </c>
      <c r="G206" s="1263" t="s">
        <v>307</v>
      </c>
      <c r="H206" s="637" t="s">
        <v>139</v>
      </c>
      <c r="I206" s="1971" t="s">
        <v>321</v>
      </c>
      <c r="J206" s="1301" t="s">
        <v>308</v>
      </c>
    </row>
    <row r="207" spans="1:10">
      <c r="A207" s="1280" t="s">
        <v>250</v>
      </c>
      <c r="B207" s="1279" t="s">
        <v>152</v>
      </c>
      <c r="C207" s="1296" t="s">
        <v>137</v>
      </c>
      <c r="D207" s="1250" t="s">
        <v>320</v>
      </c>
      <c r="E207" s="1251">
        <v>206</v>
      </c>
      <c r="F207" s="1252" t="s">
        <v>239</v>
      </c>
      <c r="G207" s="1256" t="s">
        <v>229</v>
      </c>
      <c r="H207" s="637" t="s">
        <v>139</v>
      </c>
      <c r="I207" s="1971" t="s">
        <v>321</v>
      </c>
      <c r="J207" s="1257" t="s">
        <v>240</v>
      </c>
    </row>
    <row r="208" spans="1:10">
      <c r="A208" s="1283" t="s">
        <v>251</v>
      </c>
      <c r="B208" s="1284" t="s">
        <v>252</v>
      </c>
      <c r="C208" s="1296" t="s">
        <v>137</v>
      </c>
      <c r="D208" s="1250" t="s">
        <v>320</v>
      </c>
      <c r="E208" s="1251">
        <v>207</v>
      </c>
      <c r="F208" s="1252" t="s">
        <v>242</v>
      </c>
      <c r="G208" s="1263" t="s">
        <v>309</v>
      </c>
      <c r="H208" s="637" t="s">
        <v>139</v>
      </c>
      <c r="I208" s="1971" t="s">
        <v>321</v>
      </c>
      <c r="J208" s="1285" t="s">
        <v>310</v>
      </c>
    </row>
    <row r="209" spans="1:10">
      <c r="A209" s="1276" t="s">
        <v>253</v>
      </c>
      <c r="B209" s="1277" t="s">
        <v>136</v>
      </c>
      <c r="C209" s="1296" t="s">
        <v>137</v>
      </c>
      <c r="D209" s="1250" t="s">
        <v>320</v>
      </c>
      <c r="E209" s="1251">
        <v>208</v>
      </c>
      <c r="F209" s="1264">
        <v>5.9</v>
      </c>
      <c r="G209" s="1263" t="s">
        <v>136</v>
      </c>
      <c r="H209" s="1971" t="s">
        <v>139</v>
      </c>
      <c r="I209" s="1971" t="s">
        <v>321</v>
      </c>
      <c r="J209" s="1257" t="s">
        <v>140</v>
      </c>
    </row>
    <row r="210" spans="1:10">
      <c r="A210" s="1280" t="s">
        <v>256</v>
      </c>
      <c r="B210" s="1281" t="s">
        <v>257</v>
      </c>
      <c r="C210" s="1296" t="s">
        <v>137</v>
      </c>
      <c r="D210" s="1250" t="s">
        <v>320</v>
      </c>
      <c r="E210" s="1251">
        <v>209</v>
      </c>
      <c r="F210" s="1268" t="s">
        <v>234</v>
      </c>
      <c r="G210" s="1263" t="s">
        <v>322</v>
      </c>
      <c r="H210" s="1971" t="s">
        <v>139</v>
      </c>
      <c r="I210" s="1971" t="s">
        <v>321</v>
      </c>
      <c r="J210" s="1257" t="s">
        <v>312</v>
      </c>
    </row>
    <row r="211" spans="1:10">
      <c r="A211" s="1280" t="s">
        <v>259</v>
      </c>
      <c r="B211" s="1279" t="s">
        <v>260</v>
      </c>
      <c r="C211" s="1296" t="s">
        <v>137</v>
      </c>
      <c r="D211" s="1250" t="s">
        <v>320</v>
      </c>
      <c r="E211" s="1251">
        <v>210</v>
      </c>
      <c r="F211" s="1264">
        <v>5.1100000000000003</v>
      </c>
      <c r="G211" s="1263" t="s">
        <v>304</v>
      </c>
      <c r="H211" s="1971" t="s">
        <v>139</v>
      </c>
      <c r="I211" s="1971" t="s">
        <v>321</v>
      </c>
      <c r="J211" s="1257" t="s">
        <v>314</v>
      </c>
    </row>
    <row r="212" spans="1:10">
      <c r="A212" s="1280" t="s">
        <v>263</v>
      </c>
      <c r="B212" s="1279" t="s">
        <v>136</v>
      </c>
      <c r="C212" s="1296" t="s">
        <v>137</v>
      </c>
      <c r="D212" s="1250" t="s">
        <v>320</v>
      </c>
      <c r="E212" s="1251">
        <v>211</v>
      </c>
      <c r="F212" s="1264">
        <v>5.12</v>
      </c>
      <c r="G212" s="1263" t="s">
        <v>164</v>
      </c>
      <c r="H212" s="1971" t="s">
        <v>139</v>
      </c>
      <c r="I212" s="1971" t="s">
        <v>321</v>
      </c>
      <c r="J212" s="1257">
        <v>10</v>
      </c>
    </row>
    <row r="213" spans="1:10">
      <c r="A213" s="1278" t="s">
        <v>264</v>
      </c>
      <c r="B213" s="1279" t="s">
        <v>57</v>
      </c>
      <c r="C213" s="1296" t="s">
        <v>137</v>
      </c>
      <c r="D213" s="1250" t="s">
        <v>320</v>
      </c>
      <c r="E213" s="1251">
        <v>212</v>
      </c>
      <c r="F213" s="1264">
        <v>5.13</v>
      </c>
      <c r="G213" s="1263" t="s">
        <v>323</v>
      </c>
      <c r="H213" s="1971" t="s">
        <v>139</v>
      </c>
      <c r="I213" s="1971" t="s">
        <v>321</v>
      </c>
      <c r="J213" s="1257" t="s">
        <v>316</v>
      </c>
    </row>
    <row r="214" spans="1:10">
      <c r="A214" s="1280" t="s">
        <v>265</v>
      </c>
      <c r="B214" s="1279" t="s">
        <v>57</v>
      </c>
      <c r="C214" s="1296" t="s">
        <v>137</v>
      </c>
      <c r="D214" s="1250" t="s">
        <v>320</v>
      </c>
      <c r="E214" s="1251">
        <v>213</v>
      </c>
      <c r="F214" s="1264">
        <v>6.1</v>
      </c>
      <c r="G214" s="1263" t="s">
        <v>136</v>
      </c>
      <c r="H214" s="1971" t="s">
        <v>139</v>
      </c>
      <c r="I214" s="1971" t="s">
        <v>321</v>
      </c>
      <c r="J214" s="1257" t="s">
        <v>140</v>
      </c>
    </row>
    <row r="215" spans="1:10">
      <c r="A215" s="1278" t="s">
        <v>268</v>
      </c>
      <c r="B215" s="1279" t="s">
        <v>156</v>
      </c>
      <c r="C215" s="1296" t="s">
        <v>137</v>
      </c>
      <c r="D215" s="1250" t="s">
        <v>320</v>
      </c>
      <c r="E215" s="1251">
        <v>214</v>
      </c>
      <c r="F215" s="1264">
        <v>6.2</v>
      </c>
      <c r="G215" s="1263" t="s">
        <v>136</v>
      </c>
      <c r="H215" s="1971" t="s">
        <v>139</v>
      </c>
      <c r="I215" s="1971" t="s">
        <v>321</v>
      </c>
      <c r="J215" s="1257" t="s">
        <v>140</v>
      </c>
    </row>
    <row r="216" spans="1:10">
      <c r="A216" s="1280">
        <v>7.5</v>
      </c>
      <c r="B216" s="1279" t="s">
        <v>136</v>
      </c>
      <c r="C216" s="1296" t="s">
        <v>137</v>
      </c>
      <c r="D216" s="1250" t="s">
        <v>320</v>
      </c>
      <c r="E216" s="1251">
        <v>215</v>
      </c>
      <c r="F216" s="1264">
        <v>6.3</v>
      </c>
      <c r="G216" s="1263" t="s">
        <v>190</v>
      </c>
      <c r="H216" s="1971" t="s">
        <v>139</v>
      </c>
      <c r="I216" s="1971" t="s">
        <v>321</v>
      </c>
      <c r="J216" s="1285" t="s">
        <v>191</v>
      </c>
    </row>
    <row r="217" spans="1:10">
      <c r="A217" s="1280">
        <v>7.6</v>
      </c>
      <c r="B217" s="1279" t="s">
        <v>136</v>
      </c>
      <c r="C217" s="1296" t="s">
        <v>137</v>
      </c>
      <c r="D217" s="1250" t="s">
        <v>320</v>
      </c>
      <c r="E217" s="1251">
        <v>216</v>
      </c>
      <c r="F217" s="1264">
        <v>6.4</v>
      </c>
      <c r="G217" s="1263" t="s">
        <v>254</v>
      </c>
      <c r="H217" s="1971" t="s">
        <v>139</v>
      </c>
      <c r="I217" s="1971" t="s">
        <v>321</v>
      </c>
      <c r="J217" s="1257" t="s">
        <v>255</v>
      </c>
    </row>
    <row r="218" spans="1:10">
      <c r="A218" s="1280">
        <v>7.7</v>
      </c>
      <c r="B218" s="1279" t="s">
        <v>136</v>
      </c>
      <c r="C218" s="1296" t="s">
        <v>137</v>
      </c>
      <c r="D218" s="1250" t="s">
        <v>320</v>
      </c>
      <c r="E218" s="1251">
        <v>217</v>
      </c>
      <c r="F218" s="1252" t="s">
        <v>258</v>
      </c>
      <c r="G218" s="1256" t="s">
        <v>147</v>
      </c>
      <c r="H218" s="637" t="s">
        <v>139</v>
      </c>
      <c r="I218" s="1971" t="s">
        <v>321</v>
      </c>
      <c r="J218" s="1257" t="s">
        <v>172</v>
      </c>
    </row>
    <row r="219" spans="1:10">
      <c r="A219" s="1280">
        <v>7.8</v>
      </c>
      <c r="B219" s="1279" t="s">
        <v>136</v>
      </c>
      <c r="C219" s="1296" t="s">
        <v>137</v>
      </c>
      <c r="D219" s="1250" t="s">
        <v>320</v>
      </c>
      <c r="E219" s="1251">
        <v>218</v>
      </c>
      <c r="F219" s="1252" t="s">
        <v>261</v>
      </c>
      <c r="G219" s="1256" t="s">
        <v>262</v>
      </c>
      <c r="H219" s="637" t="s">
        <v>139</v>
      </c>
      <c r="I219" s="1971" t="s">
        <v>321</v>
      </c>
      <c r="J219" s="1257" t="s">
        <v>172</v>
      </c>
    </row>
    <row r="220" spans="1:10">
      <c r="A220" s="1286" t="s">
        <v>276</v>
      </c>
      <c r="B220" s="1279" t="s">
        <v>57</v>
      </c>
      <c r="C220" s="1296" t="s">
        <v>137</v>
      </c>
      <c r="D220" s="1250" t="s">
        <v>320</v>
      </c>
      <c r="E220" s="1251">
        <v>219</v>
      </c>
      <c r="F220" s="1264">
        <v>6.6</v>
      </c>
      <c r="G220" s="1263" t="s">
        <v>145</v>
      </c>
      <c r="H220" s="1971" t="s">
        <v>139</v>
      </c>
      <c r="I220" s="1971" t="s">
        <v>321</v>
      </c>
      <c r="J220" s="1285" t="s">
        <v>146</v>
      </c>
    </row>
    <row r="221" spans="1:10">
      <c r="A221" s="1280" t="s">
        <v>277</v>
      </c>
      <c r="B221" s="1279" t="s">
        <v>136</v>
      </c>
      <c r="C221" s="1296" t="s">
        <v>137</v>
      </c>
      <c r="D221" s="1250" t="s">
        <v>320</v>
      </c>
      <c r="E221" s="1251">
        <v>220</v>
      </c>
      <c r="F221" s="1264">
        <v>7.1</v>
      </c>
      <c r="G221" s="1263" t="s">
        <v>136</v>
      </c>
      <c r="H221" s="1971" t="s">
        <v>139</v>
      </c>
      <c r="I221" s="1971" t="s">
        <v>321</v>
      </c>
      <c r="J221" s="1257" t="s">
        <v>140</v>
      </c>
    </row>
    <row r="222" spans="1:10">
      <c r="A222" s="1280" t="s">
        <v>278</v>
      </c>
      <c r="B222" s="1279" t="s">
        <v>136</v>
      </c>
      <c r="C222" s="1296" t="s">
        <v>137</v>
      </c>
      <c r="D222" s="1250" t="s">
        <v>320</v>
      </c>
      <c r="E222" s="1251">
        <v>221</v>
      </c>
      <c r="F222" s="1252" t="s">
        <v>266</v>
      </c>
      <c r="G222" s="1256" t="s">
        <v>267</v>
      </c>
      <c r="H222" s="637" t="s">
        <v>139</v>
      </c>
      <c r="I222" s="1971" t="s">
        <v>321</v>
      </c>
      <c r="J222" s="1257" t="s">
        <v>185</v>
      </c>
    </row>
    <row r="223" spans="1:10">
      <c r="A223" s="1280" t="s">
        <v>279</v>
      </c>
      <c r="B223" s="1279" t="s">
        <v>136</v>
      </c>
      <c r="C223" s="1296" t="s">
        <v>137</v>
      </c>
      <c r="D223" s="1250" t="s">
        <v>320</v>
      </c>
      <c r="E223" s="1251">
        <v>222</v>
      </c>
      <c r="F223" s="1252" t="s">
        <v>269</v>
      </c>
      <c r="G223" s="1256" t="s">
        <v>270</v>
      </c>
      <c r="H223" s="637" t="s">
        <v>139</v>
      </c>
      <c r="I223" s="1971" t="s">
        <v>321</v>
      </c>
      <c r="J223" s="1257" t="s">
        <v>271</v>
      </c>
    </row>
    <row r="224" spans="1:10">
      <c r="A224" s="1280">
        <v>7.11</v>
      </c>
      <c r="B224" s="1279" t="s">
        <v>136</v>
      </c>
      <c r="C224" s="1296" t="s">
        <v>137</v>
      </c>
      <c r="D224" s="1250" t="s">
        <v>320</v>
      </c>
      <c r="E224" s="1251">
        <v>223</v>
      </c>
      <c r="F224" s="1252" t="s">
        <v>272</v>
      </c>
      <c r="G224" s="1263" t="s">
        <v>57</v>
      </c>
      <c r="H224" s="637" t="s">
        <v>139</v>
      </c>
      <c r="I224" s="1971" t="s">
        <v>321</v>
      </c>
      <c r="J224" s="1257" t="s">
        <v>57</v>
      </c>
    </row>
    <row r="225" spans="1:10">
      <c r="A225" s="1280">
        <v>7.12</v>
      </c>
      <c r="B225" s="1279" t="s">
        <v>136</v>
      </c>
      <c r="C225" s="1296" t="s">
        <v>137</v>
      </c>
      <c r="D225" s="1250" t="s">
        <v>320</v>
      </c>
      <c r="E225" s="1251">
        <v>224</v>
      </c>
      <c r="F225" s="1252" t="s">
        <v>273</v>
      </c>
      <c r="G225" s="1263" t="s">
        <v>156</v>
      </c>
      <c r="H225" s="637" t="s">
        <v>139</v>
      </c>
      <c r="I225" s="1971" t="s">
        <v>321</v>
      </c>
      <c r="J225" s="1257" t="s">
        <v>176</v>
      </c>
    </row>
    <row r="226" spans="1:10">
      <c r="A226" s="1280">
        <v>7.13</v>
      </c>
      <c r="B226" s="1279" t="s">
        <v>280</v>
      </c>
      <c r="C226" s="1296" t="s">
        <v>137</v>
      </c>
      <c r="D226" s="1250" t="s">
        <v>320</v>
      </c>
      <c r="E226" s="1251">
        <v>225</v>
      </c>
      <c r="F226" s="1252" t="s">
        <v>274</v>
      </c>
      <c r="G226" s="1263" t="s">
        <v>57</v>
      </c>
      <c r="H226" s="637" t="s">
        <v>139</v>
      </c>
      <c r="I226" s="1971" t="s">
        <v>321</v>
      </c>
      <c r="J226" s="1257" t="s">
        <v>57</v>
      </c>
    </row>
    <row r="227" spans="1:10">
      <c r="A227" s="1280">
        <v>7.14</v>
      </c>
      <c r="B227" s="1279" t="s">
        <v>136</v>
      </c>
      <c r="C227" s="1296" t="s">
        <v>137</v>
      </c>
      <c r="D227" s="1250" t="s">
        <v>320</v>
      </c>
      <c r="E227" s="1251">
        <v>226</v>
      </c>
      <c r="F227" s="1252" t="s">
        <v>275</v>
      </c>
      <c r="G227" s="1263" t="s">
        <v>156</v>
      </c>
      <c r="H227" s="637" t="s">
        <v>139</v>
      </c>
      <c r="I227" s="1971" t="s">
        <v>321</v>
      </c>
      <c r="J227" s="1257" t="s">
        <v>176</v>
      </c>
    </row>
    <row r="228" spans="1:10">
      <c r="A228" s="1280">
        <v>7.15</v>
      </c>
      <c r="B228" s="1279" t="s">
        <v>136</v>
      </c>
      <c r="C228" s="1296" t="s">
        <v>137</v>
      </c>
      <c r="D228" s="1250" t="s">
        <v>320</v>
      </c>
      <c r="E228" s="1251">
        <v>227</v>
      </c>
      <c r="F228" s="1264">
        <v>7.5</v>
      </c>
      <c r="G228" s="1263" t="s">
        <v>136</v>
      </c>
      <c r="H228" s="1971" t="s">
        <v>139</v>
      </c>
      <c r="I228" s="1971" t="s">
        <v>321</v>
      </c>
      <c r="J228" s="1257" t="s">
        <v>140</v>
      </c>
    </row>
    <row r="229" spans="1:10">
      <c r="A229" s="1280">
        <v>7.16</v>
      </c>
      <c r="B229" s="1279" t="s">
        <v>136</v>
      </c>
      <c r="C229" s="1296" t="s">
        <v>137</v>
      </c>
      <c r="D229" s="1250" t="s">
        <v>320</v>
      </c>
      <c r="E229" s="1251">
        <v>228</v>
      </c>
      <c r="F229" s="1264">
        <v>7.6</v>
      </c>
      <c r="G229" s="1263" t="s">
        <v>136</v>
      </c>
      <c r="H229" s="1971" t="s">
        <v>139</v>
      </c>
      <c r="I229" s="1971" t="s">
        <v>321</v>
      </c>
      <c r="J229" s="1257" t="s">
        <v>140</v>
      </c>
    </row>
    <row r="230" spans="1:10">
      <c r="A230" s="1283">
        <v>7.17</v>
      </c>
      <c r="B230" s="1284" t="s">
        <v>212</v>
      </c>
      <c r="C230" s="1296" t="s">
        <v>137</v>
      </c>
      <c r="D230" s="1250" t="s">
        <v>320</v>
      </c>
      <c r="E230" s="1251">
        <v>229</v>
      </c>
      <c r="F230" s="1264">
        <v>7.7</v>
      </c>
      <c r="G230" s="1263" t="s">
        <v>136</v>
      </c>
      <c r="H230" s="1971" t="s">
        <v>139</v>
      </c>
      <c r="I230" s="1971" t="s">
        <v>321</v>
      </c>
      <c r="J230" s="1257" t="s">
        <v>140</v>
      </c>
    </row>
    <row r="231" spans="1:10">
      <c r="A231" s="1276" t="s">
        <v>285</v>
      </c>
      <c r="B231" s="1277" t="s">
        <v>136</v>
      </c>
      <c r="C231" s="1296" t="s">
        <v>137</v>
      </c>
      <c r="D231" s="1250" t="s">
        <v>320</v>
      </c>
      <c r="E231" s="1251">
        <v>230</v>
      </c>
      <c r="F231" s="1264">
        <v>7.8</v>
      </c>
      <c r="G231" s="1263" t="s">
        <v>136</v>
      </c>
      <c r="H231" s="1971" t="s">
        <v>139</v>
      </c>
      <c r="I231" s="1971" t="s">
        <v>321</v>
      </c>
      <c r="J231" s="1257" t="s">
        <v>140</v>
      </c>
    </row>
    <row r="232" spans="1:10">
      <c r="A232" s="1280" t="s">
        <v>286</v>
      </c>
      <c r="B232" s="1279" t="s">
        <v>136</v>
      </c>
      <c r="C232" s="1296" t="s">
        <v>137</v>
      </c>
      <c r="D232" s="1250" t="s">
        <v>320</v>
      </c>
      <c r="E232" s="1251">
        <v>231</v>
      </c>
      <c r="F232" s="1264">
        <v>7.9</v>
      </c>
      <c r="G232" s="1263" t="s">
        <v>136</v>
      </c>
      <c r="H232" s="1971" t="s">
        <v>139</v>
      </c>
      <c r="I232" s="1971" t="s">
        <v>321</v>
      </c>
      <c r="J232" s="1257" t="s">
        <v>140</v>
      </c>
    </row>
    <row r="233" spans="1:10">
      <c r="A233" s="1280" t="s">
        <v>287</v>
      </c>
      <c r="B233" s="1279" t="s">
        <v>136</v>
      </c>
      <c r="C233" s="1296" t="s">
        <v>137</v>
      </c>
      <c r="D233" s="1250" t="s">
        <v>320</v>
      </c>
      <c r="E233" s="1251">
        <v>232</v>
      </c>
      <c r="F233" s="1268" t="s">
        <v>279</v>
      </c>
      <c r="G233" s="1263" t="s">
        <v>317</v>
      </c>
      <c r="H233" s="1971" t="s">
        <v>139</v>
      </c>
      <c r="I233" s="1971" t="s">
        <v>321</v>
      </c>
      <c r="J233" s="1257" t="s">
        <v>185</v>
      </c>
    </row>
    <row r="234" spans="1:10">
      <c r="A234" s="1280" t="s">
        <v>288</v>
      </c>
      <c r="B234" s="1279" t="s">
        <v>212</v>
      </c>
      <c r="C234" s="1296" t="s">
        <v>137</v>
      </c>
      <c r="D234" s="1250" t="s">
        <v>320</v>
      </c>
      <c r="E234" s="1251">
        <v>233</v>
      </c>
      <c r="F234" s="1264">
        <v>7.11</v>
      </c>
      <c r="G234" s="1263" t="s">
        <v>136</v>
      </c>
      <c r="H234" s="1971" t="s">
        <v>139</v>
      </c>
      <c r="I234" s="1971" t="s">
        <v>321</v>
      </c>
      <c r="J234" s="1257" t="s">
        <v>140</v>
      </c>
    </row>
    <row r="235" spans="1:10" s="965" customFormat="1">
      <c r="A235" s="1287" t="s">
        <v>290</v>
      </c>
      <c r="B235" s="1288" t="s">
        <v>147</v>
      </c>
      <c r="C235" s="1311" t="s">
        <v>137</v>
      </c>
      <c r="D235" s="1269" t="s">
        <v>320</v>
      </c>
      <c r="E235" s="1251">
        <v>234</v>
      </c>
      <c r="F235" s="1274">
        <v>7.12</v>
      </c>
      <c r="G235" s="1312" t="s">
        <v>136</v>
      </c>
      <c r="H235" s="1971" t="s">
        <v>139</v>
      </c>
      <c r="I235" s="1971" t="s">
        <v>321</v>
      </c>
      <c r="J235" s="1289" t="s">
        <v>140</v>
      </c>
    </row>
    <row r="236" spans="1:10">
      <c r="A236" s="1292">
        <v>1.1000000000000001</v>
      </c>
      <c r="B236" s="1293" t="s">
        <v>136</v>
      </c>
      <c r="C236" s="1313" t="s">
        <v>139</v>
      </c>
      <c r="D236" s="1250" t="s">
        <v>87</v>
      </c>
      <c r="E236" s="1251">
        <v>235</v>
      </c>
      <c r="F236" s="1252" t="s">
        <v>281</v>
      </c>
      <c r="G236" s="1310" t="s">
        <v>57</v>
      </c>
      <c r="H236" s="637" t="s">
        <v>139</v>
      </c>
      <c r="I236" s="1971" t="s">
        <v>321</v>
      </c>
      <c r="J236" s="1295" t="s">
        <v>57</v>
      </c>
    </row>
    <row r="237" spans="1:10">
      <c r="A237" s="1258">
        <v>1.2</v>
      </c>
      <c r="B237" s="1259" t="s">
        <v>141</v>
      </c>
      <c r="C237" s="1313" t="s">
        <v>139</v>
      </c>
      <c r="D237" s="1250" t="s">
        <v>87</v>
      </c>
      <c r="E237" s="1251">
        <v>236</v>
      </c>
      <c r="F237" s="1252" t="s">
        <v>282</v>
      </c>
      <c r="G237" s="1263" t="s">
        <v>318</v>
      </c>
      <c r="H237" s="637" t="s">
        <v>139</v>
      </c>
      <c r="I237" s="1971" t="s">
        <v>321</v>
      </c>
      <c r="J237" s="1257" t="s">
        <v>57</v>
      </c>
    </row>
    <row r="238" spans="1:10">
      <c r="A238" s="1260">
        <v>2.1</v>
      </c>
      <c r="B238" s="1255" t="s">
        <v>136</v>
      </c>
      <c r="C238" s="1313" t="s">
        <v>139</v>
      </c>
      <c r="D238" s="1250" t="s">
        <v>87</v>
      </c>
      <c r="E238" s="1251">
        <v>237</v>
      </c>
      <c r="F238" s="1264">
        <v>7.14</v>
      </c>
      <c r="G238" s="1263" t="s">
        <v>136</v>
      </c>
      <c r="H238" s="1971" t="s">
        <v>139</v>
      </c>
      <c r="I238" s="1971" t="s">
        <v>321</v>
      </c>
      <c r="J238" s="1257" t="s">
        <v>140</v>
      </c>
    </row>
    <row r="239" spans="1:10">
      <c r="A239" s="1261">
        <v>2.2000000000000002</v>
      </c>
      <c r="B239" s="1262" t="s">
        <v>136</v>
      </c>
      <c r="C239" s="1313" t="s">
        <v>139</v>
      </c>
      <c r="D239" s="1250" t="s">
        <v>87</v>
      </c>
      <c r="E239" s="1251">
        <v>238</v>
      </c>
      <c r="F239" s="1264">
        <v>7.15</v>
      </c>
      <c r="G239" s="1263" t="s">
        <v>136</v>
      </c>
      <c r="H239" s="1971" t="s">
        <v>139</v>
      </c>
      <c r="I239" s="1971" t="s">
        <v>321</v>
      </c>
      <c r="J239" s="1257" t="s">
        <v>140</v>
      </c>
    </row>
    <row r="240" spans="1:10">
      <c r="A240" s="1261">
        <v>2.2999999999999998</v>
      </c>
      <c r="B240" s="1262" t="s">
        <v>136</v>
      </c>
      <c r="C240" s="1313" t="s">
        <v>139</v>
      </c>
      <c r="D240" s="1250" t="s">
        <v>87</v>
      </c>
      <c r="E240" s="1251">
        <v>239</v>
      </c>
      <c r="F240" s="1264">
        <v>7.16</v>
      </c>
      <c r="G240" s="1263" t="s">
        <v>136</v>
      </c>
      <c r="H240" s="1971" t="s">
        <v>139</v>
      </c>
      <c r="I240" s="1971" t="s">
        <v>321</v>
      </c>
      <c r="J240" s="1257" t="s">
        <v>140</v>
      </c>
    </row>
    <row r="241" spans="1:10">
      <c r="A241" s="1261">
        <v>2.4</v>
      </c>
      <c r="B241" s="1262" t="s">
        <v>152</v>
      </c>
      <c r="C241" s="1313" t="s">
        <v>139</v>
      </c>
      <c r="D241" s="1250" t="s">
        <v>87</v>
      </c>
      <c r="E241" s="1251">
        <v>240</v>
      </c>
      <c r="F241" s="1264">
        <v>7.17</v>
      </c>
      <c r="G241" s="1263" t="s">
        <v>136</v>
      </c>
      <c r="H241" s="1971" t="s">
        <v>139</v>
      </c>
      <c r="I241" s="1971" t="s">
        <v>321</v>
      </c>
      <c r="J241" s="1257" t="s">
        <v>140</v>
      </c>
    </row>
    <row r="242" spans="1:10">
      <c r="A242" s="1261">
        <v>2.5</v>
      </c>
      <c r="B242" s="1262" t="s">
        <v>155</v>
      </c>
      <c r="C242" s="1313" t="s">
        <v>139</v>
      </c>
      <c r="D242" s="1250" t="s">
        <v>87</v>
      </c>
      <c r="E242" s="1251">
        <v>241</v>
      </c>
      <c r="F242" s="1252" t="s">
        <v>289</v>
      </c>
      <c r="G242" s="1263" t="s">
        <v>136</v>
      </c>
      <c r="H242" s="637" t="s">
        <v>139</v>
      </c>
      <c r="I242" s="1971" t="s">
        <v>321</v>
      </c>
      <c r="J242" s="1257" t="s">
        <v>140</v>
      </c>
    </row>
    <row r="243" spans="1:10">
      <c r="A243" s="1261">
        <v>2.6</v>
      </c>
      <c r="B243" s="1262" t="s">
        <v>156</v>
      </c>
      <c r="C243" s="1313" t="s">
        <v>139</v>
      </c>
      <c r="D243" s="1250" t="s">
        <v>87</v>
      </c>
      <c r="E243" s="1251">
        <v>242</v>
      </c>
      <c r="F243" s="1252" t="s">
        <v>291</v>
      </c>
      <c r="G243" s="1256" t="s">
        <v>212</v>
      </c>
      <c r="H243" s="637" t="s">
        <v>139</v>
      </c>
      <c r="I243" s="1971" t="s">
        <v>321</v>
      </c>
      <c r="J243" s="1257" t="s">
        <v>213</v>
      </c>
    </row>
    <row r="244" spans="1:10">
      <c r="A244" s="1265" t="s">
        <v>157</v>
      </c>
      <c r="B244" s="1262" t="s">
        <v>136</v>
      </c>
      <c r="C244" s="1313" t="s">
        <v>139</v>
      </c>
      <c r="D244" s="1250" t="s">
        <v>87</v>
      </c>
      <c r="E244" s="1251">
        <v>243</v>
      </c>
      <c r="F244" s="1264">
        <v>8.1999999999999993</v>
      </c>
      <c r="G244" s="1263" t="s">
        <v>293</v>
      </c>
      <c r="H244" s="1971" t="s">
        <v>139</v>
      </c>
      <c r="I244" s="1971" t="s">
        <v>321</v>
      </c>
      <c r="J244" s="1257" t="s">
        <v>294</v>
      </c>
    </row>
    <row r="245" spans="1:10">
      <c r="A245" s="1261" t="s">
        <v>158</v>
      </c>
      <c r="B245" s="1262" t="s">
        <v>324</v>
      </c>
      <c r="C245" s="1313" t="s">
        <v>139</v>
      </c>
      <c r="D245" s="1250" t="s">
        <v>87</v>
      </c>
      <c r="E245" s="1251">
        <v>244</v>
      </c>
      <c r="F245" s="1264">
        <v>8.3000000000000007</v>
      </c>
      <c r="G245" s="1263" t="s">
        <v>136</v>
      </c>
      <c r="H245" s="1971" t="s">
        <v>139</v>
      </c>
      <c r="I245" s="1971" t="s">
        <v>321</v>
      </c>
      <c r="J245" s="1257" t="s">
        <v>140</v>
      </c>
    </row>
    <row r="246" spans="1:10">
      <c r="A246" s="1261">
        <v>2.8</v>
      </c>
      <c r="B246" s="1262" t="s">
        <v>161</v>
      </c>
      <c r="C246" s="1313" t="s">
        <v>139</v>
      </c>
      <c r="D246" s="1250" t="s">
        <v>87</v>
      </c>
      <c r="E246" s="1251">
        <v>245</v>
      </c>
      <c r="F246" s="1264">
        <v>8.4</v>
      </c>
      <c r="G246" s="1263" t="s">
        <v>295</v>
      </c>
      <c r="H246" s="1971" t="s">
        <v>139</v>
      </c>
      <c r="I246" s="1971" t="s">
        <v>321</v>
      </c>
      <c r="J246" s="1257" t="s">
        <v>296</v>
      </c>
    </row>
    <row r="247" spans="1:10" ht="15" thickBot="1">
      <c r="A247" s="1261">
        <v>2.9</v>
      </c>
      <c r="B247" s="1262" t="s">
        <v>164</v>
      </c>
      <c r="C247" s="1313" t="s">
        <v>139</v>
      </c>
      <c r="D247" s="1250" t="s">
        <v>87</v>
      </c>
      <c r="E247" s="1251">
        <v>246</v>
      </c>
      <c r="F247" s="1297">
        <v>8.5</v>
      </c>
      <c r="G247" s="1308" t="s">
        <v>136</v>
      </c>
      <c r="H247" s="1309" t="s">
        <v>139</v>
      </c>
      <c r="I247" s="1971" t="s">
        <v>321</v>
      </c>
      <c r="J247" s="1300" t="s">
        <v>140</v>
      </c>
    </row>
    <row r="248" spans="1:10" ht="15" thickTop="1">
      <c r="A248" s="1266" t="s">
        <v>165</v>
      </c>
      <c r="B248" s="1259" t="s">
        <v>156</v>
      </c>
      <c r="C248" s="1313" t="s">
        <v>139</v>
      </c>
      <c r="D248" s="1250" t="s">
        <v>87</v>
      </c>
      <c r="E248" s="1251">
        <v>247</v>
      </c>
      <c r="F248" s="1252" t="s">
        <v>138</v>
      </c>
      <c r="G248" s="1263" t="s">
        <v>136</v>
      </c>
      <c r="H248" s="1973" t="s">
        <v>137</v>
      </c>
      <c r="I248" s="1971" t="s">
        <v>87</v>
      </c>
      <c r="J248" s="1257" t="s">
        <v>140</v>
      </c>
    </row>
    <row r="249" spans="1:10">
      <c r="A249" s="1260" t="s">
        <v>167</v>
      </c>
      <c r="B249" s="1255" t="s">
        <v>136</v>
      </c>
      <c r="C249" s="1313" t="s">
        <v>139</v>
      </c>
      <c r="D249" s="1250" t="s">
        <v>87</v>
      </c>
      <c r="E249" s="1251">
        <v>248</v>
      </c>
      <c r="F249" s="1252" t="s">
        <v>142</v>
      </c>
      <c r="G249" s="1256" t="s">
        <v>143</v>
      </c>
      <c r="H249" s="1973" t="s">
        <v>137</v>
      </c>
      <c r="I249" s="1971" t="s">
        <v>87</v>
      </c>
      <c r="J249" s="1257" t="s">
        <v>144</v>
      </c>
    </row>
    <row r="250" spans="1:10">
      <c r="A250" s="1261" t="s">
        <v>171</v>
      </c>
      <c r="B250" s="1262" t="s">
        <v>136</v>
      </c>
      <c r="C250" s="1313" t="s">
        <v>139</v>
      </c>
      <c r="D250" s="1250" t="s">
        <v>87</v>
      </c>
      <c r="E250" s="1251">
        <v>249</v>
      </c>
      <c r="F250" s="1264">
        <v>1.2</v>
      </c>
      <c r="G250" s="1263" t="s">
        <v>298</v>
      </c>
      <c r="H250" s="1973" t="s">
        <v>137</v>
      </c>
      <c r="I250" s="1971" t="s">
        <v>87</v>
      </c>
      <c r="J250" s="1257" t="s">
        <v>146</v>
      </c>
    </row>
    <row r="251" spans="1:10">
      <c r="A251" s="1261" t="s">
        <v>173</v>
      </c>
      <c r="B251" s="1267" t="s">
        <v>174</v>
      </c>
      <c r="C251" s="1313" t="s">
        <v>139</v>
      </c>
      <c r="D251" s="1250" t="s">
        <v>87</v>
      </c>
      <c r="E251" s="1251">
        <v>250</v>
      </c>
      <c r="F251" s="1252" t="s">
        <v>148</v>
      </c>
      <c r="G251" s="1263" t="s">
        <v>136</v>
      </c>
      <c r="H251" s="1973" t="s">
        <v>137</v>
      </c>
      <c r="I251" s="1971" t="s">
        <v>87</v>
      </c>
      <c r="J251" s="1257" t="s">
        <v>140</v>
      </c>
    </row>
    <row r="252" spans="1:10">
      <c r="A252" s="1261" t="s">
        <v>175</v>
      </c>
      <c r="B252" s="1262" t="s">
        <v>152</v>
      </c>
      <c r="C252" s="1313" t="s">
        <v>139</v>
      </c>
      <c r="D252" s="1250" t="s">
        <v>87</v>
      </c>
      <c r="E252" s="1251">
        <v>251</v>
      </c>
      <c r="F252" s="1252" t="s">
        <v>149</v>
      </c>
      <c r="G252" s="1263" t="s">
        <v>150</v>
      </c>
      <c r="H252" s="1973" t="s">
        <v>137</v>
      </c>
      <c r="I252" s="1971" t="s">
        <v>87</v>
      </c>
      <c r="J252" s="1257" t="s">
        <v>151</v>
      </c>
    </row>
    <row r="253" spans="1:10">
      <c r="A253" s="1261" t="s">
        <v>177</v>
      </c>
      <c r="B253" s="1262" t="s">
        <v>178</v>
      </c>
      <c r="C253" s="1313" t="s">
        <v>139</v>
      </c>
      <c r="D253" s="1250" t="s">
        <v>87</v>
      </c>
      <c r="E253" s="1251">
        <v>252</v>
      </c>
      <c r="F253" s="1264">
        <v>1.4</v>
      </c>
      <c r="G253" s="1263" t="s">
        <v>153</v>
      </c>
      <c r="H253" s="1973" t="s">
        <v>137</v>
      </c>
      <c r="I253" s="1971" t="s">
        <v>87</v>
      </c>
      <c r="J253" s="1257" t="s">
        <v>154</v>
      </c>
    </row>
    <row r="254" spans="1:10">
      <c r="A254" s="1261" t="s">
        <v>179</v>
      </c>
      <c r="B254" s="1267" t="s">
        <v>180</v>
      </c>
      <c r="C254" s="1313" t="s">
        <v>139</v>
      </c>
      <c r="D254" s="1250" t="s">
        <v>87</v>
      </c>
      <c r="E254" s="1251">
        <v>253</v>
      </c>
      <c r="F254" s="1264">
        <v>2.1</v>
      </c>
      <c r="G254" s="1263" t="s">
        <v>136</v>
      </c>
      <c r="H254" s="1973" t="s">
        <v>137</v>
      </c>
      <c r="I254" s="1971" t="s">
        <v>87</v>
      </c>
      <c r="J254" s="1257" t="s">
        <v>140</v>
      </c>
    </row>
    <row r="255" spans="1:10">
      <c r="A255" s="1261" t="s">
        <v>181</v>
      </c>
      <c r="B255" s="1262" t="s">
        <v>182</v>
      </c>
      <c r="C255" s="1313" t="s">
        <v>139</v>
      </c>
      <c r="D255" s="1250" t="s">
        <v>87</v>
      </c>
      <c r="E255" s="1251">
        <v>254</v>
      </c>
      <c r="F255" s="1264">
        <v>2.2000000000000002</v>
      </c>
      <c r="G255" s="1263" t="s">
        <v>147</v>
      </c>
      <c r="H255" s="1973" t="s">
        <v>137</v>
      </c>
      <c r="I255" s="1971" t="s">
        <v>87</v>
      </c>
      <c r="J255" s="1257">
        <v>2</v>
      </c>
    </row>
    <row r="256" spans="1:10">
      <c r="A256" s="1261" t="s">
        <v>186</v>
      </c>
      <c r="B256" s="1259" t="s">
        <v>136</v>
      </c>
      <c r="C256" s="1313" t="s">
        <v>139</v>
      </c>
      <c r="D256" s="1250" t="s">
        <v>87</v>
      </c>
      <c r="E256" s="1251">
        <v>255</v>
      </c>
      <c r="F256" s="1264">
        <v>2.2999999999999998</v>
      </c>
      <c r="G256" s="1263" t="s">
        <v>136</v>
      </c>
      <c r="H256" s="1973" t="s">
        <v>137</v>
      </c>
      <c r="I256" s="1971" t="s">
        <v>87</v>
      </c>
      <c r="J256" s="1257" t="s">
        <v>140</v>
      </c>
    </row>
    <row r="257" spans="1:10">
      <c r="A257" s="1270" t="s">
        <v>188</v>
      </c>
      <c r="B257" s="1271" t="s">
        <v>136</v>
      </c>
      <c r="C257" s="1313" t="s">
        <v>139</v>
      </c>
      <c r="D257" s="1250" t="s">
        <v>87</v>
      </c>
      <c r="E257" s="1251">
        <v>256</v>
      </c>
      <c r="F257" s="1264">
        <v>2.4</v>
      </c>
      <c r="G257" s="1256" t="s">
        <v>152</v>
      </c>
      <c r="H257" s="1973" t="s">
        <v>137</v>
      </c>
      <c r="I257" s="1971" t="s">
        <v>87</v>
      </c>
      <c r="J257" s="1257" t="s">
        <v>160</v>
      </c>
    </row>
    <row r="258" spans="1:10">
      <c r="A258" s="1272" t="s">
        <v>192</v>
      </c>
      <c r="B258" s="1273" t="s">
        <v>182</v>
      </c>
      <c r="C258" s="1313" t="s">
        <v>139</v>
      </c>
      <c r="D258" s="1250" t="s">
        <v>87</v>
      </c>
      <c r="E258" s="1251">
        <v>257</v>
      </c>
      <c r="F258" s="1264">
        <v>2.5</v>
      </c>
      <c r="G258" s="1256" t="s">
        <v>162</v>
      </c>
      <c r="H258" s="1973" t="s">
        <v>137</v>
      </c>
      <c r="I258" s="1971" t="s">
        <v>87</v>
      </c>
      <c r="J258" s="1257" t="s">
        <v>163</v>
      </c>
    </row>
    <row r="259" spans="1:10">
      <c r="A259" s="1272" t="s">
        <v>194</v>
      </c>
      <c r="B259" s="1275" t="s">
        <v>195</v>
      </c>
      <c r="C259" s="1313" t="s">
        <v>139</v>
      </c>
      <c r="D259" s="1250" t="s">
        <v>87</v>
      </c>
      <c r="E259" s="1251">
        <v>258</v>
      </c>
      <c r="F259" s="1264">
        <v>2.6</v>
      </c>
      <c r="G259" s="1263" t="s">
        <v>136</v>
      </c>
      <c r="H259" s="1973" t="s">
        <v>137</v>
      </c>
      <c r="I259" s="1971" t="s">
        <v>87</v>
      </c>
      <c r="J259" s="1257" t="s">
        <v>140</v>
      </c>
    </row>
    <row r="260" spans="1:10">
      <c r="A260" s="1276" t="s">
        <v>198</v>
      </c>
      <c r="B260" s="1277" t="s">
        <v>136</v>
      </c>
      <c r="C260" s="1313" t="s">
        <v>139</v>
      </c>
      <c r="D260" s="1250" t="s">
        <v>87</v>
      </c>
      <c r="E260" s="1251">
        <v>259</v>
      </c>
      <c r="F260" s="1252" t="s">
        <v>166</v>
      </c>
      <c r="G260" s="1263" t="s">
        <v>57</v>
      </c>
      <c r="H260" s="1973" t="s">
        <v>137</v>
      </c>
      <c r="I260" s="1971" t="s">
        <v>87</v>
      </c>
      <c r="J260" s="1257" t="s">
        <v>57</v>
      </c>
    </row>
    <row r="261" spans="1:10">
      <c r="A261" s="1278" t="s">
        <v>199</v>
      </c>
      <c r="B261" s="1279" t="s">
        <v>57</v>
      </c>
      <c r="C261" s="1313" t="s">
        <v>139</v>
      </c>
      <c r="D261" s="1250" t="s">
        <v>87</v>
      </c>
      <c r="E261" s="1251">
        <v>260</v>
      </c>
      <c r="F261" s="1252" t="s">
        <v>168</v>
      </c>
      <c r="G261" s="1263" t="s">
        <v>325</v>
      </c>
      <c r="H261" s="965" t="s">
        <v>137</v>
      </c>
      <c r="I261" s="1971" t="s">
        <v>87</v>
      </c>
      <c r="J261" s="1257" t="s">
        <v>326</v>
      </c>
    </row>
    <row r="262" spans="1:10">
      <c r="A262" s="1280" t="s">
        <v>201</v>
      </c>
      <c r="B262" s="1279" t="s">
        <v>202</v>
      </c>
      <c r="C262" s="1313" t="s">
        <v>139</v>
      </c>
      <c r="D262" s="1250" t="s">
        <v>87</v>
      </c>
      <c r="E262" s="1251">
        <v>261</v>
      </c>
      <c r="F262" s="1264">
        <v>2.8</v>
      </c>
      <c r="G262" s="1263" t="s">
        <v>300</v>
      </c>
      <c r="H262" s="1973" t="s">
        <v>137</v>
      </c>
      <c r="I262" s="1971" t="s">
        <v>87</v>
      </c>
      <c r="J262" s="1257" t="s">
        <v>301</v>
      </c>
    </row>
    <row r="263" spans="1:10">
      <c r="A263" s="1278" t="s">
        <v>206</v>
      </c>
      <c r="B263" s="1279" t="s">
        <v>57</v>
      </c>
      <c r="C263" s="1313" t="s">
        <v>139</v>
      </c>
      <c r="D263" s="1250" t="s">
        <v>87</v>
      </c>
      <c r="E263" s="1251">
        <v>262</v>
      </c>
      <c r="F263" s="1264">
        <v>2.9</v>
      </c>
      <c r="G263" s="1263" t="s">
        <v>152</v>
      </c>
      <c r="H263" s="1973" t="s">
        <v>137</v>
      </c>
      <c r="I263" s="1971" t="s">
        <v>87</v>
      </c>
      <c r="J263" s="1257" t="s">
        <v>160</v>
      </c>
    </row>
    <row r="264" spans="1:10">
      <c r="A264" s="1280" t="s">
        <v>207</v>
      </c>
      <c r="B264" s="1279" t="s">
        <v>136</v>
      </c>
      <c r="C264" s="1313" t="s">
        <v>139</v>
      </c>
      <c r="D264" s="1250" t="s">
        <v>87</v>
      </c>
      <c r="E264" s="1251">
        <v>263</v>
      </c>
      <c r="F264" s="1268" t="s">
        <v>165</v>
      </c>
      <c r="G264" s="1263" t="s">
        <v>156</v>
      </c>
      <c r="H264" s="1973" t="s">
        <v>137</v>
      </c>
      <c r="I264" s="1971" t="s">
        <v>87</v>
      </c>
      <c r="J264" s="1257" t="s">
        <v>176</v>
      </c>
    </row>
    <row r="265" spans="1:10">
      <c r="A265" s="1280" t="s">
        <v>210</v>
      </c>
      <c r="B265" s="1281" t="s">
        <v>211</v>
      </c>
      <c r="C265" s="1313" t="s">
        <v>139</v>
      </c>
      <c r="D265" s="1250" t="s">
        <v>87</v>
      </c>
      <c r="E265" s="1251">
        <v>264</v>
      </c>
      <c r="F265" s="1264">
        <v>3.1</v>
      </c>
      <c r="G265" s="1263" t="s">
        <v>136</v>
      </c>
      <c r="H265" s="1973" t="s">
        <v>137</v>
      </c>
      <c r="I265" s="1971" t="s">
        <v>87</v>
      </c>
      <c r="J265" s="1257" t="s">
        <v>140</v>
      </c>
    </row>
    <row r="266" spans="1:10">
      <c r="A266" s="1280" t="s">
        <v>214</v>
      </c>
      <c r="B266" s="1279" t="s">
        <v>156</v>
      </c>
      <c r="C266" s="1313" t="s">
        <v>139</v>
      </c>
      <c r="D266" s="1250" t="s">
        <v>87</v>
      </c>
      <c r="E266" s="1251">
        <v>265</v>
      </c>
      <c r="F266" s="1264">
        <v>3.2</v>
      </c>
      <c r="G266" s="1263" t="s">
        <v>136</v>
      </c>
      <c r="H266" s="1973" t="s">
        <v>137</v>
      </c>
      <c r="I266" s="1971" t="s">
        <v>87</v>
      </c>
      <c r="J266" s="1257" t="s">
        <v>140</v>
      </c>
    </row>
    <row r="267" spans="1:10">
      <c r="A267" s="1280" t="s">
        <v>216</v>
      </c>
      <c r="B267" s="1279" t="s">
        <v>136</v>
      </c>
      <c r="C267" s="1313" t="s">
        <v>139</v>
      </c>
      <c r="D267" s="1250" t="s">
        <v>87</v>
      </c>
      <c r="E267" s="1251">
        <v>266</v>
      </c>
      <c r="F267" s="1252" t="s">
        <v>183</v>
      </c>
      <c r="G267" s="1256" t="s">
        <v>184</v>
      </c>
      <c r="H267" s="965" t="s">
        <v>137</v>
      </c>
      <c r="I267" s="1971" t="s">
        <v>87</v>
      </c>
      <c r="J267" s="1257" t="s">
        <v>185</v>
      </c>
    </row>
    <row r="268" spans="1:10">
      <c r="A268" s="1280" t="s">
        <v>218</v>
      </c>
      <c r="B268" s="1279" t="s">
        <v>136</v>
      </c>
      <c r="C268" s="1313" t="s">
        <v>139</v>
      </c>
      <c r="D268" s="1250" t="s">
        <v>87</v>
      </c>
      <c r="E268" s="1251">
        <v>267</v>
      </c>
      <c r="F268" s="1252" t="s">
        <v>187</v>
      </c>
      <c r="G268" s="1256" t="s">
        <v>152</v>
      </c>
      <c r="H268" s="965" t="s">
        <v>137</v>
      </c>
      <c r="I268" s="1971" t="s">
        <v>87</v>
      </c>
      <c r="J268" s="1257" t="s">
        <v>160</v>
      </c>
    </row>
    <row r="269" spans="1:10">
      <c r="A269" s="1278" t="s">
        <v>222</v>
      </c>
      <c r="B269" s="1279" t="s">
        <v>57</v>
      </c>
      <c r="C269" s="1313" t="s">
        <v>139</v>
      </c>
      <c r="D269" s="1250" t="s">
        <v>87</v>
      </c>
      <c r="E269" s="1251">
        <v>268</v>
      </c>
      <c r="F269" s="1252" t="s">
        <v>189</v>
      </c>
      <c r="G269" s="1263" t="s">
        <v>190</v>
      </c>
      <c r="H269" s="965" t="s">
        <v>137</v>
      </c>
      <c r="I269" s="1971" t="s">
        <v>87</v>
      </c>
      <c r="J269" s="1257" t="s">
        <v>191</v>
      </c>
    </row>
    <row r="270" spans="1:10">
      <c r="A270" s="1280" t="s">
        <v>224</v>
      </c>
      <c r="B270" s="1279" t="s">
        <v>225</v>
      </c>
      <c r="C270" s="1313" t="s">
        <v>139</v>
      </c>
      <c r="D270" s="1250" t="s">
        <v>87</v>
      </c>
      <c r="E270" s="1251">
        <v>269</v>
      </c>
      <c r="F270" s="1264">
        <v>3.4</v>
      </c>
      <c r="G270" s="1263" t="s">
        <v>193</v>
      </c>
      <c r="H270" s="1973" t="s">
        <v>137</v>
      </c>
      <c r="I270" s="1971" t="s">
        <v>87</v>
      </c>
      <c r="J270" s="1257" t="s">
        <v>185</v>
      </c>
    </row>
    <row r="271" spans="1:10">
      <c r="A271" s="1280" t="s">
        <v>228</v>
      </c>
      <c r="B271" s="1279" t="s">
        <v>229</v>
      </c>
      <c r="C271" s="1313" t="s">
        <v>139</v>
      </c>
      <c r="D271" s="1250" t="s">
        <v>87</v>
      </c>
      <c r="E271" s="1251">
        <v>270</v>
      </c>
      <c r="F271" s="1264">
        <v>3.5</v>
      </c>
      <c r="G271" s="1256" t="s">
        <v>196</v>
      </c>
      <c r="H271" s="1973" t="s">
        <v>137</v>
      </c>
      <c r="I271" s="1971" t="s">
        <v>87</v>
      </c>
      <c r="J271" s="1257" t="s">
        <v>197</v>
      </c>
    </row>
    <row r="272" spans="1:10">
      <c r="A272" s="1280" t="s">
        <v>231</v>
      </c>
      <c r="B272" s="1279" t="s">
        <v>232</v>
      </c>
      <c r="C272" s="1313" t="s">
        <v>139</v>
      </c>
      <c r="D272" s="1250" t="s">
        <v>87</v>
      </c>
      <c r="E272" s="1251">
        <v>271</v>
      </c>
      <c r="F272" s="1264">
        <v>3.6</v>
      </c>
      <c r="G272" s="1263" t="s">
        <v>136</v>
      </c>
      <c r="H272" s="1973" t="s">
        <v>137</v>
      </c>
      <c r="I272" s="1971" t="s">
        <v>87</v>
      </c>
      <c r="J272" s="1257" t="s">
        <v>140</v>
      </c>
    </row>
    <row r="273" spans="1:10">
      <c r="A273" s="1280" t="s">
        <v>233</v>
      </c>
      <c r="B273" s="1279" t="s">
        <v>136</v>
      </c>
      <c r="C273" s="1313" t="s">
        <v>139</v>
      </c>
      <c r="D273" s="1250" t="s">
        <v>87</v>
      </c>
      <c r="E273" s="1251">
        <v>272</v>
      </c>
      <c r="F273" s="1252" t="s">
        <v>200</v>
      </c>
      <c r="G273" s="1263" t="s">
        <v>136</v>
      </c>
      <c r="H273" s="965" t="s">
        <v>137</v>
      </c>
      <c r="I273" s="1971" t="s">
        <v>87</v>
      </c>
      <c r="J273" s="1257" t="s">
        <v>140</v>
      </c>
    </row>
    <row r="274" spans="1:10">
      <c r="A274" s="1280" t="s">
        <v>234</v>
      </c>
      <c r="B274" s="1279" t="s">
        <v>235</v>
      </c>
      <c r="C274" s="1313" t="s">
        <v>139</v>
      </c>
      <c r="D274" s="1250" t="s">
        <v>87</v>
      </c>
      <c r="E274" s="1251">
        <v>273</v>
      </c>
      <c r="F274" s="1252" t="s">
        <v>203</v>
      </c>
      <c r="G274" s="1263" t="s">
        <v>204</v>
      </c>
      <c r="H274" s="965" t="s">
        <v>137</v>
      </c>
      <c r="I274" s="1971" t="s">
        <v>87</v>
      </c>
      <c r="J274" s="1257" t="s">
        <v>205</v>
      </c>
    </row>
    <row r="275" spans="1:10">
      <c r="A275" s="1280">
        <v>5.1100000000000003</v>
      </c>
      <c r="B275" s="1279" t="s">
        <v>57</v>
      </c>
      <c r="C275" s="1313" t="s">
        <v>139</v>
      </c>
      <c r="D275" s="1250" t="s">
        <v>87</v>
      </c>
      <c r="E275" s="1251">
        <v>274</v>
      </c>
      <c r="F275" s="1264">
        <v>4.2</v>
      </c>
      <c r="G275" s="1263" t="s">
        <v>147</v>
      </c>
      <c r="H275" s="1973" t="s">
        <v>137</v>
      </c>
      <c r="I275" s="1971" t="s">
        <v>87</v>
      </c>
      <c r="J275" s="1257" t="s">
        <v>172</v>
      </c>
    </row>
    <row r="276" spans="1:10">
      <c r="A276" s="1280">
        <v>5.12</v>
      </c>
      <c r="B276" s="1279" t="s">
        <v>57</v>
      </c>
      <c r="C276" s="1313" t="s">
        <v>139</v>
      </c>
      <c r="D276" s="1250" t="s">
        <v>87</v>
      </c>
      <c r="E276" s="1251">
        <v>275</v>
      </c>
      <c r="F276" s="1264">
        <v>4.3</v>
      </c>
      <c r="G276" s="1256" t="s">
        <v>208</v>
      </c>
      <c r="H276" s="1973" t="s">
        <v>137</v>
      </c>
      <c r="I276" s="1971" t="s">
        <v>87</v>
      </c>
      <c r="J276" s="1257" t="s">
        <v>209</v>
      </c>
    </row>
    <row r="277" spans="1:10">
      <c r="A277" s="1283">
        <v>5.13</v>
      </c>
      <c r="B277" s="1284" t="s">
        <v>57</v>
      </c>
      <c r="C277" s="1313" t="s">
        <v>139</v>
      </c>
      <c r="D277" s="1250" t="s">
        <v>87</v>
      </c>
      <c r="E277" s="1251">
        <v>276</v>
      </c>
      <c r="F277" s="1264">
        <v>4.4000000000000004</v>
      </c>
      <c r="G277" s="1256" t="s">
        <v>212</v>
      </c>
      <c r="H277" s="1973" t="s">
        <v>137</v>
      </c>
      <c r="I277" s="1971" t="s">
        <v>87</v>
      </c>
      <c r="J277" s="1257" t="s">
        <v>213</v>
      </c>
    </row>
    <row r="278" spans="1:10">
      <c r="A278" s="1276" t="s">
        <v>241</v>
      </c>
      <c r="B278" s="1277" t="s">
        <v>136</v>
      </c>
      <c r="C278" s="1313" t="s">
        <v>139</v>
      </c>
      <c r="D278" s="1250" t="s">
        <v>87</v>
      </c>
      <c r="E278" s="1251">
        <v>277</v>
      </c>
      <c r="F278" s="1252" t="s">
        <v>215</v>
      </c>
      <c r="G278" s="1263" t="s">
        <v>136</v>
      </c>
      <c r="H278" s="965" t="s">
        <v>137</v>
      </c>
      <c r="I278" s="1971" t="s">
        <v>87</v>
      </c>
      <c r="J278" s="1257" t="s">
        <v>140</v>
      </c>
    </row>
    <row r="279" spans="1:10">
      <c r="A279" s="1280" t="s">
        <v>243</v>
      </c>
      <c r="B279" s="1279" t="s">
        <v>136</v>
      </c>
      <c r="C279" s="1313" t="s">
        <v>139</v>
      </c>
      <c r="D279" s="1250" t="s">
        <v>87</v>
      </c>
      <c r="E279" s="1251">
        <v>278</v>
      </c>
      <c r="F279" s="1252" t="s">
        <v>217</v>
      </c>
      <c r="G279" s="1263" t="s">
        <v>57</v>
      </c>
      <c r="H279" s="965" t="s">
        <v>137</v>
      </c>
      <c r="I279" s="1971" t="s">
        <v>87</v>
      </c>
      <c r="J279" s="1257" t="s">
        <v>57</v>
      </c>
    </row>
    <row r="280" spans="1:10">
      <c r="A280" s="1280" t="s">
        <v>244</v>
      </c>
      <c r="B280" s="1279" t="s">
        <v>178</v>
      </c>
      <c r="C280" s="1313" t="s">
        <v>139</v>
      </c>
      <c r="D280" s="1250" t="s">
        <v>87</v>
      </c>
      <c r="E280" s="1251">
        <v>279</v>
      </c>
      <c r="F280" s="1252" t="s">
        <v>219</v>
      </c>
      <c r="G280" s="1282" t="s">
        <v>220</v>
      </c>
      <c r="H280" s="965" t="s">
        <v>137</v>
      </c>
      <c r="I280" s="1971" t="s">
        <v>87</v>
      </c>
      <c r="J280" s="1257" t="s">
        <v>221</v>
      </c>
    </row>
    <row r="281" spans="1:10">
      <c r="A281" s="1280" t="s">
        <v>245</v>
      </c>
      <c r="B281" s="1279" t="s">
        <v>246</v>
      </c>
      <c r="C281" s="1313" t="s">
        <v>139</v>
      </c>
      <c r="D281" s="1250" t="s">
        <v>87</v>
      </c>
      <c r="E281" s="1251">
        <v>280</v>
      </c>
      <c r="F281" s="1252" t="s">
        <v>223</v>
      </c>
      <c r="G281" s="1263" t="s">
        <v>57</v>
      </c>
      <c r="H281" s="965" t="s">
        <v>137</v>
      </c>
      <c r="I281" s="1971" t="s">
        <v>87</v>
      </c>
      <c r="J281" s="1257" t="s">
        <v>57</v>
      </c>
    </row>
    <row r="282" spans="1:10">
      <c r="A282" s="1280" t="s">
        <v>247</v>
      </c>
      <c r="B282" s="1279" t="s">
        <v>178</v>
      </c>
      <c r="C282" s="1313" t="s">
        <v>139</v>
      </c>
      <c r="D282" s="1250" t="s">
        <v>87</v>
      </c>
      <c r="E282" s="1251">
        <v>281</v>
      </c>
      <c r="F282" s="1264">
        <v>5.3</v>
      </c>
      <c r="G282" s="1256" t="s">
        <v>226</v>
      </c>
      <c r="H282" s="1973" t="s">
        <v>137</v>
      </c>
      <c r="I282" s="1971" t="s">
        <v>87</v>
      </c>
      <c r="J282" s="1257" t="s">
        <v>227</v>
      </c>
    </row>
    <row r="283" spans="1:10">
      <c r="A283" s="1280" t="s">
        <v>248</v>
      </c>
      <c r="B283" s="1279" t="s">
        <v>178</v>
      </c>
      <c r="C283" s="1313" t="s">
        <v>139</v>
      </c>
      <c r="D283" s="1250" t="s">
        <v>87</v>
      </c>
      <c r="E283" s="1251">
        <v>282</v>
      </c>
      <c r="F283" s="1264">
        <v>5.4</v>
      </c>
      <c r="G283" s="1263" t="s">
        <v>230</v>
      </c>
      <c r="H283" s="1973" t="s">
        <v>137</v>
      </c>
      <c r="I283" s="1971" t="s">
        <v>87</v>
      </c>
      <c r="J283" s="1257" t="s">
        <v>185</v>
      </c>
    </row>
    <row r="284" spans="1:10">
      <c r="A284" s="1280" t="s">
        <v>249</v>
      </c>
      <c r="B284" s="1279" t="s">
        <v>152</v>
      </c>
      <c r="C284" s="1313" t="s">
        <v>139</v>
      </c>
      <c r="D284" s="1250" t="s">
        <v>87</v>
      </c>
      <c r="E284" s="1251">
        <v>283</v>
      </c>
      <c r="F284" s="1264">
        <v>5.5</v>
      </c>
      <c r="G284" s="1256" t="s">
        <v>156</v>
      </c>
      <c r="H284" s="1973" t="s">
        <v>137</v>
      </c>
      <c r="I284" s="1971" t="s">
        <v>87</v>
      </c>
      <c r="J284" s="1257" t="s">
        <v>176</v>
      </c>
    </row>
    <row r="285" spans="1:10">
      <c r="A285" s="1280" t="s">
        <v>250</v>
      </c>
      <c r="B285" s="1279" t="s">
        <v>152</v>
      </c>
      <c r="C285" s="1313" t="s">
        <v>139</v>
      </c>
      <c r="D285" s="1250" t="s">
        <v>87</v>
      </c>
      <c r="E285" s="1251">
        <v>284</v>
      </c>
      <c r="F285" s="1264">
        <v>5.6</v>
      </c>
      <c r="G285" s="1256" t="s">
        <v>136</v>
      </c>
      <c r="H285" s="1973" t="s">
        <v>137</v>
      </c>
      <c r="I285" s="1971" t="s">
        <v>87</v>
      </c>
      <c r="J285" s="1257" t="s">
        <v>140</v>
      </c>
    </row>
    <row r="286" spans="1:10">
      <c r="A286" s="1283" t="s">
        <v>251</v>
      </c>
      <c r="B286" s="1284" t="s">
        <v>252</v>
      </c>
      <c r="C286" s="1313" t="s">
        <v>139</v>
      </c>
      <c r="D286" s="1250" t="s">
        <v>87</v>
      </c>
      <c r="E286" s="1251">
        <v>285</v>
      </c>
      <c r="F286" s="1252" t="s">
        <v>236</v>
      </c>
      <c r="G286" s="1263" t="s">
        <v>136</v>
      </c>
      <c r="H286" s="965" t="s">
        <v>137</v>
      </c>
      <c r="I286" s="1971" t="s">
        <v>87</v>
      </c>
      <c r="J286" s="1257" t="s">
        <v>140</v>
      </c>
    </row>
    <row r="287" spans="1:10">
      <c r="A287" s="1276" t="s">
        <v>253</v>
      </c>
      <c r="B287" s="1277" t="s">
        <v>136</v>
      </c>
      <c r="C287" s="1313" t="s">
        <v>139</v>
      </c>
      <c r="D287" s="1250" t="s">
        <v>87</v>
      </c>
      <c r="E287" s="1251">
        <v>286</v>
      </c>
      <c r="F287" s="1252" t="s">
        <v>237</v>
      </c>
      <c r="G287" s="1263" t="s">
        <v>57</v>
      </c>
      <c r="H287" s="965" t="s">
        <v>137</v>
      </c>
      <c r="I287" s="1971" t="s">
        <v>87</v>
      </c>
      <c r="J287" s="1257" t="s">
        <v>57</v>
      </c>
    </row>
    <row r="288" spans="1:10">
      <c r="A288" s="1280" t="s">
        <v>256</v>
      </c>
      <c r="B288" s="1281" t="s">
        <v>257</v>
      </c>
      <c r="C288" s="1313" t="s">
        <v>139</v>
      </c>
      <c r="D288" s="1250" t="s">
        <v>87</v>
      </c>
      <c r="E288" s="1251">
        <v>287</v>
      </c>
      <c r="F288" s="1252" t="s">
        <v>238</v>
      </c>
      <c r="G288" s="1263" t="s">
        <v>57</v>
      </c>
      <c r="H288" s="965" t="s">
        <v>137</v>
      </c>
      <c r="I288" s="1971" t="s">
        <v>87</v>
      </c>
      <c r="J288" s="1257" t="s">
        <v>57</v>
      </c>
    </row>
    <row r="289" spans="1:10">
      <c r="A289" s="1280" t="s">
        <v>259</v>
      </c>
      <c r="B289" s="1279" t="s">
        <v>260</v>
      </c>
      <c r="C289" s="1313" t="s">
        <v>139</v>
      </c>
      <c r="D289" s="1250" t="s">
        <v>87</v>
      </c>
      <c r="E289" s="1251">
        <v>288</v>
      </c>
      <c r="F289" s="1252" t="s">
        <v>239</v>
      </c>
      <c r="G289" s="1256" t="s">
        <v>229</v>
      </c>
      <c r="H289" s="965" t="s">
        <v>137</v>
      </c>
      <c r="I289" s="1971" t="s">
        <v>87</v>
      </c>
      <c r="J289" s="1257" t="s">
        <v>240</v>
      </c>
    </row>
    <row r="290" spans="1:10">
      <c r="A290" s="1280" t="s">
        <v>263</v>
      </c>
      <c r="B290" s="1279" t="s">
        <v>136</v>
      </c>
      <c r="C290" s="1313" t="s">
        <v>139</v>
      </c>
      <c r="D290" s="1250" t="s">
        <v>87</v>
      </c>
      <c r="E290" s="1251">
        <v>289</v>
      </c>
      <c r="F290" s="1252" t="s">
        <v>242</v>
      </c>
      <c r="G290" s="1263" t="s">
        <v>57</v>
      </c>
      <c r="H290" s="965" t="s">
        <v>137</v>
      </c>
      <c r="I290" s="1971" t="s">
        <v>87</v>
      </c>
      <c r="J290" s="1257" t="s">
        <v>57</v>
      </c>
    </row>
    <row r="291" spans="1:10">
      <c r="A291" s="1278" t="s">
        <v>264</v>
      </c>
      <c r="B291" s="1279" t="s">
        <v>57</v>
      </c>
      <c r="C291" s="1313" t="s">
        <v>139</v>
      </c>
      <c r="D291" s="1250" t="s">
        <v>87</v>
      </c>
      <c r="E291" s="1251">
        <v>290</v>
      </c>
      <c r="F291" s="1264">
        <v>5.9</v>
      </c>
      <c r="G291" s="1263" t="s">
        <v>136</v>
      </c>
      <c r="H291" s="1973" t="s">
        <v>137</v>
      </c>
      <c r="I291" s="1971" t="s">
        <v>87</v>
      </c>
      <c r="J291" s="1257" t="s">
        <v>140</v>
      </c>
    </row>
    <row r="292" spans="1:10">
      <c r="A292" s="1280" t="s">
        <v>265</v>
      </c>
      <c r="B292" s="1279" t="s">
        <v>136</v>
      </c>
      <c r="C292" s="1313" t="s">
        <v>139</v>
      </c>
      <c r="D292" s="1250" t="s">
        <v>87</v>
      </c>
      <c r="E292" s="1251">
        <v>291</v>
      </c>
      <c r="F292" s="1268" t="s">
        <v>234</v>
      </c>
      <c r="G292" s="1263" t="s">
        <v>57</v>
      </c>
      <c r="H292" s="1973" t="s">
        <v>137</v>
      </c>
      <c r="I292" s="1971" t="s">
        <v>87</v>
      </c>
      <c r="J292" s="1257" t="s">
        <v>57</v>
      </c>
    </row>
    <row r="293" spans="1:10">
      <c r="A293" s="1278" t="s">
        <v>268</v>
      </c>
      <c r="B293" s="1279" t="s">
        <v>57</v>
      </c>
      <c r="C293" s="1313" t="s">
        <v>139</v>
      </c>
      <c r="D293" s="1250" t="s">
        <v>87</v>
      </c>
      <c r="E293" s="1251">
        <v>292</v>
      </c>
      <c r="F293" s="1264">
        <v>5.1100000000000003</v>
      </c>
      <c r="G293" s="1263" t="s">
        <v>57</v>
      </c>
      <c r="H293" s="1973" t="s">
        <v>137</v>
      </c>
      <c r="I293" s="1971" t="s">
        <v>87</v>
      </c>
      <c r="J293" s="1257" t="s">
        <v>57</v>
      </c>
    </row>
    <row r="294" spans="1:10">
      <c r="A294" s="1280">
        <v>7.5</v>
      </c>
      <c r="B294" s="1279" t="s">
        <v>136</v>
      </c>
      <c r="C294" s="1313" t="s">
        <v>139</v>
      </c>
      <c r="D294" s="1250" t="s">
        <v>87</v>
      </c>
      <c r="E294" s="1251">
        <v>293</v>
      </c>
      <c r="F294" s="1264">
        <v>5.12</v>
      </c>
      <c r="G294" s="1263" t="s">
        <v>57</v>
      </c>
      <c r="H294" s="1973" t="s">
        <v>137</v>
      </c>
      <c r="I294" s="1971" t="s">
        <v>87</v>
      </c>
      <c r="J294" s="1257" t="s">
        <v>57</v>
      </c>
    </row>
    <row r="295" spans="1:10">
      <c r="A295" s="1280">
        <v>7.6</v>
      </c>
      <c r="B295" s="1279" t="s">
        <v>136</v>
      </c>
      <c r="C295" s="1313" t="s">
        <v>139</v>
      </c>
      <c r="D295" s="1250" t="s">
        <v>87</v>
      </c>
      <c r="E295" s="1251">
        <v>294</v>
      </c>
      <c r="F295" s="1264">
        <v>5.13</v>
      </c>
      <c r="G295" s="1263" t="s">
        <v>57</v>
      </c>
      <c r="H295" s="1973" t="s">
        <v>137</v>
      </c>
      <c r="I295" s="1971" t="s">
        <v>87</v>
      </c>
      <c r="J295" s="1257" t="s">
        <v>57</v>
      </c>
    </row>
    <row r="296" spans="1:10">
      <c r="A296" s="1280">
        <v>7.7</v>
      </c>
      <c r="B296" s="1279" t="s">
        <v>136</v>
      </c>
      <c r="C296" s="1313" t="s">
        <v>139</v>
      </c>
      <c r="D296" s="1250" t="s">
        <v>87</v>
      </c>
      <c r="E296" s="1251">
        <v>295</v>
      </c>
      <c r="F296" s="1264">
        <v>6.1</v>
      </c>
      <c r="G296" s="1263" t="s">
        <v>136</v>
      </c>
      <c r="H296" s="1973" t="s">
        <v>137</v>
      </c>
      <c r="I296" s="1971" t="s">
        <v>87</v>
      </c>
      <c r="J296" s="1257" t="s">
        <v>140</v>
      </c>
    </row>
    <row r="297" spans="1:10">
      <c r="A297" s="1280">
        <v>7.8</v>
      </c>
      <c r="B297" s="1279" t="s">
        <v>136</v>
      </c>
      <c r="C297" s="1313" t="s">
        <v>139</v>
      </c>
      <c r="D297" s="1250" t="s">
        <v>87</v>
      </c>
      <c r="E297" s="1251">
        <v>296</v>
      </c>
      <c r="F297" s="1264">
        <v>6.2</v>
      </c>
      <c r="G297" s="1263" t="s">
        <v>136</v>
      </c>
      <c r="H297" s="1973" t="s">
        <v>137</v>
      </c>
      <c r="I297" s="1971" t="s">
        <v>87</v>
      </c>
      <c r="J297" s="1257" t="s">
        <v>140</v>
      </c>
    </row>
    <row r="298" spans="1:10">
      <c r="A298" s="1286" t="s">
        <v>276</v>
      </c>
      <c r="B298" s="1279" t="s">
        <v>136</v>
      </c>
      <c r="C298" s="1313" t="s">
        <v>139</v>
      </c>
      <c r="D298" s="1250" t="s">
        <v>87</v>
      </c>
      <c r="E298" s="1251">
        <v>297</v>
      </c>
      <c r="F298" s="1264">
        <v>6.3</v>
      </c>
      <c r="G298" s="1263" t="s">
        <v>190</v>
      </c>
      <c r="H298" s="1973" t="s">
        <v>137</v>
      </c>
      <c r="I298" s="1971" t="s">
        <v>87</v>
      </c>
      <c r="J298" s="1285" t="s">
        <v>191</v>
      </c>
    </row>
    <row r="299" spans="1:10">
      <c r="A299" s="1280" t="s">
        <v>277</v>
      </c>
      <c r="B299" s="1279" t="s">
        <v>136</v>
      </c>
      <c r="C299" s="1313" t="s">
        <v>139</v>
      </c>
      <c r="D299" s="1250" t="s">
        <v>87</v>
      </c>
      <c r="E299" s="1251">
        <v>298</v>
      </c>
      <c r="F299" s="1264">
        <v>6.4</v>
      </c>
      <c r="G299" s="1263" t="s">
        <v>254</v>
      </c>
      <c r="H299" s="1973" t="s">
        <v>137</v>
      </c>
      <c r="I299" s="1971" t="s">
        <v>87</v>
      </c>
      <c r="J299" s="1257" t="s">
        <v>255</v>
      </c>
    </row>
    <row r="300" spans="1:10">
      <c r="A300" s="1280" t="s">
        <v>278</v>
      </c>
      <c r="B300" s="1279" t="s">
        <v>136</v>
      </c>
      <c r="C300" s="1313" t="s">
        <v>139</v>
      </c>
      <c r="D300" s="1250" t="s">
        <v>87</v>
      </c>
      <c r="E300" s="1251">
        <v>299</v>
      </c>
      <c r="F300" s="1252" t="s">
        <v>258</v>
      </c>
      <c r="G300" s="1256" t="s">
        <v>147</v>
      </c>
      <c r="H300" s="965" t="s">
        <v>137</v>
      </c>
      <c r="I300" s="1971" t="s">
        <v>87</v>
      </c>
      <c r="J300" s="1257" t="s">
        <v>172</v>
      </c>
    </row>
    <row r="301" spans="1:10">
      <c r="A301" s="1280" t="s">
        <v>279</v>
      </c>
      <c r="B301" s="1279" t="s">
        <v>136</v>
      </c>
      <c r="C301" s="1313" t="s">
        <v>139</v>
      </c>
      <c r="D301" s="1250" t="s">
        <v>87</v>
      </c>
      <c r="E301" s="1251">
        <v>300</v>
      </c>
      <c r="F301" s="1252" t="s">
        <v>261</v>
      </c>
      <c r="G301" s="1256" t="s">
        <v>262</v>
      </c>
      <c r="H301" s="965" t="s">
        <v>137</v>
      </c>
      <c r="I301" s="1971" t="s">
        <v>87</v>
      </c>
      <c r="J301" s="1257" t="s">
        <v>172</v>
      </c>
    </row>
    <row r="302" spans="1:10">
      <c r="A302" s="1280">
        <v>7.11</v>
      </c>
      <c r="B302" s="1279" t="s">
        <v>136</v>
      </c>
      <c r="C302" s="1313" t="s">
        <v>139</v>
      </c>
      <c r="D302" s="1250" t="s">
        <v>87</v>
      </c>
      <c r="E302" s="1251">
        <v>301</v>
      </c>
      <c r="F302" s="1264">
        <v>6.6</v>
      </c>
      <c r="G302" s="1263" t="s">
        <v>145</v>
      </c>
      <c r="H302" s="1973" t="s">
        <v>137</v>
      </c>
      <c r="I302" s="1971" t="s">
        <v>87</v>
      </c>
      <c r="J302" s="1285" t="s">
        <v>146</v>
      </c>
    </row>
    <row r="303" spans="1:10">
      <c r="A303" s="1280">
        <v>7.12</v>
      </c>
      <c r="B303" s="1279" t="s">
        <v>136</v>
      </c>
      <c r="C303" s="1313" t="s">
        <v>139</v>
      </c>
      <c r="D303" s="1250" t="s">
        <v>87</v>
      </c>
      <c r="E303" s="1251">
        <v>302</v>
      </c>
      <c r="F303" s="1264">
        <v>7.1</v>
      </c>
      <c r="G303" s="1263" t="s">
        <v>136</v>
      </c>
      <c r="H303" s="1973" t="s">
        <v>137</v>
      </c>
      <c r="I303" s="1971" t="s">
        <v>87</v>
      </c>
      <c r="J303" s="1257" t="s">
        <v>140</v>
      </c>
    </row>
    <row r="304" spans="1:10">
      <c r="A304" s="1280">
        <v>7.13</v>
      </c>
      <c r="B304" s="1279" t="s">
        <v>280</v>
      </c>
      <c r="C304" s="1313" t="s">
        <v>139</v>
      </c>
      <c r="D304" s="1250" t="s">
        <v>87</v>
      </c>
      <c r="E304" s="1251">
        <v>303</v>
      </c>
      <c r="F304" s="1252" t="s">
        <v>266</v>
      </c>
      <c r="G304" s="1256" t="s">
        <v>267</v>
      </c>
      <c r="H304" s="965" t="s">
        <v>137</v>
      </c>
      <c r="I304" s="1971" t="s">
        <v>87</v>
      </c>
      <c r="J304" s="1257" t="s">
        <v>185</v>
      </c>
    </row>
    <row r="305" spans="1:10">
      <c r="A305" s="1280">
        <v>7.14</v>
      </c>
      <c r="B305" s="1279" t="s">
        <v>136</v>
      </c>
      <c r="C305" s="1313" t="s">
        <v>139</v>
      </c>
      <c r="D305" s="1250" t="s">
        <v>87</v>
      </c>
      <c r="E305" s="1251">
        <v>304</v>
      </c>
      <c r="F305" s="1252" t="s">
        <v>269</v>
      </c>
      <c r="G305" s="1256" t="s">
        <v>270</v>
      </c>
      <c r="H305" s="965" t="s">
        <v>137</v>
      </c>
      <c r="I305" s="1971" t="s">
        <v>87</v>
      </c>
      <c r="J305" s="1257" t="s">
        <v>271</v>
      </c>
    </row>
    <row r="306" spans="1:10">
      <c r="A306" s="1280">
        <v>7.15</v>
      </c>
      <c r="B306" s="1279" t="s">
        <v>136</v>
      </c>
      <c r="C306" s="1313" t="s">
        <v>139</v>
      </c>
      <c r="D306" s="1250" t="s">
        <v>87</v>
      </c>
      <c r="E306" s="1251">
        <v>305</v>
      </c>
      <c r="F306" s="1252" t="s">
        <v>272</v>
      </c>
      <c r="G306" s="1256" t="s">
        <v>136</v>
      </c>
      <c r="H306" s="965" t="s">
        <v>137</v>
      </c>
      <c r="I306" s="1971" t="s">
        <v>87</v>
      </c>
      <c r="J306" s="1257" t="s">
        <v>140</v>
      </c>
    </row>
    <row r="307" spans="1:10">
      <c r="A307" s="1280">
        <v>7.16</v>
      </c>
      <c r="B307" s="1279" t="s">
        <v>136</v>
      </c>
      <c r="C307" s="1313" t="s">
        <v>139</v>
      </c>
      <c r="D307" s="1250" t="s">
        <v>87</v>
      </c>
      <c r="E307" s="1251">
        <v>306</v>
      </c>
      <c r="F307" s="1252" t="s">
        <v>273</v>
      </c>
      <c r="G307" s="1263" t="s">
        <v>57</v>
      </c>
      <c r="H307" s="965" t="s">
        <v>137</v>
      </c>
      <c r="I307" s="1971" t="s">
        <v>87</v>
      </c>
      <c r="J307" s="1257" t="s">
        <v>57</v>
      </c>
    </row>
    <row r="308" spans="1:10">
      <c r="A308" s="1283">
        <v>7.17</v>
      </c>
      <c r="B308" s="1284" t="s">
        <v>212</v>
      </c>
      <c r="C308" s="1313" t="s">
        <v>139</v>
      </c>
      <c r="D308" s="1250" t="s">
        <v>87</v>
      </c>
      <c r="E308" s="1251">
        <v>307</v>
      </c>
      <c r="F308" s="1252" t="s">
        <v>274</v>
      </c>
      <c r="G308" s="1263" t="s">
        <v>136</v>
      </c>
      <c r="H308" s="965" t="s">
        <v>137</v>
      </c>
      <c r="I308" s="1971" t="s">
        <v>87</v>
      </c>
      <c r="J308" s="1257" t="s">
        <v>140</v>
      </c>
    </row>
    <row r="309" spans="1:10">
      <c r="A309" s="1276" t="s">
        <v>285</v>
      </c>
      <c r="B309" s="1277" t="s">
        <v>136</v>
      </c>
      <c r="C309" s="1313" t="s">
        <v>139</v>
      </c>
      <c r="D309" s="1250" t="s">
        <v>87</v>
      </c>
      <c r="E309" s="1251">
        <v>308</v>
      </c>
      <c r="F309" s="1252" t="s">
        <v>275</v>
      </c>
      <c r="G309" s="1263" t="s">
        <v>57</v>
      </c>
      <c r="H309" s="965" t="s">
        <v>137</v>
      </c>
      <c r="I309" s="1971" t="s">
        <v>87</v>
      </c>
      <c r="J309" s="1257" t="s">
        <v>57</v>
      </c>
    </row>
    <row r="310" spans="1:10">
      <c r="A310" s="1280" t="s">
        <v>286</v>
      </c>
      <c r="B310" s="1279" t="s">
        <v>136</v>
      </c>
      <c r="C310" s="1313" t="s">
        <v>139</v>
      </c>
      <c r="D310" s="1250" t="s">
        <v>87</v>
      </c>
      <c r="E310" s="1251">
        <v>309</v>
      </c>
      <c r="F310" s="1264">
        <v>7.5</v>
      </c>
      <c r="G310" s="1263" t="s">
        <v>136</v>
      </c>
      <c r="H310" s="1973" t="s">
        <v>137</v>
      </c>
      <c r="I310" s="1971" t="s">
        <v>87</v>
      </c>
      <c r="J310" s="1257" t="s">
        <v>140</v>
      </c>
    </row>
    <row r="311" spans="1:10">
      <c r="A311" s="1280" t="s">
        <v>287</v>
      </c>
      <c r="B311" s="1279" t="s">
        <v>136</v>
      </c>
      <c r="C311" s="1313" t="s">
        <v>139</v>
      </c>
      <c r="D311" s="1250" t="s">
        <v>87</v>
      </c>
      <c r="E311" s="1251">
        <v>310</v>
      </c>
      <c r="F311" s="1264">
        <v>7.6</v>
      </c>
      <c r="G311" s="1263" t="s">
        <v>136</v>
      </c>
      <c r="H311" s="1973" t="s">
        <v>137</v>
      </c>
      <c r="I311" s="1971" t="s">
        <v>87</v>
      </c>
      <c r="J311" s="1257" t="s">
        <v>140</v>
      </c>
    </row>
    <row r="312" spans="1:10">
      <c r="A312" s="1280" t="s">
        <v>288</v>
      </c>
      <c r="B312" s="1279" t="s">
        <v>212</v>
      </c>
      <c r="C312" s="1313" t="s">
        <v>139</v>
      </c>
      <c r="D312" s="1250" t="s">
        <v>87</v>
      </c>
      <c r="E312" s="1251">
        <v>311</v>
      </c>
      <c r="F312" s="1264">
        <v>7.7</v>
      </c>
      <c r="G312" s="1263" t="s">
        <v>136</v>
      </c>
      <c r="H312" s="1973" t="s">
        <v>137</v>
      </c>
      <c r="I312" s="1971" t="s">
        <v>87</v>
      </c>
      <c r="J312" s="1257" t="s">
        <v>140</v>
      </c>
    </row>
    <row r="313" spans="1:10">
      <c r="A313" s="1280" t="s">
        <v>290</v>
      </c>
      <c r="B313" s="1279" t="s">
        <v>147</v>
      </c>
      <c r="C313" s="1313" t="s">
        <v>139</v>
      </c>
      <c r="D313" s="1250" t="s">
        <v>87</v>
      </c>
      <c r="E313" s="1251">
        <v>312</v>
      </c>
      <c r="F313" s="1264">
        <v>7.8</v>
      </c>
      <c r="G313" s="1263" t="s">
        <v>136</v>
      </c>
      <c r="H313" s="1973" t="s">
        <v>137</v>
      </c>
      <c r="I313" s="1971" t="s">
        <v>87</v>
      </c>
      <c r="J313" s="1257" t="s">
        <v>140</v>
      </c>
    </row>
    <row r="314" spans="1:10">
      <c r="A314" s="1292">
        <v>1.1000000000000001</v>
      </c>
      <c r="B314" s="1293" t="s">
        <v>136</v>
      </c>
      <c r="C314" s="1313" t="s">
        <v>139</v>
      </c>
      <c r="D314" s="1250" t="s">
        <v>292</v>
      </c>
      <c r="E314" s="1251">
        <v>313</v>
      </c>
      <c r="F314" s="1264">
        <v>7.9</v>
      </c>
      <c r="G314" s="1263" t="s">
        <v>136</v>
      </c>
      <c r="H314" s="1973" t="s">
        <v>137</v>
      </c>
      <c r="I314" s="1971" t="s">
        <v>87</v>
      </c>
      <c r="J314" s="1257" t="s">
        <v>140</v>
      </c>
    </row>
    <row r="315" spans="1:10">
      <c r="A315" s="1258">
        <v>1.2</v>
      </c>
      <c r="B315" s="1259" t="s">
        <v>141</v>
      </c>
      <c r="C315" s="1313" t="s">
        <v>139</v>
      </c>
      <c r="D315" s="1250" t="s">
        <v>292</v>
      </c>
      <c r="E315" s="1251">
        <v>314</v>
      </c>
      <c r="F315" s="1268" t="s">
        <v>279</v>
      </c>
      <c r="G315" s="1256" t="s">
        <v>136</v>
      </c>
      <c r="H315" s="1973" t="s">
        <v>137</v>
      </c>
      <c r="I315" s="1971" t="s">
        <v>87</v>
      </c>
      <c r="J315" s="1257" t="s">
        <v>140</v>
      </c>
    </row>
    <row r="316" spans="1:10">
      <c r="A316" s="1260">
        <v>2.1</v>
      </c>
      <c r="B316" s="1255" t="s">
        <v>136</v>
      </c>
      <c r="C316" s="1313" t="s">
        <v>139</v>
      </c>
      <c r="D316" s="1250" t="s">
        <v>292</v>
      </c>
      <c r="E316" s="1251">
        <v>315</v>
      </c>
      <c r="F316" s="1264">
        <v>7.11</v>
      </c>
      <c r="G316" s="1263" t="s">
        <v>136</v>
      </c>
      <c r="H316" s="1973" t="s">
        <v>137</v>
      </c>
      <c r="I316" s="1971" t="s">
        <v>87</v>
      </c>
      <c r="J316" s="1257" t="s">
        <v>140</v>
      </c>
    </row>
    <row r="317" spans="1:10">
      <c r="A317" s="1261">
        <v>2.2000000000000002</v>
      </c>
      <c r="B317" s="1262" t="s">
        <v>57</v>
      </c>
      <c r="C317" s="1313" t="s">
        <v>139</v>
      </c>
      <c r="D317" s="1250" t="s">
        <v>292</v>
      </c>
      <c r="E317" s="1251">
        <v>316</v>
      </c>
      <c r="F317" s="1264">
        <v>7.12</v>
      </c>
      <c r="G317" s="1263" t="s">
        <v>136</v>
      </c>
      <c r="H317" s="1973" t="s">
        <v>137</v>
      </c>
      <c r="I317" s="1971" t="s">
        <v>87</v>
      </c>
      <c r="J317" s="1257" t="s">
        <v>140</v>
      </c>
    </row>
    <row r="318" spans="1:10">
      <c r="A318" s="1261">
        <v>2.2999999999999998</v>
      </c>
      <c r="B318" s="1262" t="s">
        <v>136</v>
      </c>
      <c r="C318" s="1313" t="s">
        <v>139</v>
      </c>
      <c r="D318" s="1250" t="s">
        <v>292</v>
      </c>
      <c r="E318" s="1251">
        <v>317</v>
      </c>
      <c r="F318" s="1252" t="s">
        <v>281</v>
      </c>
      <c r="G318" s="1263" t="s">
        <v>136</v>
      </c>
      <c r="H318" s="965" t="s">
        <v>137</v>
      </c>
      <c r="I318" s="1971" t="s">
        <v>87</v>
      </c>
      <c r="J318" s="1257" t="s">
        <v>140</v>
      </c>
    </row>
    <row r="319" spans="1:10">
      <c r="A319" s="1261">
        <v>2.4</v>
      </c>
      <c r="B319" s="1262" t="s">
        <v>152</v>
      </c>
      <c r="C319" s="1313" t="s">
        <v>139</v>
      </c>
      <c r="D319" s="1250" t="s">
        <v>292</v>
      </c>
      <c r="E319" s="1251">
        <v>318</v>
      </c>
      <c r="F319" s="1252" t="s">
        <v>282</v>
      </c>
      <c r="G319" s="1263" t="s">
        <v>283</v>
      </c>
      <c r="H319" s="965" t="s">
        <v>137</v>
      </c>
      <c r="I319" s="1971" t="s">
        <v>87</v>
      </c>
      <c r="J319" s="1257" t="s">
        <v>284</v>
      </c>
    </row>
    <row r="320" spans="1:10">
      <c r="A320" s="1261">
        <v>2.5</v>
      </c>
      <c r="B320" s="1262" t="s">
        <v>212</v>
      </c>
      <c r="C320" s="1313" t="s">
        <v>139</v>
      </c>
      <c r="D320" s="1250" t="s">
        <v>292</v>
      </c>
      <c r="E320" s="1251">
        <v>319</v>
      </c>
      <c r="F320" s="1264">
        <v>7.14</v>
      </c>
      <c r="G320" s="1263" t="s">
        <v>136</v>
      </c>
      <c r="H320" s="1973" t="s">
        <v>137</v>
      </c>
      <c r="I320" s="1971" t="s">
        <v>87</v>
      </c>
      <c r="J320" s="1257" t="s">
        <v>140</v>
      </c>
    </row>
    <row r="321" spans="1:10">
      <c r="A321" s="1261">
        <v>2.6</v>
      </c>
      <c r="B321" s="1262" t="s">
        <v>156</v>
      </c>
      <c r="C321" s="1313" t="s">
        <v>139</v>
      </c>
      <c r="D321" s="1250" t="s">
        <v>292</v>
      </c>
      <c r="E321" s="1251">
        <v>320</v>
      </c>
      <c r="F321" s="1264">
        <v>7.15</v>
      </c>
      <c r="G321" s="1263" t="s">
        <v>136</v>
      </c>
      <c r="H321" s="1973" t="s">
        <v>137</v>
      </c>
      <c r="I321" s="1971" t="s">
        <v>87</v>
      </c>
      <c r="J321" s="1257" t="s">
        <v>140</v>
      </c>
    </row>
    <row r="322" spans="1:10">
      <c r="A322" s="1265" t="s">
        <v>157</v>
      </c>
      <c r="B322" s="1262" t="s">
        <v>136</v>
      </c>
      <c r="C322" s="1313" t="s">
        <v>139</v>
      </c>
      <c r="D322" s="1250" t="s">
        <v>292</v>
      </c>
      <c r="E322" s="1251">
        <v>321</v>
      </c>
      <c r="F322" s="1264">
        <v>7.16</v>
      </c>
      <c r="G322" s="1263" t="s">
        <v>136</v>
      </c>
      <c r="H322" s="1973" t="s">
        <v>137</v>
      </c>
      <c r="I322" s="1971" t="s">
        <v>87</v>
      </c>
      <c r="J322" s="1257" t="s">
        <v>140</v>
      </c>
    </row>
    <row r="323" spans="1:10">
      <c r="A323" s="1261" t="s">
        <v>158</v>
      </c>
      <c r="B323" s="1262" t="s">
        <v>324</v>
      </c>
      <c r="C323" s="1313" t="s">
        <v>139</v>
      </c>
      <c r="D323" s="1250" t="s">
        <v>292</v>
      </c>
      <c r="E323" s="1251">
        <v>322</v>
      </c>
      <c r="F323" s="1264">
        <v>7.17</v>
      </c>
      <c r="G323" s="1263" t="s">
        <v>136</v>
      </c>
      <c r="H323" s="1973" t="s">
        <v>137</v>
      </c>
      <c r="I323" s="1971" t="s">
        <v>87</v>
      </c>
      <c r="J323" s="1257" t="s">
        <v>140</v>
      </c>
    </row>
    <row r="324" spans="1:10">
      <c r="A324" s="1261">
        <v>2.8</v>
      </c>
      <c r="B324" s="1262" t="s">
        <v>161</v>
      </c>
      <c r="C324" s="1313" t="s">
        <v>139</v>
      </c>
      <c r="D324" s="1250" t="s">
        <v>292</v>
      </c>
      <c r="E324" s="1251">
        <v>323</v>
      </c>
      <c r="F324" s="1252" t="s">
        <v>289</v>
      </c>
      <c r="G324" s="1263" t="s">
        <v>136</v>
      </c>
      <c r="H324" s="965" t="s">
        <v>137</v>
      </c>
      <c r="I324" s="1971" t="s">
        <v>87</v>
      </c>
      <c r="J324" s="1257" t="s">
        <v>140</v>
      </c>
    </row>
    <row r="325" spans="1:10">
      <c r="A325" s="1261">
        <v>2.9</v>
      </c>
      <c r="B325" s="1262" t="s">
        <v>164</v>
      </c>
      <c r="C325" s="1313" t="s">
        <v>139</v>
      </c>
      <c r="D325" s="1250" t="s">
        <v>292</v>
      </c>
      <c r="E325" s="1251">
        <v>324</v>
      </c>
      <c r="F325" s="1252" t="s">
        <v>291</v>
      </c>
      <c r="G325" s="1256" t="s">
        <v>212</v>
      </c>
      <c r="H325" s="965" t="s">
        <v>137</v>
      </c>
      <c r="I325" s="1971" t="s">
        <v>87</v>
      </c>
      <c r="J325" s="1257" t="s">
        <v>213</v>
      </c>
    </row>
    <row r="326" spans="1:10">
      <c r="A326" s="1266" t="s">
        <v>165</v>
      </c>
      <c r="B326" s="1259" t="s">
        <v>156</v>
      </c>
      <c r="C326" s="1313" t="s">
        <v>139</v>
      </c>
      <c r="D326" s="1250" t="s">
        <v>292</v>
      </c>
      <c r="E326" s="1251">
        <v>325</v>
      </c>
      <c r="F326" s="1264">
        <v>8.1999999999999993</v>
      </c>
      <c r="G326" s="1263" t="s">
        <v>293</v>
      </c>
      <c r="H326" s="1973" t="s">
        <v>137</v>
      </c>
      <c r="I326" s="1971" t="s">
        <v>87</v>
      </c>
      <c r="J326" s="1257" t="s">
        <v>294</v>
      </c>
    </row>
    <row r="327" spans="1:10">
      <c r="A327" s="1260" t="s">
        <v>167</v>
      </c>
      <c r="B327" s="1255" t="s">
        <v>136</v>
      </c>
      <c r="C327" s="1313" t="s">
        <v>139</v>
      </c>
      <c r="D327" s="1250" t="s">
        <v>292</v>
      </c>
      <c r="E327" s="1251">
        <v>326</v>
      </c>
      <c r="F327" s="1264">
        <v>8.3000000000000007</v>
      </c>
      <c r="G327" s="1263" t="s">
        <v>136</v>
      </c>
      <c r="H327" s="1973" t="s">
        <v>137</v>
      </c>
      <c r="I327" s="1971" t="s">
        <v>87</v>
      </c>
      <c r="J327" s="1257" t="s">
        <v>140</v>
      </c>
    </row>
    <row r="328" spans="1:10">
      <c r="A328" s="1261" t="s">
        <v>171</v>
      </c>
      <c r="B328" s="1262" t="s">
        <v>136</v>
      </c>
      <c r="C328" s="1313" t="s">
        <v>139</v>
      </c>
      <c r="D328" s="1250" t="s">
        <v>292</v>
      </c>
      <c r="E328" s="1251">
        <v>327</v>
      </c>
      <c r="F328" s="1264">
        <v>8.4</v>
      </c>
      <c r="G328" s="1263" t="s">
        <v>295</v>
      </c>
      <c r="H328" s="1973" t="s">
        <v>137</v>
      </c>
      <c r="I328" s="1971" t="s">
        <v>87</v>
      </c>
      <c r="J328" s="1257" t="s">
        <v>296</v>
      </c>
    </row>
    <row r="329" spans="1:10" ht="15" thickBot="1">
      <c r="A329" s="1261" t="s">
        <v>173</v>
      </c>
      <c r="B329" s="1267" t="s">
        <v>174</v>
      </c>
      <c r="C329" s="1313" t="s">
        <v>139</v>
      </c>
      <c r="D329" s="1250" t="s">
        <v>292</v>
      </c>
      <c r="E329" s="1251">
        <v>328</v>
      </c>
      <c r="F329" s="1297">
        <v>8.5</v>
      </c>
      <c r="G329" s="1308" t="s">
        <v>136</v>
      </c>
      <c r="H329" s="1314" t="s">
        <v>137</v>
      </c>
      <c r="I329" s="1315" t="s">
        <v>87</v>
      </c>
      <c r="J329" s="1300" t="s">
        <v>140</v>
      </c>
    </row>
    <row r="330" spans="1:10" ht="15.6" thickTop="1" thickBot="1">
      <c r="A330" s="1261" t="s">
        <v>175</v>
      </c>
      <c r="B330" s="1262" t="s">
        <v>152</v>
      </c>
      <c r="C330" s="1313" t="s">
        <v>139</v>
      </c>
      <c r="D330" s="1250" t="s">
        <v>292</v>
      </c>
      <c r="E330" s="1251">
        <v>329</v>
      </c>
      <c r="F330" s="1252" t="s">
        <v>138</v>
      </c>
      <c r="G330" s="1308" t="s">
        <v>136</v>
      </c>
      <c r="H330" s="1316" t="s">
        <v>137</v>
      </c>
      <c r="I330" s="1971" t="s">
        <v>297</v>
      </c>
      <c r="J330" s="1257" t="s">
        <v>140</v>
      </c>
    </row>
    <row r="331" spans="1:10" ht="15" thickTop="1">
      <c r="A331" s="1261" t="s">
        <v>177</v>
      </c>
      <c r="B331" s="1262" t="s">
        <v>178</v>
      </c>
      <c r="C331" s="1313" t="s">
        <v>139</v>
      </c>
      <c r="D331" s="1250" t="s">
        <v>292</v>
      </c>
      <c r="E331" s="1251">
        <v>330</v>
      </c>
      <c r="F331" s="1252" t="s">
        <v>142</v>
      </c>
      <c r="G331" s="1256" t="s">
        <v>143</v>
      </c>
      <c r="H331" s="1316" t="s">
        <v>137</v>
      </c>
      <c r="I331" s="1971" t="s">
        <v>297</v>
      </c>
      <c r="J331" s="1257" t="s">
        <v>144</v>
      </c>
    </row>
    <row r="332" spans="1:10">
      <c r="A332" s="1261" t="s">
        <v>179</v>
      </c>
      <c r="B332" s="1267" t="s">
        <v>180</v>
      </c>
      <c r="C332" s="1313" t="s">
        <v>139</v>
      </c>
      <c r="D332" s="1250" t="s">
        <v>292</v>
      </c>
      <c r="E332" s="1251">
        <v>331</v>
      </c>
      <c r="F332" s="1264">
        <v>1.2</v>
      </c>
      <c r="G332" s="1263" t="s">
        <v>298</v>
      </c>
      <c r="H332" s="1316" t="s">
        <v>137</v>
      </c>
      <c r="I332" s="1971" t="s">
        <v>297</v>
      </c>
      <c r="J332" s="1257" t="s">
        <v>146</v>
      </c>
    </row>
    <row r="333" spans="1:10">
      <c r="A333" s="1261" t="s">
        <v>181</v>
      </c>
      <c r="B333" s="1262" t="s">
        <v>182</v>
      </c>
      <c r="C333" s="1313" t="s">
        <v>139</v>
      </c>
      <c r="D333" s="1250" t="s">
        <v>292</v>
      </c>
      <c r="E333" s="1251">
        <v>332</v>
      </c>
      <c r="F333" s="1252" t="s">
        <v>148</v>
      </c>
      <c r="G333" s="1263" t="s">
        <v>136</v>
      </c>
      <c r="H333" s="1316" t="s">
        <v>137</v>
      </c>
      <c r="I333" s="1971" t="s">
        <v>297</v>
      </c>
      <c r="J333" s="1257" t="s">
        <v>140</v>
      </c>
    </row>
    <row r="334" spans="1:10">
      <c r="A334" s="1261" t="s">
        <v>186</v>
      </c>
      <c r="B334" s="1259" t="s">
        <v>136</v>
      </c>
      <c r="C334" s="1313" t="s">
        <v>139</v>
      </c>
      <c r="D334" s="1250" t="s">
        <v>292</v>
      </c>
      <c r="E334" s="1251">
        <v>333</v>
      </c>
      <c r="F334" s="1252" t="s">
        <v>149</v>
      </c>
      <c r="G334" s="1263" t="s">
        <v>150</v>
      </c>
      <c r="H334" s="1316" t="s">
        <v>137</v>
      </c>
      <c r="I334" s="1971" t="s">
        <v>297</v>
      </c>
      <c r="J334" s="1257" t="s">
        <v>151</v>
      </c>
    </row>
    <row r="335" spans="1:10">
      <c r="A335" s="1270" t="s">
        <v>188</v>
      </c>
      <c r="B335" s="1271" t="s">
        <v>136</v>
      </c>
      <c r="C335" s="1313" t="s">
        <v>139</v>
      </c>
      <c r="D335" s="1250" t="s">
        <v>292</v>
      </c>
      <c r="E335" s="1251">
        <v>334</v>
      </c>
      <c r="F335" s="1264">
        <v>1.4</v>
      </c>
      <c r="G335" s="1263" t="s">
        <v>153</v>
      </c>
      <c r="H335" s="1316" t="s">
        <v>137</v>
      </c>
      <c r="I335" s="1971" t="s">
        <v>297</v>
      </c>
      <c r="J335" s="1257" t="s">
        <v>154</v>
      </c>
    </row>
    <row r="336" spans="1:10">
      <c r="A336" s="1272" t="s">
        <v>192</v>
      </c>
      <c r="B336" s="1273" t="s">
        <v>182</v>
      </c>
      <c r="C336" s="1313" t="s">
        <v>139</v>
      </c>
      <c r="D336" s="1250" t="s">
        <v>292</v>
      </c>
      <c r="E336" s="1251">
        <v>335</v>
      </c>
      <c r="F336" s="1264">
        <v>2.1</v>
      </c>
      <c r="G336" s="1263" t="s">
        <v>136</v>
      </c>
      <c r="H336" s="1316" t="s">
        <v>137</v>
      </c>
      <c r="I336" s="1971" t="s">
        <v>297</v>
      </c>
      <c r="J336" s="1257" t="s">
        <v>140</v>
      </c>
    </row>
    <row r="337" spans="1:10">
      <c r="A337" s="1272" t="s">
        <v>194</v>
      </c>
      <c r="B337" s="1275" t="s">
        <v>195</v>
      </c>
      <c r="C337" s="1313" t="s">
        <v>139</v>
      </c>
      <c r="D337" s="1250" t="s">
        <v>292</v>
      </c>
      <c r="E337" s="1251">
        <v>336</v>
      </c>
      <c r="F337" s="1264">
        <v>2.2000000000000002</v>
      </c>
      <c r="G337" s="1263" t="s">
        <v>57</v>
      </c>
      <c r="H337" s="1316" t="s">
        <v>137</v>
      </c>
      <c r="I337" s="1971" t="s">
        <v>297</v>
      </c>
      <c r="J337" s="1257" t="s">
        <v>57</v>
      </c>
    </row>
    <row r="338" spans="1:10">
      <c r="A338" s="1276" t="s">
        <v>198</v>
      </c>
      <c r="B338" s="1277" t="s">
        <v>57</v>
      </c>
      <c r="C338" s="1313" t="s">
        <v>139</v>
      </c>
      <c r="D338" s="1250" t="s">
        <v>292</v>
      </c>
      <c r="E338" s="1251">
        <v>337</v>
      </c>
      <c r="F338" s="1264">
        <v>2.2999999999999998</v>
      </c>
      <c r="G338" s="1263" t="s">
        <v>136</v>
      </c>
      <c r="H338" s="1316" t="s">
        <v>137</v>
      </c>
      <c r="I338" s="1971" t="s">
        <v>297</v>
      </c>
      <c r="J338" s="1257" t="s">
        <v>140</v>
      </c>
    </row>
    <row r="339" spans="1:10">
      <c r="A339" s="1278" t="s">
        <v>199</v>
      </c>
      <c r="B339" s="1279" t="s">
        <v>136</v>
      </c>
      <c r="C339" s="1313" t="s">
        <v>139</v>
      </c>
      <c r="D339" s="1250" t="s">
        <v>292</v>
      </c>
      <c r="E339" s="1251">
        <v>338</v>
      </c>
      <c r="F339" s="1264">
        <v>2.4</v>
      </c>
      <c r="G339" s="1256" t="s">
        <v>152</v>
      </c>
      <c r="H339" s="1316" t="s">
        <v>137</v>
      </c>
      <c r="I339" s="1971" t="s">
        <v>297</v>
      </c>
      <c r="J339" s="1257" t="s">
        <v>160</v>
      </c>
    </row>
    <row r="340" spans="1:10">
      <c r="A340" s="1280" t="s">
        <v>201</v>
      </c>
      <c r="B340" s="1279" t="s">
        <v>57</v>
      </c>
      <c r="C340" s="1313" t="s">
        <v>139</v>
      </c>
      <c r="D340" s="1250" t="s">
        <v>292</v>
      </c>
      <c r="E340" s="1251">
        <v>339</v>
      </c>
      <c r="F340" s="1264">
        <v>2.5</v>
      </c>
      <c r="G340" s="1256" t="s">
        <v>162</v>
      </c>
      <c r="H340" s="1316" t="s">
        <v>137</v>
      </c>
      <c r="I340" s="1971" t="s">
        <v>297</v>
      </c>
      <c r="J340" s="1257" t="s">
        <v>163</v>
      </c>
    </row>
    <row r="341" spans="1:10">
      <c r="A341" s="1278" t="s">
        <v>206</v>
      </c>
      <c r="B341" s="1279" t="s">
        <v>152</v>
      </c>
      <c r="C341" s="1313" t="s">
        <v>139</v>
      </c>
      <c r="D341" s="1250" t="s">
        <v>292</v>
      </c>
      <c r="E341" s="1251">
        <v>340</v>
      </c>
      <c r="F341" s="1264">
        <v>2.6</v>
      </c>
      <c r="G341" s="1263" t="s">
        <v>136</v>
      </c>
      <c r="H341" s="1316" t="s">
        <v>137</v>
      </c>
      <c r="I341" s="1971" t="s">
        <v>297</v>
      </c>
      <c r="J341" s="1257" t="s">
        <v>140</v>
      </c>
    </row>
    <row r="342" spans="1:10">
      <c r="A342" s="1280" t="s">
        <v>207</v>
      </c>
      <c r="B342" s="1279" t="s">
        <v>136</v>
      </c>
      <c r="C342" s="1313" t="s">
        <v>139</v>
      </c>
      <c r="D342" s="1250" t="s">
        <v>292</v>
      </c>
      <c r="E342" s="1251">
        <v>341</v>
      </c>
      <c r="F342" s="1252" t="s">
        <v>166</v>
      </c>
      <c r="G342" s="1263" t="s">
        <v>57</v>
      </c>
      <c r="H342" s="1316" t="s">
        <v>137</v>
      </c>
      <c r="I342" s="1971" t="s">
        <v>297</v>
      </c>
      <c r="J342" s="1257" t="s">
        <v>57</v>
      </c>
    </row>
    <row r="343" spans="1:10">
      <c r="A343" s="1280" t="s">
        <v>210</v>
      </c>
      <c r="B343" s="1281" t="s">
        <v>211</v>
      </c>
      <c r="C343" s="1313" t="s">
        <v>139</v>
      </c>
      <c r="D343" s="1250" t="s">
        <v>292</v>
      </c>
      <c r="E343" s="1251">
        <v>342</v>
      </c>
      <c r="F343" s="1252" t="s">
        <v>168</v>
      </c>
      <c r="G343" s="1263" t="s">
        <v>325</v>
      </c>
      <c r="H343" s="1316" t="s">
        <v>137</v>
      </c>
      <c r="I343" s="1971" t="s">
        <v>297</v>
      </c>
      <c r="J343" s="1257" t="s">
        <v>326</v>
      </c>
    </row>
    <row r="344" spans="1:10">
      <c r="A344" s="1280" t="s">
        <v>214</v>
      </c>
      <c r="B344" s="1279" t="s">
        <v>156</v>
      </c>
      <c r="C344" s="1313" t="s">
        <v>139</v>
      </c>
      <c r="D344" s="1250" t="s">
        <v>292</v>
      </c>
      <c r="E344" s="1251">
        <v>343</v>
      </c>
      <c r="F344" s="1264">
        <v>2.8</v>
      </c>
      <c r="G344" s="1263" t="s">
        <v>300</v>
      </c>
      <c r="H344" s="1316" t="s">
        <v>137</v>
      </c>
      <c r="I344" s="1971" t="s">
        <v>297</v>
      </c>
      <c r="J344" s="1257" t="s">
        <v>301</v>
      </c>
    </row>
    <row r="345" spans="1:10">
      <c r="A345" s="1280" t="s">
        <v>216</v>
      </c>
      <c r="B345" s="1279" t="s">
        <v>136</v>
      </c>
      <c r="C345" s="1313" t="s">
        <v>139</v>
      </c>
      <c r="D345" s="1250" t="s">
        <v>292</v>
      </c>
      <c r="E345" s="1251">
        <v>344</v>
      </c>
      <c r="F345" s="1264">
        <v>2.9</v>
      </c>
      <c r="G345" s="1263" t="s">
        <v>152</v>
      </c>
      <c r="H345" s="1316" t="s">
        <v>137</v>
      </c>
      <c r="I345" s="1971" t="s">
        <v>297</v>
      </c>
      <c r="J345" s="1257" t="s">
        <v>160</v>
      </c>
    </row>
    <row r="346" spans="1:10">
      <c r="A346" s="1280" t="s">
        <v>218</v>
      </c>
      <c r="B346" s="1279" t="s">
        <v>57</v>
      </c>
      <c r="C346" s="1313" t="s">
        <v>139</v>
      </c>
      <c r="D346" s="1250" t="s">
        <v>292</v>
      </c>
      <c r="E346" s="1251">
        <v>345</v>
      </c>
      <c r="F346" s="1268" t="s">
        <v>165</v>
      </c>
      <c r="G346" s="1263" t="s">
        <v>156</v>
      </c>
      <c r="H346" s="1316" t="s">
        <v>137</v>
      </c>
      <c r="I346" s="1971" t="s">
        <v>297</v>
      </c>
      <c r="J346" s="1257" t="s">
        <v>176</v>
      </c>
    </row>
    <row r="347" spans="1:10">
      <c r="A347" s="1278" t="s">
        <v>222</v>
      </c>
      <c r="B347" s="1279" t="s">
        <v>147</v>
      </c>
      <c r="C347" s="1313" t="s">
        <v>139</v>
      </c>
      <c r="D347" s="1250" t="s">
        <v>292</v>
      </c>
      <c r="E347" s="1251">
        <v>346</v>
      </c>
      <c r="F347" s="1264">
        <v>3.1</v>
      </c>
      <c r="G347" s="1263" t="s">
        <v>136</v>
      </c>
      <c r="H347" s="1316" t="s">
        <v>137</v>
      </c>
      <c r="I347" s="1971" t="s">
        <v>297</v>
      </c>
      <c r="J347" s="1257" t="s">
        <v>140</v>
      </c>
    </row>
    <row r="348" spans="1:10">
      <c r="A348" s="1280" t="s">
        <v>224</v>
      </c>
      <c r="B348" s="1279" t="s">
        <v>225</v>
      </c>
      <c r="C348" s="1313" t="s">
        <v>139</v>
      </c>
      <c r="D348" s="1250" t="s">
        <v>292</v>
      </c>
      <c r="E348" s="1251">
        <v>347</v>
      </c>
      <c r="F348" s="1264">
        <v>3.2</v>
      </c>
      <c r="G348" s="1263" t="s">
        <v>136</v>
      </c>
      <c r="H348" s="1316" t="s">
        <v>137</v>
      </c>
      <c r="I348" s="1971" t="s">
        <v>297</v>
      </c>
      <c r="J348" s="1257" t="s">
        <v>140</v>
      </c>
    </row>
    <row r="349" spans="1:10">
      <c r="A349" s="1280" t="s">
        <v>228</v>
      </c>
      <c r="B349" s="1279" t="s">
        <v>229</v>
      </c>
      <c r="C349" s="1313" t="s">
        <v>139</v>
      </c>
      <c r="D349" s="1250" t="s">
        <v>292</v>
      </c>
      <c r="E349" s="1251">
        <v>348</v>
      </c>
      <c r="F349" s="1252" t="s">
        <v>183</v>
      </c>
      <c r="G349" s="1256" t="s">
        <v>184</v>
      </c>
      <c r="H349" s="1316" t="s">
        <v>137</v>
      </c>
      <c r="I349" s="1971" t="s">
        <v>297</v>
      </c>
      <c r="J349" s="1257" t="s">
        <v>185</v>
      </c>
    </row>
    <row r="350" spans="1:10">
      <c r="A350" s="1280" t="s">
        <v>231</v>
      </c>
      <c r="B350" s="1279" t="s">
        <v>232</v>
      </c>
      <c r="C350" s="1313" t="s">
        <v>139</v>
      </c>
      <c r="D350" s="1250" t="s">
        <v>292</v>
      </c>
      <c r="E350" s="1251">
        <v>349</v>
      </c>
      <c r="F350" s="1252" t="s">
        <v>187</v>
      </c>
      <c r="G350" s="1256" t="s">
        <v>152</v>
      </c>
      <c r="H350" s="1316" t="s">
        <v>137</v>
      </c>
      <c r="I350" s="1971" t="s">
        <v>297</v>
      </c>
      <c r="J350" s="1257" t="s">
        <v>160</v>
      </c>
    </row>
    <row r="351" spans="1:10">
      <c r="A351" s="1280" t="s">
        <v>233</v>
      </c>
      <c r="B351" s="1279" t="s">
        <v>136</v>
      </c>
      <c r="C351" s="1313" t="s">
        <v>139</v>
      </c>
      <c r="D351" s="1250" t="s">
        <v>292</v>
      </c>
      <c r="E351" s="1251">
        <v>350</v>
      </c>
      <c r="F351" s="1252" t="s">
        <v>189</v>
      </c>
      <c r="G351" s="1263" t="s">
        <v>190</v>
      </c>
      <c r="H351" s="1316" t="s">
        <v>137</v>
      </c>
      <c r="I351" s="1971" t="s">
        <v>297</v>
      </c>
      <c r="J351" s="1257" t="s">
        <v>191</v>
      </c>
    </row>
    <row r="352" spans="1:10">
      <c r="A352" s="1280" t="s">
        <v>234</v>
      </c>
      <c r="B352" s="1279" t="s">
        <v>235</v>
      </c>
      <c r="C352" s="1313" t="s">
        <v>139</v>
      </c>
      <c r="D352" s="1250" t="s">
        <v>292</v>
      </c>
      <c r="E352" s="1251">
        <v>351</v>
      </c>
      <c r="F352" s="1264">
        <v>3.4</v>
      </c>
      <c r="G352" s="1263" t="s">
        <v>193</v>
      </c>
      <c r="H352" s="1316" t="s">
        <v>137</v>
      </c>
      <c r="I352" s="1971" t="s">
        <v>297</v>
      </c>
      <c r="J352" s="1257" t="s">
        <v>185</v>
      </c>
    </row>
    <row r="353" spans="1:10">
      <c r="A353" s="1280">
        <v>5.1100000000000003</v>
      </c>
      <c r="B353" s="1279" t="s">
        <v>304</v>
      </c>
      <c r="C353" s="1313" t="s">
        <v>139</v>
      </c>
      <c r="D353" s="1250" t="s">
        <v>292</v>
      </c>
      <c r="E353" s="1251">
        <v>352</v>
      </c>
      <c r="F353" s="1264">
        <v>3.5</v>
      </c>
      <c r="G353" s="1256" t="s">
        <v>196</v>
      </c>
      <c r="H353" s="1316" t="s">
        <v>137</v>
      </c>
      <c r="I353" s="1971" t="s">
        <v>297</v>
      </c>
      <c r="J353" s="1257" t="s">
        <v>197</v>
      </c>
    </row>
    <row r="354" spans="1:10">
      <c r="A354" s="1280">
        <v>5.12</v>
      </c>
      <c r="B354" s="1279" t="s">
        <v>164</v>
      </c>
      <c r="C354" s="1313" t="s">
        <v>139</v>
      </c>
      <c r="D354" s="1250" t="s">
        <v>292</v>
      </c>
      <c r="E354" s="1251">
        <v>353</v>
      </c>
      <c r="F354" s="1264">
        <v>3.6</v>
      </c>
      <c r="G354" s="1263" t="s">
        <v>136</v>
      </c>
      <c r="H354" s="1316" t="s">
        <v>137</v>
      </c>
      <c r="I354" s="1971" t="s">
        <v>297</v>
      </c>
      <c r="J354" s="1257" t="s">
        <v>140</v>
      </c>
    </row>
    <row r="355" spans="1:10">
      <c r="A355" s="1283">
        <v>5.13</v>
      </c>
      <c r="B355" s="1284" t="s">
        <v>305</v>
      </c>
      <c r="C355" s="1313" t="s">
        <v>139</v>
      </c>
      <c r="D355" s="1250" t="s">
        <v>292</v>
      </c>
      <c r="E355" s="1251">
        <v>354</v>
      </c>
      <c r="F355" s="1252" t="s">
        <v>200</v>
      </c>
      <c r="G355" s="1263" t="s">
        <v>136</v>
      </c>
      <c r="H355" s="1316" t="s">
        <v>137</v>
      </c>
      <c r="I355" s="1971" t="s">
        <v>297</v>
      </c>
      <c r="J355" s="1257" t="s">
        <v>140</v>
      </c>
    </row>
    <row r="356" spans="1:10">
      <c r="A356" s="1276" t="s">
        <v>241</v>
      </c>
      <c r="B356" s="1277" t="s">
        <v>136</v>
      </c>
      <c r="C356" s="1313" t="s">
        <v>139</v>
      </c>
      <c r="D356" s="1250" t="s">
        <v>292</v>
      </c>
      <c r="E356" s="1251">
        <v>355</v>
      </c>
      <c r="F356" s="1252" t="s">
        <v>203</v>
      </c>
      <c r="G356" s="1263" t="s">
        <v>303</v>
      </c>
      <c r="H356" s="1316" t="s">
        <v>137</v>
      </c>
      <c r="I356" s="1971" t="s">
        <v>297</v>
      </c>
      <c r="J356" s="1257" t="s">
        <v>205</v>
      </c>
    </row>
    <row r="357" spans="1:10">
      <c r="A357" s="1280" t="s">
        <v>243</v>
      </c>
      <c r="B357" s="1279" t="s">
        <v>136</v>
      </c>
      <c r="C357" s="1313" t="s">
        <v>139</v>
      </c>
      <c r="D357" s="1250" t="s">
        <v>292</v>
      </c>
      <c r="E357" s="1251">
        <v>356</v>
      </c>
      <c r="F357" s="1264">
        <v>4.2</v>
      </c>
      <c r="G357" s="1263" t="s">
        <v>260</v>
      </c>
      <c r="H357" s="1316" t="s">
        <v>137</v>
      </c>
      <c r="I357" s="1971" t="s">
        <v>297</v>
      </c>
      <c r="J357" s="1257" t="s">
        <v>227</v>
      </c>
    </row>
    <row r="358" spans="1:10">
      <c r="A358" s="1280" t="s">
        <v>244</v>
      </c>
      <c r="B358" s="1279" t="s">
        <v>178</v>
      </c>
      <c r="C358" s="1313" t="s">
        <v>139</v>
      </c>
      <c r="D358" s="1250" t="s">
        <v>292</v>
      </c>
      <c r="E358" s="1251">
        <v>357</v>
      </c>
      <c r="F358" s="1264">
        <v>4.3</v>
      </c>
      <c r="G358" s="1256" t="s">
        <v>208</v>
      </c>
      <c r="H358" s="1316" t="s">
        <v>137</v>
      </c>
      <c r="I358" s="1971" t="s">
        <v>297</v>
      </c>
      <c r="J358" s="1257" t="s">
        <v>209</v>
      </c>
    </row>
    <row r="359" spans="1:10">
      <c r="A359" s="1280" t="s">
        <v>245</v>
      </c>
      <c r="B359" s="1279" t="s">
        <v>246</v>
      </c>
      <c r="C359" s="1313" t="s">
        <v>139</v>
      </c>
      <c r="D359" s="1250" t="s">
        <v>292</v>
      </c>
      <c r="E359" s="1251">
        <v>358</v>
      </c>
      <c r="F359" s="1264">
        <v>4.4000000000000004</v>
      </c>
      <c r="G359" s="1256" t="s">
        <v>212</v>
      </c>
      <c r="H359" s="1316" t="s">
        <v>137</v>
      </c>
      <c r="I359" s="1971" t="s">
        <v>297</v>
      </c>
      <c r="J359" s="1257" t="s">
        <v>213</v>
      </c>
    </row>
    <row r="360" spans="1:10">
      <c r="A360" s="1280" t="s">
        <v>247</v>
      </c>
      <c r="B360" s="1279" t="s">
        <v>178</v>
      </c>
      <c r="C360" s="1313" t="s">
        <v>139</v>
      </c>
      <c r="D360" s="1250" t="s">
        <v>292</v>
      </c>
      <c r="E360" s="1251">
        <v>359</v>
      </c>
      <c r="F360" s="1252" t="s">
        <v>215</v>
      </c>
      <c r="G360" s="1263" t="s">
        <v>57</v>
      </c>
      <c r="H360" s="1316" t="s">
        <v>137</v>
      </c>
      <c r="I360" s="1971" t="s">
        <v>297</v>
      </c>
      <c r="J360" s="1257" t="s">
        <v>57</v>
      </c>
    </row>
    <row r="361" spans="1:10">
      <c r="A361" s="1280" t="s">
        <v>248</v>
      </c>
      <c r="B361" s="1279" t="s">
        <v>178</v>
      </c>
      <c r="C361" s="1313" t="s">
        <v>139</v>
      </c>
      <c r="D361" s="1250" t="s">
        <v>292</v>
      </c>
      <c r="E361" s="1251">
        <v>360</v>
      </c>
      <c r="F361" s="1252" t="s">
        <v>217</v>
      </c>
      <c r="G361" s="1263" t="s">
        <v>136</v>
      </c>
      <c r="H361" s="1316" t="s">
        <v>137</v>
      </c>
      <c r="I361" s="1971" t="s">
        <v>297</v>
      </c>
      <c r="J361" s="1257" t="s">
        <v>140</v>
      </c>
    </row>
    <row r="362" spans="1:10">
      <c r="A362" s="1280" t="s">
        <v>249</v>
      </c>
      <c r="B362" s="1279" t="s">
        <v>152</v>
      </c>
      <c r="C362" s="1313" t="s">
        <v>139</v>
      </c>
      <c r="D362" s="1250" t="s">
        <v>292</v>
      </c>
      <c r="E362" s="1251">
        <v>361</v>
      </c>
      <c r="F362" s="1252" t="s">
        <v>219</v>
      </c>
      <c r="G362" s="1282" t="s">
        <v>57</v>
      </c>
      <c r="H362" s="1316" t="s">
        <v>137</v>
      </c>
      <c r="I362" s="1971" t="s">
        <v>297</v>
      </c>
      <c r="J362" s="1257" t="s">
        <v>57</v>
      </c>
    </row>
    <row r="363" spans="1:10">
      <c r="A363" s="1280" t="s">
        <v>250</v>
      </c>
      <c r="B363" s="1279" t="s">
        <v>152</v>
      </c>
      <c r="C363" s="1313" t="s">
        <v>139</v>
      </c>
      <c r="D363" s="1250" t="s">
        <v>292</v>
      </c>
      <c r="E363" s="1251">
        <v>362</v>
      </c>
      <c r="F363" s="1252" t="s">
        <v>223</v>
      </c>
      <c r="G363" s="1263" t="s">
        <v>152</v>
      </c>
      <c r="H363" s="1316" t="s">
        <v>137</v>
      </c>
      <c r="I363" s="1971" t="s">
        <v>297</v>
      </c>
      <c r="J363" s="1257" t="s">
        <v>160</v>
      </c>
    </row>
    <row r="364" spans="1:10">
      <c r="A364" s="1283" t="s">
        <v>251</v>
      </c>
      <c r="B364" s="1284" t="s">
        <v>252</v>
      </c>
      <c r="C364" s="1313" t="s">
        <v>139</v>
      </c>
      <c r="D364" s="1250" t="s">
        <v>292</v>
      </c>
      <c r="E364" s="1251">
        <v>363</v>
      </c>
      <c r="F364" s="1264">
        <v>5.3</v>
      </c>
      <c r="G364" s="1256" t="s">
        <v>226</v>
      </c>
      <c r="H364" s="1316" t="s">
        <v>137</v>
      </c>
      <c r="I364" s="1971" t="s">
        <v>297</v>
      </c>
      <c r="J364" s="1257" t="s">
        <v>227</v>
      </c>
    </row>
    <row r="365" spans="1:10">
      <c r="A365" s="1276" t="s">
        <v>253</v>
      </c>
      <c r="B365" s="1277" t="s">
        <v>136</v>
      </c>
      <c r="C365" s="1313" t="s">
        <v>139</v>
      </c>
      <c r="D365" s="1250" t="s">
        <v>292</v>
      </c>
      <c r="E365" s="1251">
        <v>364</v>
      </c>
      <c r="F365" s="1264">
        <v>5.4</v>
      </c>
      <c r="G365" s="1263" t="s">
        <v>230</v>
      </c>
      <c r="H365" s="1316" t="s">
        <v>137</v>
      </c>
      <c r="I365" s="1971" t="s">
        <v>297</v>
      </c>
      <c r="J365" s="1257" t="s">
        <v>185</v>
      </c>
    </row>
    <row r="366" spans="1:10">
      <c r="A366" s="1280" t="s">
        <v>256</v>
      </c>
      <c r="B366" s="1281" t="s">
        <v>257</v>
      </c>
      <c r="C366" s="1313" t="s">
        <v>139</v>
      </c>
      <c r="D366" s="1250" t="s">
        <v>292</v>
      </c>
      <c r="E366" s="1251">
        <v>365</v>
      </c>
      <c r="F366" s="1264">
        <v>5.5</v>
      </c>
      <c r="G366" s="1256" t="s">
        <v>156</v>
      </c>
      <c r="H366" s="1316" t="s">
        <v>137</v>
      </c>
      <c r="I366" s="1971" t="s">
        <v>297</v>
      </c>
      <c r="J366" s="1257" t="s">
        <v>176</v>
      </c>
    </row>
    <row r="367" spans="1:10">
      <c r="A367" s="1280" t="s">
        <v>259</v>
      </c>
      <c r="B367" s="1279" t="s">
        <v>260</v>
      </c>
      <c r="C367" s="1313" t="s">
        <v>139</v>
      </c>
      <c r="D367" s="1250" t="s">
        <v>292</v>
      </c>
      <c r="E367" s="1251">
        <v>366</v>
      </c>
      <c r="F367" s="1264">
        <v>5.6</v>
      </c>
      <c r="G367" s="1263" t="s">
        <v>136</v>
      </c>
      <c r="H367" s="1316" t="s">
        <v>137</v>
      </c>
      <c r="I367" s="1971" t="s">
        <v>297</v>
      </c>
      <c r="J367" s="1257" t="s">
        <v>140</v>
      </c>
    </row>
    <row r="368" spans="1:10">
      <c r="A368" s="1280" t="s">
        <v>263</v>
      </c>
      <c r="B368" s="1279" t="s">
        <v>57</v>
      </c>
      <c r="C368" s="1313" t="s">
        <v>139</v>
      </c>
      <c r="D368" s="1250" t="s">
        <v>292</v>
      </c>
      <c r="E368" s="1251">
        <v>367</v>
      </c>
      <c r="F368" s="1252" t="s">
        <v>236</v>
      </c>
      <c r="G368" s="1263" t="s">
        <v>57</v>
      </c>
      <c r="H368" s="1316" t="s">
        <v>137</v>
      </c>
      <c r="I368" s="1971" t="s">
        <v>297</v>
      </c>
      <c r="J368" s="1257" t="s">
        <v>57</v>
      </c>
    </row>
    <row r="369" spans="1:10">
      <c r="A369" s="1278" t="s">
        <v>264</v>
      </c>
      <c r="B369" s="1279" t="s">
        <v>152</v>
      </c>
      <c r="C369" s="1313" t="s">
        <v>139</v>
      </c>
      <c r="D369" s="1250" t="s">
        <v>292</v>
      </c>
      <c r="E369" s="1251">
        <v>368</v>
      </c>
      <c r="F369" s="1252" t="s">
        <v>237</v>
      </c>
      <c r="G369" s="1263" t="s">
        <v>147</v>
      </c>
      <c r="H369" s="1316" t="s">
        <v>137</v>
      </c>
      <c r="I369" s="1971" t="s">
        <v>297</v>
      </c>
      <c r="J369" s="1257" t="s">
        <v>172</v>
      </c>
    </row>
    <row r="370" spans="1:10">
      <c r="A370" s="1280" t="s">
        <v>265</v>
      </c>
      <c r="B370" s="1279" t="s">
        <v>57</v>
      </c>
      <c r="C370" s="1313" t="s">
        <v>139</v>
      </c>
      <c r="D370" s="1250" t="s">
        <v>292</v>
      </c>
      <c r="E370" s="1251">
        <v>369</v>
      </c>
      <c r="F370" s="1252" t="s">
        <v>238</v>
      </c>
      <c r="G370" s="1263" t="s">
        <v>307</v>
      </c>
      <c r="H370" s="1316" t="s">
        <v>137</v>
      </c>
      <c r="I370" s="1971" t="s">
        <v>297</v>
      </c>
      <c r="J370" s="1301" t="s">
        <v>308</v>
      </c>
    </row>
    <row r="371" spans="1:10">
      <c r="A371" s="1278" t="s">
        <v>268</v>
      </c>
      <c r="B371" s="1279" t="s">
        <v>156</v>
      </c>
      <c r="C371" s="1313" t="s">
        <v>139</v>
      </c>
      <c r="D371" s="1250" t="s">
        <v>292</v>
      </c>
      <c r="E371" s="1251">
        <v>370</v>
      </c>
      <c r="F371" s="1252" t="s">
        <v>239</v>
      </c>
      <c r="G371" s="1256" t="s">
        <v>229</v>
      </c>
      <c r="H371" s="1316" t="s">
        <v>137</v>
      </c>
      <c r="I371" s="1971" t="s">
        <v>297</v>
      </c>
      <c r="J371" s="1257" t="s">
        <v>240</v>
      </c>
    </row>
    <row r="372" spans="1:10">
      <c r="A372" s="1280">
        <v>7.5</v>
      </c>
      <c r="B372" s="1279" t="s">
        <v>136</v>
      </c>
      <c r="C372" s="1313" t="s">
        <v>139</v>
      </c>
      <c r="D372" s="1250" t="s">
        <v>292</v>
      </c>
      <c r="E372" s="1251">
        <v>371</v>
      </c>
      <c r="F372" s="1252" t="s">
        <v>242</v>
      </c>
      <c r="G372" s="1263" t="s">
        <v>309</v>
      </c>
      <c r="H372" s="1316" t="s">
        <v>137</v>
      </c>
      <c r="I372" s="1971" t="s">
        <v>297</v>
      </c>
      <c r="J372" s="1285" t="s">
        <v>310</v>
      </c>
    </row>
    <row r="373" spans="1:10">
      <c r="A373" s="1280">
        <v>7.6</v>
      </c>
      <c r="B373" s="1279" t="s">
        <v>136</v>
      </c>
      <c r="C373" s="1313" t="s">
        <v>139</v>
      </c>
      <c r="D373" s="1250" t="s">
        <v>292</v>
      </c>
      <c r="E373" s="1251">
        <v>372</v>
      </c>
      <c r="F373" s="1264">
        <v>5.9</v>
      </c>
      <c r="G373" s="1263" t="s">
        <v>136</v>
      </c>
      <c r="H373" s="1316" t="s">
        <v>137</v>
      </c>
      <c r="I373" s="1971" t="s">
        <v>297</v>
      </c>
      <c r="J373" s="1257" t="s">
        <v>140</v>
      </c>
    </row>
    <row r="374" spans="1:10">
      <c r="A374" s="1280">
        <v>7.7</v>
      </c>
      <c r="B374" s="1279" t="s">
        <v>136</v>
      </c>
      <c r="C374" s="1313" t="s">
        <v>139</v>
      </c>
      <c r="D374" s="1250" t="s">
        <v>292</v>
      </c>
      <c r="E374" s="1251">
        <v>373</v>
      </c>
      <c r="F374" s="1268" t="s">
        <v>234</v>
      </c>
      <c r="G374" s="1263" t="s">
        <v>322</v>
      </c>
      <c r="H374" s="1316" t="s">
        <v>137</v>
      </c>
      <c r="I374" s="1971" t="s">
        <v>297</v>
      </c>
      <c r="J374" s="1257" t="s">
        <v>312</v>
      </c>
    </row>
    <row r="375" spans="1:10">
      <c r="A375" s="1280">
        <v>7.8</v>
      </c>
      <c r="B375" s="1279" t="s">
        <v>136</v>
      </c>
      <c r="C375" s="1313" t="s">
        <v>139</v>
      </c>
      <c r="D375" s="1250" t="s">
        <v>292</v>
      </c>
      <c r="E375" s="1251">
        <v>374</v>
      </c>
      <c r="F375" s="1264">
        <v>5.1100000000000003</v>
      </c>
      <c r="G375" s="1263" t="s">
        <v>304</v>
      </c>
      <c r="H375" s="1316" t="s">
        <v>137</v>
      </c>
      <c r="I375" s="1971" t="s">
        <v>297</v>
      </c>
      <c r="J375" s="1257" t="s">
        <v>314</v>
      </c>
    </row>
    <row r="376" spans="1:10">
      <c r="A376" s="1286" t="s">
        <v>276</v>
      </c>
      <c r="B376" s="1279" t="s">
        <v>57</v>
      </c>
      <c r="C376" s="1313" t="s">
        <v>139</v>
      </c>
      <c r="D376" s="1250" t="s">
        <v>292</v>
      </c>
      <c r="E376" s="1251">
        <v>375</v>
      </c>
      <c r="F376" s="1264">
        <v>5.12</v>
      </c>
      <c r="G376" s="1263" t="s">
        <v>164</v>
      </c>
      <c r="H376" s="1316" t="s">
        <v>137</v>
      </c>
      <c r="I376" s="1971" t="s">
        <v>297</v>
      </c>
      <c r="J376" s="1257">
        <v>10</v>
      </c>
    </row>
    <row r="377" spans="1:10">
      <c r="A377" s="1280" t="s">
        <v>277</v>
      </c>
      <c r="B377" s="1279" t="s">
        <v>136</v>
      </c>
      <c r="C377" s="1313" t="s">
        <v>139</v>
      </c>
      <c r="D377" s="1250" t="s">
        <v>292</v>
      </c>
      <c r="E377" s="1251">
        <v>376</v>
      </c>
      <c r="F377" s="1264">
        <v>5.13</v>
      </c>
      <c r="G377" s="1263" t="s">
        <v>323</v>
      </c>
      <c r="H377" s="1316" t="s">
        <v>137</v>
      </c>
      <c r="I377" s="1971" t="s">
        <v>297</v>
      </c>
      <c r="J377" s="1257" t="s">
        <v>316</v>
      </c>
    </row>
    <row r="378" spans="1:10">
      <c r="A378" s="1280" t="s">
        <v>278</v>
      </c>
      <c r="B378" s="1279" t="s">
        <v>136</v>
      </c>
      <c r="C378" s="1313" t="s">
        <v>139</v>
      </c>
      <c r="D378" s="1250" t="s">
        <v>292</v>
      </c>
      <c r="E378" s="1251">
        <v>377</v>
      </c>
      <c r="F378" s="1264">
        <v>6.1</v>
      </c>
      <c r="G378" s="1263" t="s">
        <v>136</v>
      </c>
      <c r="H378" s="1316" t="s">
        <v>137</v>
      </c>
      <c r="I378" s="1971" t="s">
        <v>297</v>
      </c>
      <c r="J378" s="1257" t="s">
        <v>140</v>
      </c>
    </row>
    <row r="379" spans="1:10">
      <c r="A379" s="1280" t="s">
        <v>279</v>
      </c>
      <c r="B379" s="1279" t="s">
        <v>136</v>
      </c>
      <c r="C379" s="1313" t="s">
        <v>139</v>
      </c>
      <c r="D379" s="1250" t="s">
        <v>292</v>
      </c>
      <c r="E379" s="1251">
        <v>378</v>
      </c>
      <c r="F379" s="1264">
        <v>6.2</v>
      </c>
      <c r="G379" s="1263" t="s">
        <v>136</v>
      </c>
      <c r="H379" s="1316" t="s">
        <v>137</v>
      </c>
      <c r="I379" s="1971" t="s">
        <v>297</v>
      </c>
      <c r="J379" s="1257" t="s">
        <v>140</v>
      </c>
    </row>
    <row r="380" spans="1:10">
      <c r="A380" s="1280">
        <v>7.11</v>
      </c>
      <c r="B380" s="1279" t="s">
        <v>136</v>
      </c>
      <c r="C380" s="1313" t="s">
        <v>139</v>
      </c>
      <c r="D380" s="1250" t="s">
        <v>292</v>
      </c>
      <c r="E380" s="1251">
        <v>379</v>
      </c>
      <c r="F380" s="1264">
        <v>6.3</v>
      </c>
      <c r="G380" s="1263" t="s">
        <v>190</v>
      </c>
      <c r="H380" s="1316" t="s">
        <v>137</v>
      </c>
      <c r="I380" s="1971" t="s">
        <v>297</v>
      </c>
      <c r="J380" s="1285" t="s">
        <v>191</v>
      </c>
    </row>
    <row r="381" spans="1:10">
      <c r="A381" s="1280">
        <v>7.12</v>
      </c>
      <c r="B381" s="1279" t="s">
        <v>136</v>
      </c>
      <c r="C381" s="1313" t="s">
        <v>139</v>
      </c>
      <c r="D381" s="1250" t="s">
        <v>292</v>
      </c>
      <c r="E381" s="1251">
        <v>380</v>
      </c>
      <c r="F381" s="1264">
        <v>6.4</v>
      </c>
      <c r="G381" s="1263" t="s">
        <v>254</v>
      </c>
      <c r="H381" s="1316" t="s">
        <v>137</v>
      </c>
      <c r="I381" s="1971" t="s">
        <v>297</v>
      </c>
      <c r="J381" s="1257" t="s">
        <v>255</v>
      </c>
    </row>
    <row r="382" spans="1:10">
      <c r="A382" s="1280">
        <v>7.13</v>
      </c>
      <c r="B382" s="1279" t="s">
        <v>57</v>
      </c>
      <c r="C382" s="1313" t="s">
        <v>139</v>
      </c>
      <c r="D382" s="1250" t="s">
        <v>292</v>
      </c>
      <c r="E382" s="1251">
        <v>381</v>
      </c>
      <c r="F382" s="1252" t="s">
        <v>258</v>
      </c>
      <c r="G382" s="1256" t="s">
        <v>147</v>
      </c>
      <c r="H382" s="1316" t="s">
        <v>137</v>
      </c>
      <c r="I382" s="1971" t="s">
        <v>297</v>
      </c>
      <c r="J382" s="1257" t="s">
        <v>172</v>
      </c>
    </row>
    <row r="383" spans="1:10">
      <c r="A383" s="1280">
        <v>7.14</v>
      </c>
      <c r="B383" s="1279" t="s">
        <v>136</v>
      </c>
      <c r="C383" s="1313" t="s">
        <v>139</v>
      </c>
      <c r="D383" s="1250" t="s">
        <v>292</v>
      </c>
      <c r="E383" s="1251">
        <v>382</v>
      </c>
      <c r="F383" s="1252" t="s">
        <v>261</v>
      </c>
      <c r="G383" s="1256" t="s">
        <v>262</v>
      </c>
      <c r="H383" s="1316" t="s">
        <v>137</v>
      </c>
      <c r="I383" s="1971" t="s">
        <v>297</v>
      </c>
      <c r="J383" s="1257" t="s">
        <v>172</v>
      </c>
    </row>
    <row r="384" spans="1:10">
      <c r="A384" s="1280">
        <v>7.15</v>
      </c>
      <c r="B384" s="1279" t="s">
        <v>136</v>
      </c>
      <c r="C384" s="1313" t="s">
        <v>139</v>
      </c>
      <c r="D384" s="1250" t="s">
        <v>292</v>
      </c>
      <c r="E384" s="1251">
        <v>383</v>
      </c>
      <c r="F384" s="1264">
        <v>6.6</v>
      </c>
      <c r="G384" s="1263" t="s">
        <v>145</v>
      </c>
      <c r="H384" s="1316" t="s">
        <v>137</v>
      </c>
      <c r="I384" s="1971" t="s">
        <v>297</v>
      </c>
      <c r="J384" s="1285" t="s">
        <v>146</v>
      </c>
    </row>
    <row r="385" spans="1:10">
      <c r="A385" s="1280">
        <v>7.16</v>
      </c>
      <c r="B385" s="1279" t="s">
        <v>136</v>
      </c>
      <c r="C385" s="1313" t="s">
        <v>139</v>
      </c>
      <c r="D385" s="1250" t="s">
        <v>292</v>
      </c>
      <c r="E385" s="1251">
        <v>384</v>
      </c>
      <c r="F385" s="1264">
        <v>7.1</v>
      </c>
      <c r="G385" s="1263" t="s">
        <v>136</v>
      </c>
      <c r="H385" s="1316" t="s">
        <v>137</v>
      </c>
      <c r="I385" s="1971" t="s">
        <v>297</v>
      </c>
      <c r="J385" s="1257" t="s">
        <v>140</v>
      </c>
    </row>
    <row r="386" spans="1:10">
      <c r="A386" s="1283">
        <v>7.17</v>
      </c>
      <c r="B386" s="1284" t="s">
        <v>212</v>
      </c>
      <c r="C386" s="1313" t="s">
        <v>139</v>
      </c>
      <c r="D386" s="1250" t="s">
        <v>292</v>
      </c>
      <c r="E386" s="1251">
        <v>385</v>
      </c>
      <c r="F386" s="1252" t="s">
        <v>266</v>
      </c>
      <c r="G386" s="1256" t="s">
        <v>267</v>
      </c>
      <c r="H386" s="1316" t="s">
        <v>137</v>
      </c>
      <c r="I386" s="1971" t="s">
        <v>297</v>
      </c>
      <c r="J386" s="1257" t="s">
        <v>185</v>
      </c>
    </row>
    <row r="387" spans="1:10">
      <c r="A387" s="1276" t="s">
        <v>285</v>
      </c>
      <c r="B387" s="1277" t="s">
        <v>136</v>
      </c>
      <c r="C387" s="1313" t="s">
        <v>139</v>
      </c>
      <c r="D387" s="1250" t="s">
        <v>292</v>
      </c>
      <c r="E387" s="1251">
        <v>386</v>
      </c>
      <c r="F387" s="1252" t="s">
        <v>269</v>
      </c>
      <c r="G387" s="1256" t="s">
        <v>270</v>
      </c>
      <c r="H387" s="1316" t="s">
        <v>137</v>
      </c>
      <c r="I387" s="1971" t="s">
        <v>297</v>
      </c>
      <c r="J387" s="1257" t="s">
        <v>271</v>
      </c>
    </row>
    <row r="388" spans="1:10">
      <c r="A388" s="1280" t="s">
        <v>286</v>
      </c>
      <c r="B388" s="1279" t="s">
        <v>136</v>
      </c>
      <c r="C388" s="1313" t="s">
        <v>139</v>
      </c>
      <c r="D388" s="1250" t="s">
        <v>292</v>
      </c>
      <c r="E388" s="1251">
        <v>387</v>
      </c>
      <c r="F388" s="1252" t="s">
        <v>272</v>
      </c>
      <c r="G388" s="1256" t="s">
        <v>136</v>
      </c>
      <c r="H388" s="1316" t="s">
        <v>137</v>
      </c>
      <c r="I388" s="1971" t="s">
        <v>297</v>
      </c>
      <c r="J388" s="1257" t="s">
        <v>140</v>
      </c>
    </row>
    <row r="389" spans="1:10">
      <c r="A389" s="1280" t="s">
        <v>287</v>
      </c>
      <c r="B389" s="1279" t="s">
        <v>136</v>
      </c>
      <c r="C389" s="1313" t="s">
        <v>139</v>
      </c>
      <c r="D389" s="1250" t="s">
        <v>292</v>
      </c>
      <c r="E389" s="1251">
        <v>388</v>
      </c>
      <c r="F389" s="1252" t="s">
        <v>273</v>
      </c>
      <c r="G389" s="1263" t="s">
        <v>57</v>
      </c>
      <c r="H389" s="1316" t="s">
        <v>137</v>
      </c>
      <c r="I389" s="1971" t="s">
        <v>297</v>
      </c>
      <c r="J389" s="1257" t="s">
        <v>57</v>
      </c>
    </row>
    <row r="390" spans="1:10">
      <c r="A390" s="1280" t="s">
        <v>288</v>
      </c>
      <c r="B390" s="1279" t="s">
        <v>212</v>
      </c>
      <c r="C390" s="1313" t="s">
        <v>139</v>
      </c>
      <c r="D390" s="1250" t="s">
        <v>292</v>
      </c>
      <c r="E390" s="1251">
        <v>389</v>
      </c>
      <c r="F390" s="1252" t="s">
        <v>274</v>
      </c>
      <c r="G390" s="1263" t="s">
        <v>57</v>
      </c>
      <c r="H390" s="1316" t="s">
        <v>137</v>
      </c>
      <c r="I390" s="1971" t="s">
        <v>297</v>
      </c>
      <c r="J390" s="1257" t="s">
        <v>57</v>
      </c>
    </row>
    <row r="391" spans="1:10">
      <c r="A391" s="1280" t="s">
        <v>290</v>
      </c>
      <c r="B391" s="1279" t="s">
        <v>147</v>
      </c>
      <c r="C391" s="1313" t="s">
        <v>139</v>
      </c>
      <c r="D391" s="1250" t="s">
        <v>292</v>
      </c>
      <c r="E391" s="1251">
        <v>390</v>
      </c>
      <c r="F391" s="1252" t="s">
        <v>275</v>
      </c>
      <c r="G391" s="1263" t="s">
        <v>156</v>
      </c>
      <c r="H391" s="1316" t="s">
        <v>137</v>
      </c>
      <c r="I391" s="1971" t="s">
        <v>297</v>
      </c>
      <c r="J391" s="1257" t="s">
        <v>176</v>
      </c>
    </row>
    <row r="392" spans="1:10">
      <c r="A392" s="1292">
        <v>1.1000000000000001</v>
      </c>
      <c r="B392" s="1293" t="s">
        <v>136</v>
      </c>
      <c r="C392" s="1313" t="s">
        <v>139</v>
      </c>
      <c r="D392" s="1250" t="s">
        <v>320</v>
      </c>
      <c r="E392" s="1251">
        <v>391</v>
      </c>
      <c r="F392" s="1264">
        <v>7.5</v>
      </c>
      <c r="G392" s="1263" t="s">
        <v>136</v>
      </c>
      <c r="H392" s="1316" t="s">
        <v>137</v>
      </c>
      <c r="I392" s="1971" t="s">
        <v>297</v>
      </c>
      <c r="J392" s="1257" t="s">
        <v>140</v>
      </c>
    </row>
    <row r="393" spans="1:10">
      <c r="A393" s="1258">
        <v>1.2</v>
      </c>
      <c r="B393" s="1259" t="s">
        <v>141</v>
      </c>
      <c r="C393" s="1313" t="s">
        <v>139</v>
      </c>
      <c r="D393" s="1250" t="s">
        <v>320</v>
      </c>
      <c r="E393" s="1251">
        <v>392</v>
      </c>
      <c r="F393" s="1264">
        <v>7.6</v>
      </c>
      <c r="G393" s="1263" t="s">
        <v>136</v>
      </c>
      <c r="H393" s="1316" t="s">
        <v>137</v>
      </c>
      <c r="I393" s="1971" t="s">
        <v>297</v>
      </c>
      <c r="J393" s="1257" t="s">
        <v>140</v>
      </c>
    </row>
    <row r="394" spans="1:10">
      <c r="A394" s="1260">
        <v>2.1</v>
      </c>
      <c r="B394" s="1255" t="s">
        <v>136</v>
      </c>
      <c r="C394" s="1313" t="s">
        <v>139</v>
      </c>
      <c r="D394" s="1250" t="s">
        <v>320</v>
      </c>
      <c r="E394" s="1251">
        <v>393</v>
      </c>
      <c r="F394" s="1264">
        <v>7.7</v>
      </c>
      <c r="G394" s="1263" t="s">
        <v>136</v>
      </c>
      <c r="H394" s="1316" t="s">
        <v>137</v>
      </c>
      <c r="I394" s="1971" t="s">
        <v>297</v>
      </c>
      <c r="J394" s="1257" t="s">
        <v>140</v>
      </c>
    </row>
    <row r="395" spans="1:10">
      <c r="A395" s="1261">
        <v>2.2000000000000002</v>
      </c>
      <c r="B395" s="1262" t="s">
        <v>57</v>
      </c>
      <c r="C395" s="1313" t="s">
        <v>139</v>
      </c>
      <c r="D395" s="1250" t="s">
        <v>320</v>
      </c>
      <c r="E395" s="1251">
        <v>394</v>
      </c>
      <c r="F395" s="1264">
        <v>7.8</v>
      </c>
      <c r="G395" s="1263" t="s">
        <v>136</v>
      </c>
      <c r="H395" s="1316" t="s">
        <v>137</v>
      </c>
      <c r="I395" s="1971" t="s">
        <v>297</v>
      </c>
      <c r="J395" s="1257" t="s">
        <v>140</v>
      </c>
    </row>
    <row r="396" spans="1:10">
      <c r="A396" s="1261">
        <v>2.2999999999999998</v>
      </c>
      <c r="B396" s="1262" t="s">
        <v>136</v>
      </c>
      <c r="C396" s="1313" t="s">
        <v>139</v>
      </c>
      <c r="D396" s="1250" t="s">
        <v>320</v>
      </c>
      <c r="E396" s="1251">
        <v>395</v>
      </c>
      <c r="F396" s="1264">
        <v>7.9</v>
      </c>
      <c r="G396" s="1263" t="s">
        <v>136</v>
      </c>
      <c r="H396" s="1316" t="s">
        <v>137</v>
      </c>
      <c r="I396" s="1971" t="s">
        <v>297</v>
      </c>
      <c r="J396" s="1257" t="s">
        <v>140</v>
      </c>
    </row>
    <row r="397" spans="1:10">
      <c r="A397" s="1261">
        <v>2.4</v>
      </c>
      <c r="B397" s="1262" t="s">
        <v>152</v>
      </c>
      <c r="C397" s="1313" t="s">
        <v>139</v>
      </c>
      <c r="D397" s="1250" t="s">
        <v>320</v>
      </c>
      <c r="E397" s="1251">
        <v>396</v>
      </c>
      <c r="F397" s="1268" t="s">
        <v>279</v>
      </c>
      <c r="G397" s="1263" t="s">
        <v>317</v>
      </c>
      <c r="H397" s="1316" t="s">
        <v>137</v>
      </c>
      <c r="I397" s="1971" t="s">
        <v>297</v>
      </c>
      <c r="J397" s="1257" t="s">
        <v>185</v>
      </c>
    </row>
    <row r="398" spans="1:10">
      <c r="A398" s="1261">
        <v>2.5</v>
      </c>
      <c r="B398" s="1262" t="s">
        <v>212</v>
      </c>
      <c r="C398" s="1313" t="s">
        <v>139</v>
      </c>
      <c r="D398" s="1250" t="s">
        <v>320</v>
      </c>
      <c r="E398" s="1251">
        <v>397</v>
      </c>
      <c r="F398" s="1264">
        <v>7.11</v>
      </c>
      <c r="G398" s="1263" t="s">
        <v>136</v>
      </c>
      <c r="H398" s="1316" t="s">
        <v>137</v>
      </c>
      <c r="I398" s="1971" t="s">
        <v>297</v>
      </c>
      <c r="J398" s="1257" t="s">
        <v>140</v>
      </c>
    </row>
    <row r="399" spans="1:10">
      <c r="A399" s="1261">
        <v>2.6</v>
      </c>
      <c r="B399" s="1262" t="s">
        <v>156</v>
      </c>
      <c r="C399" s="1313" t="s">
        <v>139</v>
      </c>
      <c r="D399" s="1250" t="s">
        <v>320</v>
      </c>
      <c r="E399" s="1251">
        <v>398</v>
      </c>
      <c r="F399" s="1264">
        <v>7.12</v>
      </c>
      <c r="G399" s="1263" t="s">
        <v>136</v>
      </c>
      <c r="H399" s="1316" t="s">
        <v>137</v>
      </c>
      <c r="I399" s="1971" t="s">
        <v>297</v>
      </c>
      <c r="J399" s="1257" t="s">
        <v>140</v>
      </c>
    </row>
    <row r="400" spans="1:10">
      <c r="A400" s="1265" t="s">
        <v>157</v>
      </c>
      <c r="B400" s="1262" t="s">
        <v>136</v>
      </c>
      <c r="C400" s="1313" t="s">
        <v>139</v>
      </c>
      <c r="D400" s="1250" t="s">
        <v>320</v>
      </c>
      <c r="E400" s="1251">
        <v>399</v>
      </c>
      <c r="F400" s="1252" t="s">
        <v>281</v>
      </c>
      <c r="G400" s="1263" t="s">
        <v>57</v>
      </c>
      <c r="H400" s="1316" t="s">
        <v>137</v>
      </c>
      <c r="I400" s="1971" t="s">
        <v>297</v>
      </c>
      <c r="J400" s="1257" t="s">
        <v>57</v>
      </c>
    </row>
    <row r="401" spans="1:10">
      <c r="A401" s="1261" t="s">
        <v>158</v>
      </c>
      <c r="B401" s="1262" t="s">
        <v>324</v>
      </c>
      <c r="C401" s="1313" t="s">
        <v>139</v>
      </c>
      <c r="D401" s="1250" t="s">
        <v>320</v>
      </c>
      <c r="E401" s="1251">
        <v>400</v>
      </c>
      <c r="F401" s="1252" t="s">
        <v>282</v>
      </c>
      <c r="G401" s="1263" t="s">
        <v>318</v>
      </c>
      <c r="H401" s="1316" t="s">
        <v>137</v>
      </c>
      <c r="I401" s="1971" t="s">
        <v>297</v>
      </c>
      <c r="J401" s="1257" t="s">
        <v>319</v>
      </c>
    </row>
    <row r="402" spans="1:10">
      <c r="A402" s="1261">
        <v>2.8</v>
      </c>
      <c r="B402" s="1262" t="s">
        <v>161</v>
      </c>
      <c r="C402" s="1313" t="s">
        <v>139</v>
      </c>
      <c r="D402" s="1250" t="s">
        <v>320</v>
      </c>
      <c r="E402" s="1251">
        <v>401</v>
      </c>
      <c r="F402" s="1264">
        <v>7.14</v>
      </c>
      <c r="G402" s="1263" t="s">
        <v>136</v>
      </c>
      <c r="H402" s="1316" t="s">
        <v>137</v>
      </c>
      <c r="I402" s="1971" t="s">
        <v>297</v>
      </c>
      <c r="J402" s="1257" t="s">
        <v>140</v>
      </c>
    </row>
    <row r="403" spans="1:10">
      <c r="A403" s="1261">
        <v>2.9</v>
      </c>
      <c r="B403" s="1262" t="s">
        <v>164</v>
      </c>
      <c r="C403" s="1313" t="s">
        <v>139</v>
      </c>
      <c r="D403" s="1250" t="s">
        <v>320</v>
      </c>
      <c r="E403" s="1251">
        <v>402</v>
      </c>
      <c r="F403" s="1264">
        <v>7.15</v>
      </c>
      <c r="G403" s="1263" t="s">
        <v>136</v>
      </c>
      <c r="H403" s="1316" t="s">
        <v>137</v>
      </c>
      <c r="I403" s="1971" t="s">
        <v>297</v>
      </c>
      <c r="J403" s="1257" t="s">
        <v>140</v>
      </c>
    </row>
    <row r="404" spans="1:10">
      <c r="A404" s="1266" t="s">
        <v>165</v>
      </c>
      <c r="B404" s="1259" t="s">
        <v>156</v>
      </c>
      <c r="C404" s="1313" t="s">
        <v>139</v>
      </c>
      <c r="D404" s="1250" t="s">
        <v>320</v>
      </c>
      <c r="E404" s="1251">
        <v>403</v>
      </c>
      <c r="F404" s="1264">
        <v>7.16</v>
      </c>
      <c r="G404" s="1263" t="s">
        <v>136</v>
      </c>
      <c r="H404" s="1316" t="s">
        <v>137</v>
      </c>
      <c r="I404" s="1971" t="s">
        <v>297</v>
      </c>
      <c r="J404" s="1257" t="s">
        <v>140</v>
      </c>
    </row>
    <row r="405" spans="1:10">
      <c r="A405" s="1260" t="s">
        <v>167</v>
      </c>
      <c r="B405" s="1255" t="s">
        <v>136</v>
      </c>
      <c r="C405" s="1313" t="s">
        <v>139</v>
      </c>
      <c r="D405" s="1250" t="s">
        <v>320</v>
      </c>
      <c r="E405" s="1251">
        <v>404</v>
      </c>
      <c r="F405" s="1264">
        <v>7.17</v>
      </c>
      <c r="G405" s="1263" t="s">
        <v>136</v>
      </c>
      <c r="H405" s="1316" t="s">
        <v>137</v>
      </c>
      <c r="I405" s="1971" t="s">
        <v>297</v>
      </c>
      <c r="J405" s="1257" t="s">
        <v>140</v>
      </c>
    </row>
    <row r="406" spans="1:10">
      <c r="A406" s="1261" t="s">
        <v>171</v>
      </c>
      <c r="B406" s="1262" t="s">
        <v>136</v>
      </c>
      <c r="C406" s="1313" t="s">
        <v>139</v>
      </c>
      <c r="D406" s="1250" t="s">
        <v>320</v>
      </c>
      <c r="E406" s="1251">
        <v>405</v>
      </c>
      <c r="F406" s="1252" t="s">
        <v>289</v>
      </c>
      <c r="G406" s="1263" t="s">
        <v>136</v>
      </c>
      <c r="H406" s="1316" t="s">
        <v>137</v>
      </c>
      <c r="I406" s="1971" t="s">
        <v>297</v>
      </c>
      <c r="J406" s="1257" t="s">
        <v>140</v>
      </c>
    </row>
    <row r="407" spans="1:10">
      <c r="A407" s="1261" t="s">
        <v>173</v>
      </c>
      <c r="B407" s="1267" t="s">
        <v>174</v>
      </c>
      <c r="C407" s="1313" t="s">
        <v>139</v>
      </c>
      <c r="D407" s="1250" t="s">
        <v>320</v>
      </c>
      <c r="E407" s="1251">
        <v>406</v>
      </c>
      <c r="F407" s="1252" t="s">
        <v>291</v>
      </c>
      <c r="G407" s="1256" t="s">
        <v>212</v>
      </c>
      <c r="H407" s="1316" t="s">
        <v>137</v>
      </c>
      <c r="I407" s="1971" t="s">
        <v>297</v>
      </c>
      <c r="J407" s="1257" t="s">
        <v>213</v>
      </c>
    </row>
    <row r="408" spans="1:10">
      <c r="A408" s="1261" t="s">
        <v>175</v>
      </c>
      <c r="B408" s="1262" t="s">
        <v>152</v>
      </c>
      <c r="C408" s="1313" t="s">
        <v>139</v>
      </c>
      <c r="D408" s="1250" t="s">
        <v>320</v>
      </c>
      <c r="E408" s="1251">
        <v>407</v>
      </c>
      <c r="F408" s="1264">
        <v>8.1999999999999993</v>
      </c>
      <c r="G408" s="1263" t="s">
        <v>293</v>
      </c>
      <c r="H408" s="1316" t="s">
        <v>137</v>
      </c>
      <c r="I408" s="1971" t="s">
        <v>297</v>
      </c>
      <c r="J408" s="1257" t="s">
        <v>294</v>
      </c>
    </row>
    <row r="409" spans="1:10">
      <c r="A409" s="1261" t="s">
        <v>177</v>
      </c>
      <c r="B409" s="1262" t="s">
        <v>178</v>
      </c>
      <c r="C409" s="1313" t="s">
        <v>139</v>
      </c>
      <c r="D409" s="1250" t="s">
        <v>320</v>
      </c>
      <c r="E409" s="1251">
        <v>408</v>
      </c>
      <c r="F409" s="1264">
        <v>8.3000000000000007</v>
      </c>
      <c r="G409" s="1263" t="s">
        <v>136</v>
      </c>
      <c r="H409" s="1316" t="s">
        <v>137</v>
      </c>
      <c r="I409" s="1971" t="s">
        <v>297</v>
      </c>
      <c r="J409" s="1257" t="s">
        <v>140</v>
      </c>
    </row>
    <row r="410" spans="1:10">
      <c r="A410" s="1261" t="s">
        <v>179</v>
      </c>
      <c r="B410" s="1267" t="s">
        <v>180</v>
      </c>
      <c r="C410" s="1313" t="s">
        <v>139</v>
      </c>
      <c r="D410" s="1250" t="s">
        <v>320</v>
      </c>
      <c r="E410" s="1251">
        <v>409</v>
      </c>
      <c r="F410" s="1264">
        <v>8.4</v>
      </c>
      <c r="G410" s="1263" t="s">
        <v>295</v>
      </c>
      <c r="H410" s="1316" t="s">
        <v>137</v>
      </c>
      <c r="I410" s="1971" t="s">
        <v>297</v>
      </c>
      <c r="J410" s="1257" t="s">
        <v>296</v>
      </c>
    </row>
    <row r="411" spans="1:10" ht="15" thickBot="1">
      <c r="A411" s="1261" t="s">
        <v>181</v>
      </c>
      <c r="B411" s="1262" t="s">
        <v>182</v>
      </c>
      <c r="C411" s="1313" t="s">
        <v>139</v>
      </c>
      <c r="D411" s="1250" t="s">
        <v>320</v>
      </c>
      <c r="E411" s="1251">
        <v>410</v>
      </c>
      <c r="F411" s="1297">
        <v>8.5</v>
      </c>
      <c r="G411" s="1263" t="s">
        <v>136</v>
      </c>
      <c r="H411" s="1298" t="s">
        <v>137</v>
      </c>
      <c r="I411" s="1971" t="s">
        <v>297</v>
      </c>
      <c r="J411" s="1300" t="s">
        <v>140</v>
      </c>
    </row>
    <row r="412" spans="1:10" ht="15" thickTop="1">
      <c r="A412" s="1261" t="s">
        <v>186</v>
      </c>
      <c r="B412" s="1259" t="s">
        <v>136</v>
      </c>
      <c r="C412" s="1313" t="s">
        <v>139</v>
      </c>
      <c r="D412" s="1250" t="s">
        <v>320</v>
      </c>
      <c r="E412" s="1251">
        <v>411</v>
      </c>
      <c r="F412" s="1252" t="s">
        <v>138</v>
      </c>
      <c r="G412" s="1263" t="s">
        <v>136</v>
      </c>
      <c r="H412" s="1316" t="s">
        <v>137</v>
      </c>
      <c r="I412" s="1971" t="s">
        <v>321</v>
      </c>
      <c r="J412" s="1257" t="s">
        <v>140</v>
      </c>
    </row>
    <row r="413" spans="1:10">
      <c r="A413" s="1270" t="s">
        <v>188</v>
      </c>
      <c r="B413" s="1271" t="s">
        <v>136</v>
      </c>
      <c r="C413" s="1313" t="s">
        <v>139</v>
      </c>
      <c r="D413" s="1250" t="s">
        <v>320</v>
      </c>
      <c r="E413" s="1251">
        <v>412</v>
      </c>
      <c r="F413" s="1252" t="s">
        <v>142</v>
      </c>
      <c r="G413" s="1256" t="s">
        <v>143</v>
      </c>
      <c r="H413" s="1316" t="s">
        <v>137</v>
      </c>
      <c r="I413" s="1971" t="s">
        <v>321</v>
      </c>
      <c r="J413" s="1257" t="s">
        <v>144</v>
      </c>
    </row>
    <row r="414" spans="1:10">
      <c r="A414" s="1272" t="s">
        <v>192</v>
      </c>
      <c r="B414" s="1273" t="s">
        <v>182</v>
      </c>
      <c r="C414" s="1313" t="s">
        <v>139</v>
      </c>
      <c r="D414" s="1250" t="s">
        <v>320</v>
      </c>
      <c r="E414" s="1251">
        <v>413</v>
      </c>
      <c r="F414" s="1264">
        <v>1.2</v>
      </c>
      <c r="G414" s="1263" t="s">
        <v>298</v>
      </c>
      <c r="H414" s="1316" t="s">
        <v>137</v>
      </c>
      <c r="I414" s="1971" t="s">
        <v>321</v>
      </c>
      <c r="J414" s="1257" t="s">
        <v>146</v>
      </c>
    </row>
    <row r="415" spans="1:10">
      <c r="A415" s="1272" t="s">
        <v>194</v>
      </c>
      <c r="B415" s="1275" t="s">
        <v>195</v>
      </c>
      <c r="C415" s="1313" t="s">
        <v>139</v>
      </c>
      <c r="D415" s="1250" t="s">
        <v>320</v>
      </c>
      <c r="E415" s="1251">
        <v>414</v>
      </c>
      <c r="F415" s="1252" t="s">
        <v>148</v>
      </c>
      <c r="G415" s="1263" t="s">
        <v>136</v>
      </c>
      <c r="H415" s="1316" t="s">
        <v>137</v>
      </c>
      <c r="I415" s="1971" t="s">
        <v>321</v>
      </c>
      <c r="J415" s="1257" t="s">
        <v>140</v>
      </c>
    </row>
    <row r="416" spans="1:10">
      <c r="A416" s="1276" t="s">
        <v>198</v>
      </c>
      <c r="B416" s="1277" t="s">
        <v>57</v>
      </c>
      <c r="C416" s="1313" t="s">
        <v>139</v>
      </c>
      <c r="D416" s="1250" t="s">
        <v>320</v>
      </c>
      <c r="E416" s="1251">
        <v>415</v>
      </c>
      <c r="F416" s="1252" t="s">
        <v>149</v>
      </c>
      <c r="G416" s="1263" t="s">
        <v>150</v>
      </c>
      <c r="H416" s="1316" t="s">
        <v>137</v>
      </c>
      <c r="I416" s="1971" t="s">
        <v>321</v>
      </c>
      <c r="J416" s="1257" t="s">
        <v>151</v>
      </c>
    </row>
    <row r="417" spans="1:10">
      <c r="A417" s="1278" t="s">
        <v>199</v>
      </c>
      <c r="B417" s="1279" t="s">
        <v>136</v>
      </c>
      <c r="C417" s="1313" t="s">
        <v>139</v>
      </c>
      <c r="D417" s="1250" t="s">
        <v>320</v>
      </c>
      <c r="E417" s="1251">
        <v>416</v>
      </c>
      <c r="F417" s="1264">
        <v>1.4</v>
      </c>
      <c r="G417" s="1263" t="s">
        <v>153</v>
      </c>
      <c r="H417" s="1316" t="s">
        <v>137</v>
      </c>
      <c r="I417" s="1971" t="s">
        <v>321</v>
      </c>
      <c r="J417" s="1257" t="s">
        <v>154</v>
      </c>
    </row>
    <row r="418" spans="1:10">
      <c r="A418" s="1280" t="s">
        <v>201</v>
      </c>
      <c r="B418" s="1279" t="s">
        <v>57</v>
      </c>
      <c r="C418" s="1313" t="s">
        <v>139</v>
      </c>
      <c r="D418" s="1250" t="s">
        <v>320</v>
      </c>
      <c r="E418" s="1251">
        <v>417</v>
      </c>
      <c r="F418" s="1264">
        <v>2.1</v>
      </c>
      <c r="G418" s="1263" t="s">
        <v>136</v>
      </c>
      <c r="H418" s="1316" t="s">
        <v>137</v>
      </c>
      <c r="I418" s="1971" t="s">
        <v>321</v>
      </c>
      <c r="J418" s="1257" t="s">
        <v>140</v>
      </c>
    </row>
    <row r="419" spans="1:10">
      <c r="A419" s="1278" t="s">
        <v>206</v>
      </c>
      <c r="B419" s="1279" t="s">
        <v>152</v>
      </c>
      <c r="C419" s="1313" t="s">
        <v>139</v>
      </c>
      <c r="D419" s="1250" t="s">
        <v>320</v>
      </c>
      <c r="E419" s="1251">
        <v>418</v>
      </c>
      <c r="F419" s="1264">
        <v>2.2000000000000002</v>
      </c>
      <c r="G419" s="1263" t="s">
        <v>57</v>
      </c>
      <c r="H419" s="1316" t="s">
        <v>137</v>
      </c>
      <c r="I419" s="1971" t="s">
        <v>321</v>
      </c>
      <c r="J419" s="1257" t="s">
        <v>57</v>
      </c>
    </row>
    <row r="420" spans="1:10">
      <c r="A420" s="1280" t="s">
        <v>207</v>
      </c>
      <c r="B420" s="1279" t="s">
        <v>136</v>
      </c>
      <c r="C420" s="1313" t="s">
        <v>139</v>
      </c>
      <c r="D420" s="1250" t="s">
        <v>320</v>
      </c>
      <c r="E420" s="1251">
        <v>419</v>
      </c>
      <c r="F420" s="1264">
        <v>2.2999999999999998</v>
      </c>
      <c r="G420" s="1263" t="s">
        <v>136</v>
      </c>
      <c r="H420" s="1316" t="s">
        <v>137</v>
      </c>
      <c r="I420" s="1971" t="s">
        <v>321</v>
      </c>
      <c r="J420" s="1257" t="s">
        <v>140</v>
      </c>
    </row>
    <row r="421" spans="1:10">
      <c r="A421" s="1280" t="s">
        <v>210</v>
      </c>
      <c r="B421" s="1281" t="s">
        <v>211</v>
      </c>
      <c r="C421" s="1313" t="s">
        <v>139</v>
      </c>
      <c r="D421" s="1250" t="s">
        <v>320</v>
      </c>
      <c r="E421" s="1251">
        <v>420</v>
      </c>
      <c r="F421" s="1264">
        <v>2.4</v>
      </c>
      <c r="G421" s="1256" t="s">
        <v>152</v>
      </c>
      <c r="H421" s="1316" t="s">
        <v>137</v>
      </c>
      <c r="I421" s="1971" t="s">
        <v>321</v>
      </c>
      <c r="J421" s="1257" t="s">
        <v>160</v>
      </c>
    </row>
    <row r="422" spans="1:10">
      <c r="A422" s="1280" t="s">
        <v>214</v>
      </c>
      <c r="B422" s="1279" t="s">
        <v>156</v>
      </c>
      <c r="C422" s="1313" t="s">
        <v>139</v>
      </c>
      <c r="D422" s="1250" t="s">
        <v>320</v>
      </c>
      <c r="E422" s="1251">
        <v>421</v>
      </c>
      <c r="F422" s="1264">
        <v>2.5</v>
      </c>
      <c r="G422" s="1256" t="s">
        <v>162</v>
      </c>
      <c r="H422" s="1316" t="s">
        <v>137</v>
      </c>
      <c r="I422" s="1971" t="s">
        <v>321</v>
      </c>
      <c r="J422" s="1257" t="s">
        <v>163</v>
      </c>
    </row>
    <row r="423" spans="1:10">
      <c r="A423" s="1280" t="s">
        <v>216</v>
      </c>
      <c r="B423" s="1279" t="s">
        <v>136</v>
      </c>
      <c r="C423" s="1313" t="s">
        <v>139</v>
      </c>
      <c r="D423" s="1250" t="s">
        <v>320</v>
      </c>
      <c r="E423" s="1251">
        <v>422</v>
      </c>
      <c r="F423" s="1264">
        <v>2.6</v>
      </c>
      <c r="G423" s="1263" t="s">
        <v>136</v>
      </c>
      <c r="H423" s="1316" t="s">
        <v>137</v>
      </c>
      <c r="I423" s="1971" t="s">
        <v>321</v>
      </c>
      <c r="J423" s="1257" t="s">
        <v>140</v>
      </c>
    </row>
    <row r="424" spans="1:10">
      <c r="A424" s="1280" t="s">
        <v>218</v>
      </c>
      <c r="B424" s="1279" t="s">
        <v>57</v>
      </c>
      <c r="C424" s="1313" t="s">
        <v>139</v>
      </c>
      <c r="D424" s="1250" t="s">
        <v>320</v>
      </c>
      <c r="E424" s="1251">
        <v>423</v>
      </c>
      <c r="F424" s="1252" t="s">
        <v>166</v>
      </c>
      <c r="G424" s="1263" t="s">
        <v>57</v>
      </c>
      <c r="H424" s="1316" t="s">
        <v>137</v>
      </c>
      <c r="I424" s="1971" t="s">
        <v>321</v>
      </c>
      <c r="J424" s="1257" t="s">
        <v>57</v>
      </c>
    </row>
    <row r="425" spans="1:10">
      <c r="A425" s="1278" t="s">
        <v>222</v>
      </c>
      <c r="B425" s="1279" t="s">
        <v>147</v>
      </c>
      <c r="C425" s="1313" t="s">
        <v>139</v>
      </c>
      <c r="D425" s="1250" t="s">
        <v>320</v>
      </c>
      <c r="E425" s="1251">
        <v>424</v>
      </c>
      <c r="F425" s="1252" t="s">
        <v>168</v>
      </c>
      <c r="G425" s="1263" t="s">
        <v>325</v>
      </c>
      <c r="H425" s="1316" t="s">
        <v>137</v>
      </c>
      <c r="I425" s="1971" t="s">
        <v>321</v>
      </c>
      <c r="J425" s="1257" t="s">
        <v>326</v>
      </c>
    </row>
    <row r="426" spans="1:10">
      <c r="A426" s="1280" t="s">
        <v>224</v>
      </c>
      <c r="B426" s="1279" t="s">
        <v>225</v>
      </c>
      <c r="C426" s="1313" t="s">
        <v>139</v>
      </c>
      <c r="D426" s="1250" t="s">
        <v>320</v>
      </c>
      <c r="E426" s="1251">
        <v>425</v>
      </c>
      <c r="F426" s="1264">
        <v>2.8</v>
      </c>
      <c r="G426" s="1263" t="s">
        <v>300</v>
      </c>
      <c r="H426" s="1316" t="s">
        <v>137</v>
      </c>
      <c r="I426" s="1971" t="s">
        <v>321</v>
      </c>
      <c r="J426" s="1257" t="s">
        <v>301</v>
      </c>
    </row>
    <row r="427" spans="1:10">
      <c r="A427" s="1280" t="s">
        <v>228</v>
      </c>
      <c r="B427" s="1279" t="s">
        <v>229</v>
      </c>
      <c r="C427" s="1313" t="s">
        <v>139</v>
      </c>
      <c r="D427" s="1250" t="s">
        <v>320</v>
      </c>
      <c r="E427" s="1251">
        <v>426</v>
      </c>
      <c r="F427" s="1264">
        <v>2.9</v>
      </c>
      <c r="G427" s="1263" t="s">
        <v>152</v>
      </c>
      <c r="H427" s="1316" t="s">
        <v>137</v>
      </c>
      <c r="I427" s="1971" t="s">
        <v>321</v>
      </c>
      <c r="J427" s="1257" t="s">
        <v>160</v>
      </c>
    </row>
    <row r="428" spans="1:10">
      <c r="A428" s="1280" t="s">
        <v>231</v>
      </c>
      <c r="B428" s="1279" t="s">
        <v>232</v>
      </c>
      <c r="C428" s="1313" t="s">
        <v>139</v>
      </c>
      <c r="D428" s="1250" t="s">
        <v>320</v>
      </c>
      <c r="E428" s="1251">
        <v>427</v>
      </c>
      <c r="F428" s="1268" t="s">
        <v>165</v>
      </c>
      <c r="G428" s="1263" t="s">
        <v>156</v>
      </c>
      <c r="H428" s="1316" t="s">
        <v>137</v>
      </c>
      <c r="I428" s="1971" t="s">
        <v>321</v>
      </c>
      <c r="J428" s="1257" t="s">
        <v>176</v>
      </c>
    </row>
    <row r="429" spans="1:10">
      <c r="A429" s="1280" t="s">
        <v>233</v>
      </c>
      <c r="B429" s="1279" t="s">
        <v>136</v>
      </c>
      <c r="C429" s="1313" t="s">
        <v>139</v>
      </c>
      <c r="D429" s="1250" t="s">
        <v>320</v>
      </c>
      <c r="E429" s="1251">
        <v>428</v>
      </c>
      <c r="F429" s="1264">
        <v>3.1</v>
      </c>
      <c r="G429" s="1263" t="s">
        <v>136</v>
      </c>
      <c r="H429" s="1316" t="s">
        <v>137</v>
      </c>
      <c r="I429" s="1971" t="s">
        <v>321</v>
      </c>
      <c r="J429" s="1257" t="s">
        <v>140</v>
      </c>
    </row>
    <row r="430" spans="1:10">
      <c r="A430" s="1280" t="s">
        <v>234</v>
      </c>
      <c r="B430" s="1279" t="s">
        <v>235</v>
      </c>
      <c r="C430" s="1313" t="s">
        <v>139</v>
      </c>
      <c r="D430" s="1250" t="s">
        <v>320</v>
      </c>
      <c r="E430" s="1251">
        <v>429</v>
      </c>
      <c r="F430" s="1264">
        <v>3.2</v>
      </c>
      <c r="G430" s="1263" t="s">
        <v>136</v>
      </c>
      <c r="H430" s="1316" t="s">
        <v>137</v>
      </c>
      <c r="I430" s="1971" t="s">
        <v>321</v>
      </c>
      <c r="J430" s="1257" t="s">
        <v>140</v>
      </c>
    </row>
    <row r="431" spans="1:10">
      <c r="A431" s="1280">
        <v>5.1100000000000003</v>
      </c>
      <c r="B431" s="1279" t="s">
        <v>304</v>
      </c>
      <c r="C431" s="1313" t="s">
        <v>139</v>
      </c>
      <c r="D431" s="1250" t="s">
        <v>320</v>
      </c>
      <c r="E431" s="1251">
        <v>430</v>
      </c>
      <c r="F431" s="1252" t="s">
        <v>183</v>
      </c>
      <c r="G431" s="1256" t="s">
        <v>184</v>
      </c>
      <c r="H431" s="1316" t="s">
        <v>137</v>
      </c>
      <c r="I431" s="1971" t="s">
        <v>321</v>
      </c>
      <c r="J431" s="1257" t="s">
        <v>185</v>
      </c>
    </row>
    <row r="432" spans="1:10">
      <c r="A432" s="1280">
        <v>5.12</v>
      </c>
      <c r="B432" s="1279" t="s">
        <v>164</v>
      </c>
      <c r="C432" s="1313" t="s">
        <v>139</v>
      </c>
      <c r="D432" s="1250" t="s">
        <v>320</v>
      </c>
      <c r="E432" s="1251">
        <v>431</v>
      </c>
      <c r="F432" s="1252" t="s">
        <v>187</v>
      </c>
      <c r="G432" s="1256" t="s">
        <v>152</v>
      </c>
      <c r="H432" s="1316" t="s">
        <v>137</v>
      </c>
      <c r="I432" s="1971" t="s">
        <v>321</v>
      </c>
      <c r="J432" s="1257" t="s">
        <v>160</v>
      </c>
    </row>
    <row r="433" spans="1:10">
      <c r="A433" s="1283">
        <v>5.13</v>
      </c>
      <c r="B433" s="1284" t="s">
        <v>305</v>
      </c>
      <c r="C433" s="1313" t="s">
        <v>139</v>
      </c>
      <c r="D433" s="1250" t="s">
        <v>320</v>
      </c>
      <c r="E433" s="1251">
        <v>432</v>
      </c>
      <c r="F433" s="1252" t="s">
        <v>189</v>
      </c>
      <c r="G433" s="1263" t="s">
        <v>190</v>
      </c>
      <c r="H433" s="1316" t="s">
        <v>137</v>
      </c>
      <c r="I433" s="1971" t="s">
        <v>321</v>
      </c>
      <c r="J433" s="1257" t="s">
        <v>191</v>
      </c>
    </row>
    <row r="434" spans="1:10">
      <c r="A434" s="1276" t="s">
        <v>241</v>
      </c>
      <c r="B434" s="1277" t="s">
        <v>136</v>
      </c>
      <c r="C434" s="1313" t="s">
        <v>139</v>
      </c>
      <c r="D434" s="1250" t="s">
        <v>320</v>
      </c>
      <c r="E434" s="1251">
        <v>433</v>
      </c>
      <c r="F434" s="1264">
        <v>3.4</v>
      </c>
      <c r="G434" s="1263" t="s">
        <v>193</v>
      </c>
      <c r="H434" s="1316" t="s">
        <v>137</v>
      </c>
      <c r="I434" s="1971" t="s">
        <v>321</v>
      </c>
      <c r="J434" s="1257" t="s">
        <v>185</v>
      </c>
    </row>
    <row r="435" spans="1:10">
      <c r="A435" s="1280" t="s">
        <v>243</v>
      </c>
      <c r="B435" s="1279" t="s">
        <v>136</v>
      </c>
      <c r="C435" s="1313" t="s">
        <v>139</v>
      </c>
      <c r="D435" s="1250" t="s">
        <v>320</v>
      </c>
      <c r="E435" s="1251">
        <v>434</v>
      </c>
      <c r="F435" s="1264">
        <v>3.5</v>
      </c>
      <c r="G435" s="1256" t="s">
        <v>196</v>
      </c>
      <c r="H435" s="1316" t="s">
        <v>137</v>
      </c>
      <c r="I435" s="1971" t="s">
        <v>321</v>
      </c>
      <c r="J435" s="1257" t="s">
        <v>197</v>
      </c>
    </row>
    <row r="436" spans="1:10">
      <c r="A436" s="1280" t="s">
        <v>244</v>
      </c>
      <c r="B436" s="1279" t="s">
        <v>178</v>
      </c>
      <c r="C436" s="1313" t="s">
        <v>139</v>
      </c>
      <c r="D436" s="1250" t="s">
        <v>320</v>
      </c>
      <c r="E436" s="1251">
        <v>435</v>
      </c>
      <c r="F436" s="1264">
        <v>3.6</v>
      </c>
      <c r="G436" s="1263" t="s">
        <v>136</v>
      </c>
      <c r="H436" s="1316" t="s">
        <v>137</v>
      </c>
      <c r="I436" s="1971" t="s">
        <v>321</v>
      </c>
      <c r="J436" s="1257" t="s">
        <v>140</v>
      </c>
    </row>
    <row r="437" spans="1:10">
      <c r="A437" s="1280" t="s">
        <v>245</v>
      </c>
      <c r="B437" s="1279" t="s">
        <v>246</v>
      </c>
      <c r="C437" s="1313" t="s">
        <v>139</v>
      </c>
      <c r="D437" s="1250" t="s">
        <v>320</v>
      </c>
      <c r="E437" s="1251">
        <v>436</v>
      </c>
      <c r="F437" s="1252" t="s">
        <v>200</v>
      </c>
      <c r="G437" s="1263" t="s">
        <v>136</v>
      </c>
      <c r="H437" s="1316" t="s">
        <v>137</v>
      </c>
      <c r="I437" s="1971" t="s">
        <v>321</v>
      </c>
      <c r="J437" s="1257" t="s">
        <v>140</v>
      </c>
    </row>
    <row r="438" spans="1:10">
      <c r="A438" s="1280" t="s">
        <v>247</v>
      </c>
      <c r="B438" s="1279" t="s">
        <v>178</v>
      </c>
      <c r="C438" s="1313" t="s">
        <v>139</v>
      </c>
      <c r="D438" s="1250" t="s">
        <v>320</v>
      </c>
      <c r="E438" s="1251">
        <v>437</v>
      </c>
      <c r="F438" s="1252" t="s">
        <v>203</v>
      </c>
      <c r="G438" s="1263" t="s">
        <v>303</v>
      </c>
      <c r="H438" s="1316" t="s">
        <v>137</v>
      </c>
      <c r="I438" s="1971" t="s">
        <v>321</v>
      </c>
      <c r="J438" s="1257" t="s">
        <v>205</v>
      </c>
    </row>
    <row r="439" spans="1:10">
      <c r="A439" s="1280" t="s">
        <v>248</v>
      </c>
      <c r="B439" s="1279" t="s">
        <v>178</v>
      </c>
      <c r="C439" s="1313" t="s">
        <v>139</v>
      </c>
      <c r="D439" s="1250" t="s">
        <v>320</v>
      </c>
      <c r="E439" s="1251">
        <v>438</v>
      </c>
      <c r="F439" s="1264">
        <v>4.2</v>
      </c>
      <c r="G439" s="1263" t="s">
        <v>260</v>
      </c>
      <c r="H439" s="1316" t="s">
        <v>137</v>
      </c>
      <c r="I439" s="1971" t="s">
        <v>321</v>
      </c>
      <c r="J439" s="1257" t="s">
        <v>227</v>
      </c>
    </row>
    <row r="440" spans="1:10">
      <c r="A440" s="1280" t="s">
        <v>249</v>
      </c>
      <c r="B440" s="1279" t="s">
        <v>152</v>
      </c>
      <c r="C440" s="1313" t="s">
        <v>139</v>
      </c>
      <c r="D440" s="1250" t="s">
        <v>320</v>
      </c>
      <c r="E440" s="1251">
        <v>439</v>
      </c>
      <c r="F440" s="1264">
        <v>4.3</v>
      </c>
      <c r="G440" s="1256" t="s">
        <v>208</v>
      </c>
      <c r="H440" s="1316" t="s">
        <v>137</v>
      </c>
      <c r="I440" s="1971" t="s">
        <v>321</v>
      </c>
      <c r="J440" s="1257" t="s">
        <v>209</v>
      </c>
    </row>
    <row r="441" spans="1:10">
      <c r="A441" s="1280" t="s">
        <v>250</v>
      </c>
      <c r="B441" s="1279" t="s">
        <v>152</v>
      </c>
      <c r="C441" s="1313" t="s">
        <v>139</v>
      </c>
      <c r="D441" s="1250" t="s">
        <v>320</v>
      </c>
      <c r="E441" s="1251">
        <v>440</v>
      </c>
      <c r="F441" s="1264">
        <v>4.4000000000000004</v>
      </c>
      <c r="G441" s="1256" t="s">
        <v>212</v>
      </c>
      <c r="H441" s="1316" t="s">
        <v>137</v>
      </c>
      <c r="I441" s="1971" t="s">
        <v>321</v>
      </c>
      <c r="J441" s="1257" t="s">
        <v>213</v>
      </c>
    </row>
    <row r="442" spans="1:10">
      <c r="A442" s="1283" t="s">
        <v>251</v>
      </c>
      <c r="B442" s="1284" t="s">
        <v>252</v>
      </c>
      <c r="C442" s="1313" t="s">
        <v>139</v>
      </c>
      <c r="D442" s="1250" t="s">
        <v>320</v>
      </c>
      <c r="E442" s="1251">
        <v>441</v>
      </c>
      <c r="F442" s="1252" t="s">
        <v>215</v>
      </c>
      <c r="G442" s="1263" t="s">
        <v>57</v>
      </c>
      <c r="H442" s="1316" t="s">
        <v>137</v>
      </c>
      <c r="I442" s="1971" t="s">
        <v>321</v>
      </c>
      <c r="J442" s="1257" t="s">
        <v>57</v>
      </c>
    </row>
    <row r="443" spans="1:10">
      <c r="A443" s="1276" t="s">
        <v>253</v>
      </c>
      <c r="B443" s="1277" t="s">
        <v>136</v>
      </c>
      <c r="C443" s="1313" t="s">
        <v>139</v>
      </c>
      <c r="D443" s="1250" t="s">
        <v>320</v>
      </c>
      <c r="E443" s="1251">
        <v>442</v>
      </c>
      <c r="F443" s="1252" t="s">
        <v>217</v>
      </c>
      <c r="G443" s="1263" t="s">
        <v>136</v>
      </c>
      <c r="H443" s="1316" t="s">
        <v>137</v>
      </c>
      <c r="I443" s="1971" t="s">
        <v>321</v>
      </c>
      <c r="J443" s="1257" t="s">
        <v>140</v>
      </c>
    </row>
    <row r="444" spans="1:10">
      <c r="A444" s="1280" t="s">
        <v>256</v>
      </c>
      <c r="B444" s="1281" t="s">
        <v>257</v>
      </c>
      <c r="C444" s="1313" t="s">
        <v>139</v>
      </c>
      <c r="D444" s="1250" t="s">
        <v>320</v>
      </c>
      <c r="E444" s="1251">
        <v>443</v>
      </c>
      <c r="F444" s="1252" t="s">
        <v>219</v>
      </c>
      <c r="G444" s="1282" t="s">
        <v>57</v>
      </c>
      <c r="H444" s="1316" t="s">
        <v>137</v>
      </c>
      <c r="I444" s="1971" t="s">
        <v>321</v>
      </c>
      <c r="J444" s="1257" t="s">
        <v>57</v>
      </c>
    </row>
    <row r="445" spans="1:10">
      <c r="A445" s="1280" t="s">
        <v>259</v>
      </c>
      <c r="B445" s="1279" t="s">
        <v>260</v>
      </c>
      <c r="C445" s="1313" t="s">
        <v>139</v>
      </c>
      <c r="D445" s="1250" t="s">
        <v>320</v>
      </c>
      <c r="E445" s="1251">
        <v>444</v>
      </c>
      <c r="F445" s="1252" t="s">
        <v>223</v>
      </c>
      <c r="G445" s="1263" t="s">
        <v>152</v>
      </c>
      <c r="H445" s="1316" t="s">
        <v>137</v>
      </c>
      <c r="I445" s="1971" t="s">
        <v>321</v>
      </c>
      <c r="J445" s="1257" t="s">
        <v>160</v>
      </c>
    </row>
    <row r="446" spans="1:10">
      <c r="A446" s="1280" t="s">
        <v>263</v>
      </c>
      <c r="B446" s="1279" t="s">
        <v>136</v>
      </c>
      <c r="C446" s="1313" t="s">
        <v>139</v>
      </c>
      <c r="D446" s="1250" t="s">
        <v>320</v>
      </c>
      <c r="E446" s="1251">
        <v>445</v>
      </c>
      <c r="F446" s="1264">
        <v>5.3</v>
      </c>
      <c r="G446" s="1256" t="s">
        <v>226</v>
      </c>
      <c r="H446" s="1316" t="s">
        <v>137</v>
      </c>
      <c r="I446" s="1971" t="s">
        <v>321</v>
      </c>
      <c r="J446" s="1257" t="s">
        <v>227</v>
      </c>
    </row>
    <row r="447" spans="1:10">
      <c r="A447" s="1278" t="s">
        <v>264</v>
      </c>
      <c r="B447" s="1279" t="s">
        <v>57</v>
      </c>
      <c r="C447" s="1313" t="s">
        <v>139</v>
      </c>
      <c r="D447" s="1250" t="s">
        <v>320</v>
      </c>
      <c r="E447" s="1251">
        <v>446</v>
      </c>
      <c r="F447" s="1264">
        <v>5.4</v>
      </c>
      <c r="G447" s="1263" t="s">
        <v>230</v>
      </c>
      <c r="H447" s="1316" t="s">
        <v>137</v>
      </c>
      <c r="I447" s="1971" t="s">
        <v>321</v>
      </c>
      <c r="J447" s="1257" t="s">
        <v>185</v>
      </c>
    </row>
    <row r="448" spans="1:10">
      <c r="A448" s="1280" t="s">
        <v>265</v>
      </c>
      <c r="B448" s="1279" t="s">
        <v>57</v>
      </c>
      <c r="C448" s="1313" t="s">
        <v>139</v>
      </c>
      <c r="D448" s="1250" t="s">
        <v>320</v>
      </c>
      <c r="E448" s="1251">
        <v>447</v>
      </c>
      <c r="F448" s="1264">
        <v>5.5</v>
      </c>
      <c r="G448" s="1256" t="s">
        <v>156</v>
      </c>
      <c r="H448" s="1316" t="s">
        <v>137</v>
      </c>
      <c r="I448" s="1971" t="s">
        <v>321</v>
      </c>
      <c r="J448" s="1257" t="s">
        <v>176</v>
      </c>
    </row>
    <row r="449" spans="1:10">
      <c r="A449" s="1278" t="s">
        <v>268</v>
      </c>
      <c r="B449" s="1279" t="s">
        <v>156</v>
      </c>
      <c r="C449" s="1313" t="s">
        <v>139</v>
      </c>
      <c r="D449" s="1250" t="s">
        <v>320</v>
      </c>
      <c r="E449" s="1251">
        <v>448</v>
      </c>
      <c r="F449" s="1264">
        <v>5.6</v>
      </c>
      <c r="G449" s="1256" t="s">
        <v>136</v>
      </c>
      <c r="H449" s="1316" t="s">
        <v>137</v>
      </c>
      <c r="I449" s="1971" t="s">
        <v>321</v>
      </c>
      <c r="J449" s="1257" t="s">
        <v>140</v>
      </c>
    </row>
    <row r="450" spans="1:10">
      <c r="A450" s="1280">
        <v>7.5</v>
      </c>
      <c r="B450" s="1279" t="s">
        <v>136</v>
      </c>
      <c r="C450" s="1313" t="s">
        <v>139</v>
      </c>
      <c r="D450" s="1250" t="s">
        <v>320</v>
      </c>
      <c r="E450" s="1251">
        <v>449</v>
      </c>
      <c r="F450" s="1252" t="s">
        <v>236</v>
      </c>
      <c r="G450" s="1263" t="s">
        <v>57</v>
      </c>
      <c r="H450" s="1316" t="s">
        <v>137</v>
      </c>
      <c r="I450" s="1971" t="s">
        <v>321</v>
      </c>
      <c r="J450" s="1257" t="s">
        <v>57</v>
      </c>
    </row>
    <row r="451" spans="1:10">
      <c r="A451" s="1280">
        <v>7.6</v>
      </c>
      <c r="B451" s="1279" t="s">
        <v>136</v>
      </c>
      <c r="C451" s="1313" t="s">
        <v>139</v>
      </c>
      <c r="D451" s="1250" t="s">
        <v>320</v>
      </c>
      <c r="E451" s="1251">
        <v>450</v>
      </c>
      <c r="F451" s="1252" t="s">
        <v>237</v>
      </c>
      <c r="G451" s="1263" t="s">
        <v>147</v>
      </c>
      <c r="H451" s="1316" t="s">
        <v>137</v>
      </c>
      <c r="I451" s="1971" t="s">
        <v>321</v>
      </c>
      <c r="J451" s="1257" t="s">
        <v>172</v>
      </c>
    </row>
    <row r="452" spans="1:10">
      <c r="A452" s="1280">
        <v>7.7</v>
      </c>
      <c r="B452" s="1279" t="s">
        <v>136</v>
      </c>
      <c r="C452" s="1313" t="s">
        <v>139</v>
      </c>
      <c r="D452" s="1250" t="s">
        <v>320</v>
      </c>
      <c r="E452" s="1251">
        <v>451</v>
      </c>
      <c r="F452" s="1252" t="s">
        <v>238</v>
      </c>
      <c r="G452" s="1263" t="s">
        <v>307</v>
      </c>
      <c r="H452" s="1316" t="s">
        <v>137</v>
      </c>
      <c r="I452" s="1971" t="s">
        <v>321</v>
      </c>
      <c r="J452" s="1301" t="s">
        <v>308</v>
      </c>
    </row>
    <row r="453" spans="1:10">
      <c r="A453" s="1280">
        <v>7.8</v>
      </c>
      <c r="B453" s="1279" t="s">
        <v>136</v>
      </c>
      <c r="C453" s="1313" t="s">
        <v>139</v>
      </c>
      <c r="D453" s="1250" t="s">
        <v>320</v>
      </c>
      <c r="E453" s="1251">
        <v>452</v>
      </c>
      <c r="F453" s="1134" t="s">
        <v>239</v>
      </c>
      <c r="G453" s="1256" t="s">
        <v>229</v>
      </c>
      <c r="H453" s="1316" t="s">
        <v>137</v>
      </c>
      <c r="I453" s="1971" t="s">
        <v>321</v>
      </c>
      <c r="J453" s="1257" t="s">
        <v>240</v>
      </c>
    </row>
    <row r="454" spans="1:10">
      <c r="A454" s="1286" t="s">
        <v>276</v>
      </c>
      <c r="B454" s="1279" t="s">
        <v>57</v>
      </c>
      <c r="C454" s="1313" t="s">
        <v>139</v>
      </c>
      <c r="D454" s="1250" t="s">
        <v>320</v>
      </c>
      <c r="E454" s="1251">
        <v>453</v>
      </c>
      <c r="F454" s="1252" t="s">
        <v>242</v>
      </c>
      <c r="G454" s="1263" t="s">
        <v>309</v>
      </c>
      <c r="H454" s="1316" t="s">
        <v>137</v>
      </c>
      <c r="I454" s="1971" t="s">
        <v>321</v>
      </c>
      <c r="J454" s="1285" t="s">
        <v>310</v>
      </c>
    </row>
    <row r="455" spans="1:10">
      <c r="A455" s="1280" t="s">
        <v>277</v>
      </c>
      <c r="B455" s="1279" t="s">
        <v>136</v>
      </c>
      <c r="C455" s="1313" t="s">
        <v>139</v>
      </c>
      <c r="D455" s="1250" t="s">
        <v>320</v>
      </c>
      <c r="E455" s="1251">
        <v>454</v>
      </c>
      <c r="F455" s="1274">
        <v>5.9</v>
      </c>
      <c r="G455" s="1263" t="s">
        <v>136</v>
      </c>
      <c r="H455" s="1316" t="s">
        <v>137</v>
      </c>
      <c r="I455" s="1971" t="s">
        <v>321</v>
      </c>
      <c r="J455" s="1257" t="s">
        <v>140</v>
      </c>
    </row>
    <row r="456" spans="1:10">
      <c r="A456" s="1280" t="s">
        <v>278</v>
      </c>
      <c r="B456" s="1279" t="s">
        <v>136</v>
      </c>
      <c r="C456" s="1313" t="s">
        <v>139</v>
      </c>
      <c r="D456" s="1250" t="s">
        <v>320</v>
      </c>
      <c r="E456" s="1251">
        <v>455</v>
      </c>
      <c r="F456" s="1268" t="s">
        <v>234</v>
      </c>
      <c r="G456" s="1263" t="s">
        <v>322</v>
      </c>
      <c r="H456" s="1316" t="s">
        <v>137</v>
      </c>
      <c r="I456" s="1971" t="s">
        <v>321</v>
      </c>
      <c r="J456" s="1257" t="s">
        <v>312</v>
      </c>
    </row>
    <row r="457" spans="1:10">
      <c r="A457" s="1280" t="s">
        <v>279</v>
      </c>
      <c r="B457" s="1279" t="s">
        <v>136</v>
      </c>
      <c r="C457" s="1313" t="s">
        <v>139</v>
      </c>
      <c r="D457" s="1250" t="s">
        <v>320</v>
      </c>
      <c r="E457" s="1251">
        <v>456</v>
      </c>
      <c r="F457" s="1264">
        <v>5.1100000000000003</v>
      </c>
      <c r="G457" s="1263" t="s">
        <v>304</v>
      </c>
      <c r="H457" s="1316" t="s">
        <v>137</v>
      </c>
      <c r="I457" s="1971" t="s">
        <v>321</v>
      </c>
      <c r="J457" s="1257" t="s">
        <v>314</v>
      </c>
    </row>
    <row r="458" spans="1:10">
      <c r="A458" s="1280">
        <v>7.11</v>
      </c>
      <c r="B458" s="1279" t="s">
        <v>136</v>
      </c>
      <c r="C458" s="1313" t="s">
        <v>139</v>
      </c>
      <c r="D458" s="1250" t="s">
        <v>320</v>
      </c>
      <c r="E458" s="1251">
        <v>457</v>
      </c>
      <c r="F458" s="1264">
        <v>5.12</v>
      </c>
      <c r="G458" s="1263" t="s">
        <v>164</v>
      </c>
      <c r="H458" s="1316" t="s">
        <v>137</v>
      </c>
      <c r="I458" s="1971" t="s">
        <v>321</v>
      </c>
      <c r="J458" s="1257">
        <v>10</v>
      </c>
    </row>
    <row r="459" spans="1:10">
      <c r="A459" s="1280">
        <v>7.12</v>
      </c>
      <c r="B459" s="1279" t="s">
        <v>136</v>
      </c>
      <c r="C459" s="1313" t="s">
        <v>139</v>
      </c>
      <c r="D459" s="1250" t="s">
        <v>320</v>
      </c>
      <c r="E459" s="1251">
        <v>458</v>
      </c>
      <c r="F459" s="1264">
        <v>5.13</v>
      </c>
      <c r="G459" s="1263" t="s">
        <v>323</v>
      </c>
      <c r="H459" s="1316" t="s">
        <v>137</v>
      </c>
      <c r="I459" s="1971" t="s">
        <v>321</v>
      </c>
      <c r="J459" s="1257" t="s">
        <v>316</v>
      </c>
    </row>
    <row r="460" spans="1:10">
      <c r="A460" s="1280">
        <v>7.13</v>
      </c>
      <c r="B460" s="1279" t="s">
        <v>280</v>
      </c>
      <c r="C460" s="1313" t="s">
        <v>139</v>
      </c>
      <c r="D460" s="1250" t="s">
        <v>320</v>
      </c>
      <c r="E460" s="1251">
        <v>459</v>
      </c>
      <c r="F460" s="1264">
        <v>6.1</v>
      </c>
      <c r="G460" s="1263" t="s">
        <v>136</v>
      </c>
      <c r="H460" s="1316" t="s">
        <v>137</v>
      </c>
      <c r="I460" s="1971" t="s">
        <v>321</v>
      </c>
      <c r="J460" s="1257" t="s">
        <v>140</v>
      </c>
    </row>
    <row r="461" spans="1:10">
      <c r="A461" s="1280">
        <v>7.14</v>
      </c>
      <c r="B461" s="1279" t="s">
        <v>136</v>
      </c>
      <c r="C461" s="1313" t="s">
        <v>139</v>
      </c>
      <c r="D461" s="1250" t="s">
        <v>320</v>
      </c>
      <c r="E461" s="1251">
        <v>460</v>
      </c>
      <c r="F461" s="1264">
        <v>6.2</v>
      </c>
      <c r="G461" s="1263" t="s">
        <v>136</v>
      </c>
      <c r="H461" s="1316" t="s">
        <v>137</v>
      </c>
      <c r="I461" s="1971" t="s">
        <v>321</v>
      </c>
      <c r="J461" s="1257" t="s">
        <v>140</v>
      </c>
    </row>
    <row r="462" spans="1:10">
      <c r="A462" s="1280">
        <v>7.15</v>
      </c>
      <c r="B462" s="1279" t="s">
        <v>136</v>
      </c>
      <c r="C462" s="1313" t="s">
        <v>139</v>
      </c>
      <c r="D462" s="1250" t="s">
        <v>320</v>
      </c>
      <c r="E462" s="1251">
        <v>461</v>
      </c>
      <c r="F462" s="1264">
        <v>6.3</v>
      </c>
      <c r="G462" s="1263" t="s">
        <v>190</v>
      </c>
      <c r="H462" s="1316" t="s">
        <v>137</v>
      </c>
      <c r="I462" s="1971" t="s">
        <v>321</v>
      </c>
      <c r="J462" s="1285" t="s">
        <v>191</v>
      </c>
    </row>
    <row r="463" spans="1:10">
      <c r="A463" s="1280">
        <v>7.16</v>
      </c>
      <c r="B463" s="1279" t="s">
        <v>136</v>
      </c>
      <c r="C463" s="1313" t="s">
        <v>139</v>
      </c>
      <c r="D463" s="1250" t="s">
        <v>320</v>
      </c>
      <c r="E463" s="1251">
        <v>462</v>
      </c>
      <c r="F463" s="1264">
        <v>6.4</v>
      </c>
      <c r="G463" s="1263" t="s">
        <v>254</v>
      </c>
      <c r="H463" s="1316" t="s">
        <v>137</v>
      </c>
      <c r="I463" s="1971" t="s">
        <v>321</v>
      </c>
      <c r="J463" s="1257" t="s">
        <v>255</v>
      </c>
    </row>
    <row r="464" spans="1:10">
      <c r="A464" s="1283">
        <v>7.17</v>
      </c>
      <c r="B464" s="1284" t="s">
        <v>212</v>
      </c>
      <c r="C464" s="1313" t="s">
        <v>139</v>
      </c>
      <c r="D464" s="1250" t="s">
        <v>320</v>
      </c>
      <c r="E464" s="1251">
        <v>463</v>
      </c>
      <c r="F464" s="1252" t="s">
        <v>258</v>
      </c>
      <c r="G464" s="1256" t="s">
        <v>147</v>
      </c>
      <c r="H464" s="1316" t="s">
        <v>137</v>
      </c>
      <c r="I464" s="1971" t="s">
        <v>321</v>
      </c>
      <c r="J464" s="1257" t="s">
        <v>172</v>
      </c>
    </row>
    <row r="465" spans="1:10">
      <c r="A465" s="1276" t="s">
        <v>285</v>
      </c>
      <c r="B465" s="1277" t="s">
        <v>136</v>
      </c>
      <c r="C465" s="1313" t="s">
        <v>139</v>
      </c>
      <c r="D465" s="1250" t="s">
        <v>320</v>
      </c>
      <c r="E465" s="1251">
        <v>464</v>
      </c>
      <c r="F465" s="1252" t="s">
        <v>261</v>
      </c>
      <c r="G465" s="1256" t="s">
        <v>262</v>
      </c>
      <c r="H465" s="1316" t="s">
        <v>137</v>
      </c>
      <c r="I465" s="1971" t="s">
        <v>321</v>
      </c>
      <c r="J465" s="1257" t="s">
        <v>172</v>
      </c>
    </row>
    <row r="466" spans="1:10">
      <c r="A466" s="1280" t="s">
        <v>286</v>
      </c>
      <c r="B466" s="1279" t="s">
        <v>136</v>
      </c>
      <c r="C466" s="1313" t="s">
        <v>139</v>
      </c>
      <c r="D466" s="1250" t="s">
        <v>320</v>
      </c>
      <c r="E466" s="1251">
        <v>465</v>
      </c>
      <c r="F466" s="1264">
        <v>6.6</v>
      </c>
      <c r="G466" s="1263" t="s">
        <v>145</v>
      </c>
      <c r="H466" s="1316" t="s">
        <v>137</v>
      </c>
      <c r="I466" s="1971" t="s">
        <v>321</v>
      </c>
      <c r="J466" s="1285" t="s">
        <v>146</v>
      </c>
    </row>
    <row r="467" spans="1:10">
      <c r="A467" s="1280" t="s">
        <v>287</v>
      </c>
      <c r="B467" s="1279" t="s">
        <v>136</v>
      </c>
      <c r="C467" s="1313" t="s">
        <v>139</v>
      </c>
      <c r="D467" s="1250" t="s">
        <v>320</v>
      </c>
      <c r="E467" s="1251">
        <v>466</v>
      </c>
      <c r="F467" s="1264">
        <v>7.1</v>
      </c>
      <c r="G467" s="1263" t="s">
        <v>136</v>
      </c>
      <c r="H467" s="1316" t="s">
        <v>137</v>
      </c>
      <c r="I467" s="1971" t="s">
        <v>321</v>
      </c>
      <c r="J467" s="1257" t="s">
        <v>140</v>
      </c>
    </row>
    <row r="468" spans="1:10">
      <c r="A468" s="1280" t="s">
        <v>288</v>
      </c>
      <c r="B468" s="1279" t="s">
        <v>212</v>
      </c>
      <c r="C468" s="1313" t="s">
        <v>139</v>
      </c>
      <c r="D468" s="1250" t="s">
        <v>320</v>
      </c>
      <c r="E468" s="1251">
        <v>467</v>
      </c>
      <c r="F468" s="1252" t="s">
        <v>266</v>
      </c>
      <c r="G468" s="1256" t="s">
        <v>267</v>
      </c>
      <c r="H468" s="1316" t="s">
        <v>137</v>
      </c>
      <c r="I468" s="1971" t="s">
        <v>321</v>
      </c>
      <c r="J468" s="1257" t="s">
        <v>185</v>
      </c>
    </row>
    <row r="469" spans="1:10">
      <c r="A469" s="1283" t="s">
        <v>290</v>
      </c>
      <c r="B469" s="1284" t="s">
        <v>147</v>
      </c>
      <c r="C469" s="1313" t="s">
        <v>139</v>
      </c>
      <c r="D469" s="1250" t="s">
        <v>320</v>
      </c>
      <c r="E469" s="1251">
        <v>468</v>
      </c>
      <c r="F469" s="1252" t="s">
        <v>269</v>
      </c>
      <c r="G469" s="1256" t="s">
        <v>270</v>
      </c>
      <c r="H469" s="1316" t="s">
        <v>137</v>
      </c>
      <c r="I469" s="1971" t="s">
        <v>321</v>
      </c>
      <c r="J469" s="1257" t="s">
        <v>271</v>
      </c>
    </row>
    <row r="470" spans="1:10">
      <c r="A470" s="965"/>
      <c r="B470" s="965"/>
      <c r="C470" s="1973"/>
      <c r="D470" s="1973"/>
      <c r="E470" s="1251">
        <v>469</v>
      </c>
      <c r="F470" s="1252" t="s">
        <v>272</v>
      </c>
      <c r="G470" s="1263" t="s">
        <v>57</v>
      </c>
      <c r="H470" s="1316" t="s">
        <v>137</v>
      </c>
      <c r="I470" s="1971" t="s">
        <v>321</v>
      </c>
      <c r="J470" s="1257" t="s">
        <v>57</v>
      </c>
    </row>
    <row r="471" spans="1:10">
      <c r="A471" s="965"/>
      <c r="B471" s="965"/>
      <c r="C471" s="1973"/>
      <c r="D471" s="1973"/>
      <c r="E471" s="1251">
        <v>470</v>
      </c>
      <c r="F471" s="1252" t="s">
        <v>273</v>
      </c>
      <c r="G471" s="1263" t="s">
        <v>156</v>
      </c>
      <c r="H471" s="1316" t="s">
        <v>137</v>
      </c>
      <c r="I471" s="1971" t="s">
        <v>321</v>
      </c>
      <c r="J471" s="1257" t="s">
        <v>176</v>
      </c>
    </row>
    <row r="472" spans="1:10">
      <c r="A472" s="1973"/>
      <c r="B472" s="1973"/>
      <c r="C472" s="1973"/>
      <c r="D472" s="1973"/>
      <c r="E472" s="1251">
        <v>471</v>
      </c>
      <c r="F472" s="1252" t="s">
        <v>274</v>
      </c>
      <c r="G472" s="1263" t="s">
        <v>57</v>
      </c>
      <c r="H472" s="1316" t="s">
        <v>137</v>
      </c>
      <c r="I472" s="1971" t="s">
        <v>321</v>
      </c>
      <c r="J472" s="1257" t="s">
        <v>57</v>
      </c>
    </row>
    <row r="473" spans="1:10">
      <c r="A473" s="1973"/>
      <c r="B473" s="1973"/>
      <c r="C473" s="1973"/>
      <c r="D473" s="1973"/>
      <c r="E473" s="1251">
        <v>472</v>
      </c>
      <c r="F473" s="1252" t="s">
        <v>275</v>
      </c>
      <c r="G473" s="1263" t="s">
        <v>156</v>
      </c>
      <c r="H473" s="1316" t="s">
        <v>137</v>
      </c>
      <c r="I473" s="1971" t="s">
        <v>321</v>
      </c>
      <c r="J473" s="1257" t="s">
        <v>176</v>
      </c>
    </row>
    <row r="474" spans="1:10">
      <c r="A474" s="965"/>
      <c r="B474" s="965"/>
      <c r="C474" s="1973"/>
      <c r="D474" s="1973"/>
      <c r="E474" s="1251">
        <v>473</v>
      </c>
      <c r="F474" s="1264">
        <v>7.5</v>
      </c>
      <c r="G474" s="1263" t="s">
        <v>136</v>
      </c>
      <c r="H474" s="1316" t="s">
        <v>137</v>
      </c>
      <c r="I474" s="1971" t="s">
        <v>321</v>
      </c>
      <c r="J474" s="1257" t="s">
        <v>140</v>
      </c>
    </row>
    <row r="475" spans="1:10">
      <c r="A475" s="965"/>
      <c r="B475" s="965"/>
      <c r="C475" s="1973"/>
      <c r="D475" s="1973"/>
      <c r="E475" s="1251">
        <v>474</v>
      </c>
      <c r="F475" s="1264">
        <v>7.6</v>
      </c>
      <c r="G475" s="1263" t="s">
        <v>136</v>
      </c>
      <c r="H475" s="1316" t="s">
        <v>137</v>
      </c>
      <c r="I475" s="1971" t="s">
        <v>321</v>
      </c>
      <c r="J475" s="1257" t="s">
        <v>140</v>
      </c>
    </row>
    <row r="476" spans="1:10">
      <c r="A476" s="965"/>
      <c r="B476" s="965"/>
      <c r="C476" s="1973"/>
      <c r="D476" s="1973"/>
      <c r="E476" s="1251">
        <v>475</v>
      </c>
      <c r="F476" s="1264">
        <v>7.7</v>
      </c>
      <c r="G476" s="1263" t="s">
        <v>136</v>
      </c>
      <c r="H476" s="1316" t="s">
        <v>137</v>
      </c>
      <c r="I476" s="1971" t="s">
        <v>321</v>
      </c>
      <c r="J476" s="1257" t="s">
        <v>140</v>
      </c>
    </row>
    <row r="477" spans="1:10">
      <c r="A477" s="965"/>
      <c r="B477" s="965"/>
      <c r="C477" s="1973"/>
      <c r="D477" s="1973"/>
      <c r="E477" s="1251">
        <v>476</v>
      </c>
      <c r="F477" s="1264">
        <v>7.8</v>
      </c>
      <c r="G477" s="1263" t="s">
        <v>136</v>
      </c>
      <c r="H477" s="1316" t="s">
        <v>137</v>
      </c>
      <c r="I477" s="1971" t="s">
        <v>321</v>
      </c>
      <c r="J477" s="1257" t="s">
        <v>140</v>
      </c>
    </row>
    <row r="478" spans="1:10">
      <c r="A478" s="965"/>
      <c r="B478" s="965"/>
      <c r="C478" s="1973"/>
      <c r="D478" s="1973"/>
      <c r="E478" s="1251">
        <v>477</v>
      </c>
      <c r="F478" s="1264">
        <v>7.9</v>
      </c>
      <c r="G478" s="1263" t="s">
        <v>136</v>
      </c>
      <c r="H478" s="1316" t="s">
        <v>137</v>
      </c>
      <c r="I478" s="1971" t="s">
        <v>321</v>
      </c>
      <c r="J478" s="1257" t="s">
        <v>140</v>
      </c>
    </row>
    <row r="479" spans="1:10">
      <c r="A479" s="965"/>
      <c r="B479" s="965"/>
      <c r="C479" s="965"/>
      <c r="D479" s="1973"/>
      <c r="E479" s="1251">
        <v>478</v>
      </c>
      <c r="F479" s="1268" t="s">
        <v>279</v>
      </c>
      <c r="G479" s="1263" t="s">
        <v>317</v>
      </c>
      <c r="H479" s="1316" t="s">
        <v>137</v>
      </c>
      <c r="I479" s="1971" t="s">
        <v>321</v>
      </c>
      <c r="J479" s="1257" t="s">
        <v>185</v>
      </c>
    </row>
    <row r="480" spans="1:10">
      <c r="A480" s="965"/>
      <c r="B480" s="965"/>
      <c r="C480" s="965"/>
      <c r="D480" s="1973"/>
      <c r="E480" s="1251">
        <v>479</v>
      </c>
      <c r="F480" s="1264">
        <v>7.11</v>
      </c>
      <c r="G480" s="1263" t="s">
        <v>136</v>
      </c>
      <c r="H480" s="1316" t="s">
        <v>137</v>
      </c>
      <c r="I480" s="1971" t="s">
        <v>321</v>
      </c>
      <c r="J480" s="1257" t="s">
        <v>140</v>
      </c>
    </row>
    <row r="481" spans="1:10">
      <c r="A481" s="965"/>
      <c r="B481" s="965"/>
      <c r="C481" s="965"/>
      <c r="D481" s="1973"/>
      <c r="E481" s="1251">
        <v>480</v>
      </c>
      <c r="F481" s="1264">
        <v>7.12</v>
      </c>
      <c r="G481" s="1263" t="s">
        <v>136</v>
      </c>
      <c r="H481" s="1316" t="s">
        <v>137</v>
      </c>
      <c r="I481" s="1971" t="s">
        <v>321</v>
      </c>
      <c r="J481" s="1257" t="s">
        <v>140</v>
      </c>
    </row>
    <row r="482" spans="1:10">
      <c r="A482" s="965"/>
      <c r="B482" s="965"/>
      <c r="C482" s="1973"/>
      <c r="D482" s="1973"/>
      <c r="E482" s="1251">
        <v>481</v>
      </c>
      <c r="F482" s="1252" t="s">
        <v>281</v>
      </c>
      <c r="G482" s="1263" t="s">
        <v>57</v>
      </c>
      <c r="H482" s="1316" t="s">
        <v>137</v>
      </c>
      <c r="I482" s="1971" t="s">
        <v>321</v>
      </c>
      <c r="J482" s="1257" t="s">
        <v>57</v>
      </c>
    </row>
    <row r="483" spans="1:10">
      <c r="A483" s="965"/>
      <c r="B483" s="965"/>
      <c r="C483" s="1973"/>
      <c r="D483" s="1973"/>
      <c r="E483" s="1251">
        <v>482</v>
      </c>
      <c r="F483" s="1252" t="s">
        <v>282</v>
      </c>
      <c r="G483" s="1263" t="s">
        <v>318</v>
      </c>
      <c r="H483" s="1316" t="s">
        <v>137</v>
      </c>
      <c r="I483" s="1971" t="s">
        <v>321</v>
      </c>
      <c r="J483" s="1257" t="s">
        <v>57</v>
      </c>
    </row>
    <row r="484" spans="1:10">
      <c r="A484" s="965"/>
      <c r="B484" s="965"/>
      <c r="C484" s="965"/>
      <c r="D484" s="1973"/>
      <c r="E484" s="1251">
        <v>483</v>
      </c>
      <c r="F484" s="1264">
        <v>7.14</v>
      </c>
      <c r="G484" s="1263" t="s">
        <v>136</v>
      </c>
      <c r="H484" s="1316" t="s">
        <v>137</v>
      </c>
      <c r="I484" s="1971" t="s">
        <v>321</v>
      </c>
      <c r="J484" s="1257" t="s">
        <v>140</v>
      </c>
    </row>
    <row r="485" spans="1:10">
      <c r="A485" s="965"/>
      <c r="B485" s="965"/>
      <c r="C485" s="965"/>
      <c r="D485" s="1973"/>
      <c r="E485" s="1251">
        <v>484</v>
      </c>
      <c r="F485" s="1264">
        <v>7.15</v>
      </c>
      <c r="G485" s="1263" t="s">
        <v>136</v>
      </c>
      <c r="H485" s="1316" t="s">
        <v>137</v>
      </c>
      <c r="I485" s="1971" t="s">
        <v>321</v>
      </c>
      <c r="J485" s="1257" t="s">
        <v>140</v>
      </c>
    </row>
    <row r="486" spans="1:10">
      <c r="A486" s="965"/>
      <c r="B486" s="965"/>
      <c r="C486" s="1973"/>
      <c r="D486" s="1973"/>
      <c r="E486" s="1251">
        <v>485</v>
      </c>
      <c r="F486" s="1264">
        <v>7.16</v>
      </c>
      <c r="G486" s="1263" t="s">
        <v>136</v>
      </c>
      <c r="H486" s="1316" t="s">
        <v>137</v>
      </c>
      <c r="I486" s="1971" t="s">
        <v>321</v>
      </c>
      <c r="J486" s="1257" t="s">
        <v>140</v>
      </c>
    </row>
    <row r="487" spans="1:10">
      <c r="A487" s="965"/>
      <c r="B487" s="965"/>
      <c r="C487" s="1973"/>
      <c r="D487" s="1973"/>
      <c r="E487" s="1251">
        <v>486</v>
      </c>
      <c r="F487" s="1264">
        <v>7.17</v>
      </c>
      <c r="G487" s="1263" t="s">
        <v>136</v>
      </c>
      <c r="H487" s="1316" t="s">
        <v>137</v>
      </c>
      <c r="I487" s="1971" t="s">
        <v>321</v>
      </c>
      <c r="J487" s="1257" t="s">
        <v>140</v>
      </c>
    </row>
    <row r="488" spans="1:10">
      <c r="A488" s="1973"/>
      <c r="B488" s="1973"/>
      <c r="C488" s="1973"/>
      <c r="D488" s="1973"/>
      <c r="E488" s="1251">
        <v>487</v>
      </c>
      <c r="F488" s="1252" t="s">
        <v>289</v>
      </c>
      <c r="G488" s="1263" t="s">
        <v>136</v>
      </c>
      <c r="H488" s="1316" t="s">
        <v>137</v>
      </c>
      <c r="I488" s="1971" t="s">
        <v>321</v>
      </c>
      <c r="J488" s="1257" t="s">
        <v>140</v>
      </c>
    </row>
    <row r="489" spans="1:10">
      <c r="A489" s="1973"/>
      <c r="B489" s="1973"/>
      <c r="C489" s="1973"/>
      <c r="D489" s="1973"/>
      <c r="E489" s="1251">
        <v>488</v>
      </c>
      <c r="F489" s="1252" t="s">
        <v>291</v>
      </c>
      <c r="G489" s="1256" t="s">
        <v>212</v>
      </c>
      <c r="H489" s="1316" t="s">
        <v>137</v>
      </c>
      <c r="I489" s="1971" t="s">
        <v>321</v>
      </c>
      <c r="J489" s="1257" t="s">
        <v>213</v>
      </c>
    </row>
    <row r="490" spans="1:10">
      <c r="A490" s="965"/>
      <c r="B490" s="965"/>
      <c r="C490" s="1973"/>
      <c r="D490" s="1973"/>
      <c r="E490" s="1251">
        <v>489</v>
      </c>
      <c r="F490" s="1264">
        <v>8.1999999999999993</v>
      </c>
      <c r="G490" s="1263" t="s">
        <v>293</v>
      </c>
      <c r="H490" s="1316" t="s">
        <v>137</v>
      </c>
      <c r="I490" s="1971" t="s">
        <v>321</v>
      </c>
      <c r="J490" s="1257" t="s">
        <v>294</v>
      </c>
    </row>
    <row r="491" spans="1:10">
      <c r="A491" s="965"/>
      <c r="B491" s="965"/>
      <c r="C491" s="1973"/>
      <c r="D491" s="1973"/>
      <c r="E491" s="1251">
        <v>490</v>
      </c>
      <c r="F491" s="1264">
        <v>8.3000000000000007</v>
      </c>
      <c r="G491" s="1263" t="s">
        <v>136</v>
      </c>
      <c r="H491" s="1316" t="s">
        <v>137</v>
      </c>
      <c r="I491" s="1971" t="s">
        <v>321</v>
      </c>
      <c r="J491" s="1257" t="s">
        <v>140</v>
      </c>
    </row>
    <row r="492" spans="1:10">
      <c r="A492" s="965"/>
      <c r="B492" s="965"/>
      <c r="C492" s="1973"/>
      <c r="D492" s="1973"/>
      <c r="E492" s="1251">
        <v>491</v>
      </c>
      <c r="F492" s="1264">
        <v>8.4</v>
      </c>
      <c r="G492" s="1263" t="s">
        <v>295</v>
      </c>
      <c r="H492" s="1316" t="s">
        <v>137</v>
      </c>
      <c r="I492" s="1971" t="s">
        <v>321</v>
      </c>
      <c r="J492" s="1257" t="s">
        <v>296</v>
      </c>
    </row>
    <row r="493" spans="1:10">
      <c r="A493" s="965"/>
      <c r="B493" s="965"/>
      <c r="C493" s="1973"/>
      <c r="D493" s="1973"/>
      <c r="E493" s="1251">
        <v>492</v>
      </c>
      <c r="F493" s="1264">
        <v>8.5</v>
      </c>
      <c r="G493" s="1263" t="s">
        <v>136</v>
      </c>
      <c r="H493" s="1316" t="s">
        <v>137</v>
      </c>
      <c r="I493" s="1971" t="s">
        <v>321</v>
      </c>
      <c r="J493" s="1257" t="s">
        <v>140</v>
      </c>
    </row>
  </sheetData>
  <autoFilter ref="A1:J493"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H28"/>
  <sheetViews>
    <sheetView workbookViewId="0" xr3:uid="{842E5F09-E766-5B8D-85AF-A39847EA96FD}">
      <selection activeCell="C85" sqref="C85"/>
    </sheetView>
  </sheetViews>
  <sheetFormatPr defaultColWidth="9.140625" defaultRowHeight="14.45"/>
  <cols>
    <col min="1" max="1" width="7.85546875" style="615" bestFit="1" customWidth="1"/>
    <col min="2" max="2" width="17" style="615" bestFit="1" customWidth="1"/>
    <col min="3" max="3" width="9.140625" style="615"/>
    <col min="4" max="4" width="12.5703125" style="615" bestFit="1" customWidth="1"/>
    <col min="5" max="5" width="24.85546875" style="615" bestFit="1" customWidth="1"/>
    <col min="6" max="6" width="23.85546875" style="615" bestFit="1" customWidth="1"/>
    <col min="7" max="7" width="24.85546875" style="615" bestFit="1" customWidth="1"/>
    <col min="8" max="8" width="24" style="615" bestFit="1" customWidth="1"/>
    <col min="9" max="9" width="23" style="615" bestFit="1" customWidth="1"/>
    <col min="10" max="10" width="24" style="615" bestFit="1" customWidth="1"/>
    <col min="11" max="11" width="26.28515625" style="615" bestFit="1" customWidth="1"/>
    <col min="12" max="12" width="25.140625" style="615" bestFit="1" customWidth="1"/>
    <col min="13" max="13" width="26.28515625" style="615" bestFit="1" customWidth="1"/>
    <col min="14" max="14" width="25.28515625" style="615" bestFit="1" customWidth="1"/>
    <col min="15" max="15" width="24.28515625" style="615" bestFit="1" customWidth="1"/>
    <col min="16" max="16" width="25.28515625" style="615" bestFit="1" customWidth="1"/>
    <col min="17" max="17" width="26.140625" style="615" bestFit="1" customWidth="1"/>
    <col min="18" max="18" width="25" style="615" bestFit="1" customWidth="1"/>
    <col min="19" max="19" width="26.140625" style="615" bestFit="1" customWidth="1"/>
    <col min="20" max="20" width="25.140625" style="615" bestFit="1" customWidth="1"/>
    <col min="21" max="21" width="24.140625" style="615" bestFit="1" customWidth="1"/>
    <col min="22" max="22" width="25.140625" style="615" bestFit="1" customWidth="1"/>
    <col min="23" max="23" width="24.85546875" style="615" bestFit="1" customWidth="1"/>
    <col min="24" max="24" width="23.85546875" style="615" bestFit="1" customWidth="1"/>
    <col min="25" max="25" width="24.85546875" style="615" bestFit="1" customWidth="1"/>
    <col min="26" max="26" width="24" style="615" bestFit="1" customWidth="1"/>
    <col min="27" max="27" width="23" style="615" bestFit="1" customWidth="1"/>
    <col min="28" max="28" width="24" style="615" bestFit="1" customWidth="1"/>
    <col min="29" max="29" width="26.28515625" style="615" bestFit="1" customWidth="1"/>
    <col min="30" max="30" width="25.140625" style="615" bestFit="1" customWidth="1"/>
    <col min="31" max="31" width="26.28515625" style="615" bestFit="1" customWidth="1"/>
    <col min="32" max="32" width="25.28515625" style="615" bestFit="1" customWidth="1"/>
    <col min="33" max="33" width="24.28515625" style="615" bestFit="1" customWidth="1"/>
    <col min="34" max="34" width="25.28515625" style="615" bestFit="1" customWidth="1"/>
    <col min="35" max="35" width="26.140625" style="615" bestFit="1" customWidth="1"/>
    <col min="36" max="36" width="25" style="615" bestFit="1" customWidth="1"/>
    <col min="37" max="37" width="26.140625" style="615" bestFit="1" customWidth="1"/>
    <col min="38" max="38" width="25.140625" style="615" bestFit="1" customWidth="1"/>
    <col min="39" max="39" width="24.140625" style="615" bestFit="1" customWidth="1"/>
    <col min="40" max="40" width="25.140625" style="615" bestFit="1" customWidth="1"/>
    <col min="41" max="41" width="26.28515625" style="615" bestFit="1" customWidth="1"/>
    <col min="42" max="42" width="25.140625" style="615" bestFit="1" customWidth="1"/>
    <col min="43" max="43" width="26.28515625" style="615" bestFit="1" customWidth="1"/>
    <col min="44" max="44" width="25.28515625" style="615" bestFit="1" customWidth="1"/>
    <col min="45" max="45" width="24.28515625" style="615" bestFit="1" customWidth="1"/>
    <col min="46" max="46" width="25.28515625" style="615" bestFit="1" customWidth="1"/>
    <col min="47" max="47" width="26.140625" style="615" bestFit="1" customWidth="1"/>
    <col min="48" max="48" width="25" style="615" bestFit="1" customWidth="1"/>
    <col min="49" max="49" width="26.140625" style="615" bestFit="1" customWidth="1"/>
    <col min="50" max="50" width="25.140625" style="615" bestFit="1" customWidth="1"/>
    <col min="51" max="51" width="24.140625" style="615" bestFit="1" customWidth="1"/>
    <col min="52" max="52" width="25.140625" style="615" bestFit="1" customWidth="1"/>
    <col min="53" max="53" width="26.28515625" style="615" bestFit="1" customWidth="1"/>
    <col min="54" max="54" width="25.140625" style="615" bestFit="1" customWidth="1"/>
    <col min="55" max="55" width="26.28515625" style="615" bestFit="1" customWidth="1"/>
    <col min="56" max="56" width="25.28515625" style="615" bestFit="1" customWidth="1"/>
    <col min="57" max="57" width="24.28515625" style="615" bestFit="1" customWidth="1"/>
    <col min="58" max="58" width="25.28515625" style="615" bestFit="1" customWidth="1"/>
    <col min="59" max="59" width="26.140625" style="615" bestFit="1" customWidth="1"/>
    <col min="60" max="60" width="25" style="615" bestFit="1" customWidth="1"/>
    <col min="61" max="61" width="26.140625" style="615" bestFit="1" customWidth="1"/>
    <col min="62" max="62" width="25.140625" style="615" bestFit="1" customWidth="1"/>
    <col min="63" max="63" width="24.140625" style="615" bestFit="1" customWidth="1"/>
    <col min="64" max="64" width="25.140625" style="615" bestFit="1" customWidth="1"/>
    <col min="65" max="65" width="26.28515625" style="615" bestFit="1" customWidth="1"/>
    <col min="66" max="66" width="25.140625" style="615" bestFit="1" customWidth="1"/>
    <col min="67" max="67" width="26.28515625" style="615" bestFit="1" customWidth="1"/>
    <col min="68" max="68" width="25.28515625" style="615" bestFit="1" customWidth="1"/>
    <col min="69" max="69" width="24.28515625" style="615" bestFit="1" customWidth="1"/>
    <col min="70" max="70" width="25.28515625" style="615" bestFit="1" customWidth="1"/>
    <col min="71" max="71" width="26.140625" style="615" bestFit="1" customWidth="1"/>
    <col min="72" max="72" width="25" style="615" bestFit="1" customWidth="1"/>
    <col min="73" max="73" width="26.140625" style="615" bestFit="1" customWidth="1"/>
    <col min="74" max="74" width="25.140625" style="615" bestFit="1" customWidth="1"/>
    <col min="75" max="75" width="24.140625" style="615" bestFit="1" customWidth="1"/>
    <col min="76" max="76" width="25.140625" style="615" bestFit="1" customWidth="1"/>
    <col min="77" max="77" width="26" style="615" bestFit="1" customWidth="1"/>
    <col min="78" max="78" width="24.85546875" style="615" bestFit="1" customWidth="1"/>
    <col min="79" max="79" width="26" style="615" bestFit="1" customWidth="1"/>
    <col min="80" max="80" width="25" style="615" bestFit="1" customWidth="1"/>
    <col min="81" max="81" width="24" style="615" bestFit="1" customWidth="1"/>
    <col min="82" max="82" width="25" style="615" bestFit="1" customWidth="1"/>
    <col min="83" max="83" width="26" style="615" bestFit="1" customWidth="1"/>
    <col min="84" max="84" width="24.85546875" style="615" bestFit="1" customWidth="1"/>
    <col min="85" max="85" width="26" style="615" bestFit="1" customWidth="1"/>
    <col min="86" max="86" width="25" style="615" bestFit="1" customWidth="1"/>
    <col min="87" max="87" width="24" style="615" bestFit="1" customWidth="1"/>
    <col min="88" max="88" width="25" style="615" bestFit="1" customWidth="1"/>
    <col min="89" max="89" width="26" style="615" bestFit="1" customWidth="1"/>
    <col min="90" max="90" width="24.85546875" style="615" bestFit="1" customWidth="1"/>
    <col min="91" max="91" width="26" style="615" bestFit="1" customWidth="1"/>
    <col min="92" max="92" width="25" style="615" bestFit="1" customWidth="1"/>
    <col min="93" max="93" width="24" style="615" bestFit="1" customWidth="1"/>
    <col min="94" max="94" width="25" style="615" bestFit="1" customWidth="1"/>
    <col min="95" max="95" width="26" style="615" bestFit="1" customWidth="1"/>
    <col min="96" max="96" width="24.85546875" style="615" bestFit="1" customWidth="1"/>
    <col min="97" max="97" width="26" style="615" bestFit="1" customWidth="1"/>
    <col min="98" max="98" width="25" style="615" bestFit="1" customWidth="1"/>
    <col min="99" max="99" width="24" style="615" bestFit="1" customWidth="1"/>
    <col min="100" max="100" width="25" style="615" bestFit="1" customWidth="1"/>
    <col min="101" max="101" width="26.28515625" style="615" bestFit="1" customWidth="1"/>
    <col min="102" max="102" width="25.140625" style="615" bestFit="1" customWidth="1"/>
    <col min="103" max="103" width="26.28515625" style="615" bestFit="1" customWidth="1"/>
    <col min="104" max="104" width="25.28515625" style="615" bestFit="1" customWidth="1"/>
    <col min="105" max="105" width="24.28515625" style="615" bestFit="1" customWidth="1"/>
    <col min="106" max="106" width="25.28515625" style="615" bestFit="1" customWidth="1"/>
    <col min="107" max="107" width="26.140625" style="615" bestFit="1" customWidth="1"/>
    <col min="108" max="108" width="25" style="615" bestFit="1" customWidth="1"/>
    <col min="109" max="109" width="26.140625" style="615" bestFit="1" customWidth="1"/>
    <col min="110" max="110" width="25.140625" style="615" bestFit="1" customWidth="1"/>
    <col min="111" max="111" width="24.140625" style="615" bestFit="1" customWidth="1"/>
    <col min="112" max="112" width="25.140625" style="615" bestFit="1" customWidth="1"/>
    <col min="113" max="113" width="26.28515625" style="615" bestFit="1" customWidth="1"/>
    <col min="114" max="114" width="25.140625" style="615" bestFit="1" customWidth="1"/>
    <col min="115" max="115" width="26.28515625" style="615" bestFit="1" customWidth="1"/>
    <col min="116" max="116" width="25.28515625" style="615" bestFit="1" customWidth="1"/>
    <col min="117" max="117" width="24.28515625" style="615" bestFit="1" customWidth="1"/>
    <col min="118" max="118" width="25.28515625" style="615" bestFit="1" customWidth="1"/>
    <col min="119" max="119" width="26.140625" style="615" bestFit="1" customWidth="1"/>
    <col min="120" max="120" width="25" style="615" bestFit="1" customWidth="1"/>
    <col min="121" max="121" width="26.140625" style="615" bestFit="1" customWidth="1"/>
    <col min="122" max="122" width="25.140625" style="615" bestFit="1" customWidth="1"/>
    <col min="123" max="123" width="24.140625" style="615" bestFit="1" customWidth="1"/>
    <col min="124" max="124" width="25.140625" style="615" bestFit="1" customWidth="1"/>
    <col min="125" max="125" width="27.28515625" style="615" bestFit="1" customWidth="1"/>
    <col min="126" max="126" width="26.28515625" style="615" bestFit="1" customWidth="1"/>
    <col min="127" max="127" width="27.28515625" style="615" bestFit="1" customWidth="1"/>
    <col min="128" max="128" width="26.42578125" style="615" bestFit="1" customWidth="1"/>
    <col min="129" max="129" width="25.28515625" style="615" bestFit="1" customWidth="1"/>
    <col min="130" max="130" width="26.42578125" style="615" bestFit="1" customWidth="1"/>
    <col min="131" max="131" width="27.140625" style="615" bestFit="1" customWidth="1"/>
    <col min="132" max="132" width="26.140625" style="615" bestFit="1" customWidth="1"/>
    <col min="133" max="133" width="27.140625" style="615" bestFit="1" customWidth="1"/>
    <col min="134" max="134" width="26.28515625" style="615" bestFit="1" customWidth="1"/>
    <col min="135" max="135" width="25.140625" style="615" bestFit="1" customWidth="1"/>
    <col min="136" max="136" width="26.28515625" style="615" bestFit="1" customWidth="1"/>
    <col min="137" max="16384" width="9.140625" style="615"/>
  </cols>
  <sheetData>
    <row r="1" spans="1:138">
      <c r="A1" s="1317" t="s">
        <v>131</v>
      </c>
      <c r="B1" s="1317" t="s">
        <v>132</v>
      </c>
      <c r="C1" s="1971"/>
      <c r="D1" s="1971"/>
      <c r="E1" s="1317" t="s">
        <v>327</v>
      </c>
      <c r="F1" s="1317" t="s">
        <v>328</v>
      </c>
      <c r="G1" s="1317" t="s">
        <v>329</v>
      </c>
      <c r="H1" s="1317" t="s">
        <v>330</v>
      </c>
      <c r="I1" s="1317" t="s">
        <v>331</v>
      </c>
      <c r="J1" s="1317" t="s">
        <v>332</v>
      </c>
      <c r="K1" s="1317" t="s">
        <v>333</v>
      </c>
      <c r="L1" s="1317" t="s">
        <v>334</v>
      </c>
      <c r="M1" s="1317" t="s">
        <v>335</v>
      </c>
      <c r="N1" s="1317" t="s">
        <v>336</v>
      </c>
      <c r="O1" s="1317" t="s">
        <v>337</v>
      </c>
      <c r="P1" s="1317" t="s">
        <v>338</v>
      </c>
      <c r="Q1" s="1317" t="s">
        <v>339</v>
      </c>
      <c r="R1" s="1317" t="s">
        <v>340</v>
      </c>
      <c r="S1" s="1317" t="s">
        <v>341</v>
      </c>
      <c r="T1" s="1317" t="s">
        <v>342</v>
      </c>
      <c r="U1" s="1317" t="s">
        <v>343</v>
      </c>
      <c r="V1" s="1317" t="s">
        <v>344</v>
      </c>
      <c r="W1" s="1317" t="s">
        <v>345</v>
      </c>
      <c r="X1" s="1317" t="s">
        <v>346</v>
      </c>
      <c r="Y1" s="1317" t="s">
        <v>347</v>
      </c>
      <c r="Z1" s="1317" t="s">
        <v>348</v>
      </c>
      <c r="AA1" s="1317" t="s">
        <v>349</v>
      </c>
      <c r="AB1" s="1317" t="s">
        <v>350</v>
      </c>
      <c r="AC1" s="1317" t="s">
        <v>351</v>
      </c>
      <c r="AD1" s="1317" t="s">
        <v>352</v>
      </c>
      <c r="AE1" s="1317" t="s">
        <v>353</v>
      </c>
      <c r="AF1" s="1317" t="s">
        <v>354</v>
      </c>
      <c r="AG1" s="1317" t="s">
        <v>355</v>
      </c>
      <c r="AH1" s="1317" t="s">
        <v>356</v>
      </c>
      <c r="AI1" s="1317" t="s">
        <v>357</v>
      </c>
      <c r="AJ1" s="1317" t="s">
        <v>358</v>
      </c>
      <c r="AK1" s="1317" t="s">
        <v>359</v>
      </c>
      <c r="AL1" s="1317" t="s">
        <v>360</v>
      </c>
      <c r="AM1" s="1317" t="s">
        <v>361</v>
      </c>
      <c r="AN1" s="1317" t="s">
        <v>362</v>
      </c>
      <c r="AO1" s="1317" t="s">
        <v>363</v>
      </c>
      <c r="AP1" s="1317" t="s">
        <v>364</v>
      </c>
      <c r="AQ1" s="1317" t="s">
        <v>365</v>
      </c>
      <c r="AR1" s="1317" t="s">
        <v>366</v>
      </c>
      <c r="AS1" s="1317" t="s">
        <v>367</v>
      </c>
      <c r="AT1" s="1317" t="s">
        <v>368</v>
      </c>
      <c r="AU1" s="1317" t="s">
        <v>369</v>
      </c>
      <c r="AV1" s="1317" t="s">
        <v>370</v>
      </c>
      <c r="AW1" s="1317" t="s">
        <v>371</v>
      </c>
      <c r="AX1" s="1317" t="s">
        <v>372</v>
      </c>
      <c r="AY1" s="1317" t="s">
        <v>373</v>
      </c>
      <c r="AZ1" s="1317" t="s">
        <v>374</v>
      </c>
      <c r="BA1" s="1317" t="s">
        <v>375</v>
      </c>
      <c r="BB1" s="1317" t="s">
        <v>376</v>
      </c>
      <c r="BC1" s="1317" t="s">
        <v>377</v>
      </c>
      <c r="BD1" s="1317" t="s">
        <v>378</v>
      </c>
      <c r="BE1" s="1317" t="s">
        <v>379</v>
      </c>
      <c r="BF1" s="1317" t="s">
        <v>380</v>
      </c>
      <c r="BG1" s="1317" t="s">
        <v>381</v>
      </c>
      <c r="BH1" s="1317" t="s">
        <v>382</v>
      </c>
      <c r="BI1" s="1317" t="s">
        <v>383</v>
      </c>
      <c r="BJ1" s="1317" t="s">
        <v>384</v>
      </c>
      <c r="BK1" s="1317" t="s">
        <v>385</v>
      </c>
      <c r="BL1" s="1317" t="s">
        <v>386</v>
      </c>
      <c r="BM1" s="1317" t="s">
        <v>387</v>
      </c>
      <c r="BN1" s="1317" t="s">
        <v>388</v>
      </c>
      <c r="BO1" s="1317" t="s">
        <v>389</v>
      </c>
      <c r="BP1" s="1317" t="s">
        <v>390</v>
      </c>
      <c r="BQ1" s="1317" t="s">
        <v>391</v>
      </c>
      <c r="BR1" s="1317" t="s">
        <v>392</v>
      </c>
      <c r="BS1" s="1317" t="s">
        <v>393</v>
      </c>
      <c r="BT1" s="1317" t="s">
        <v>394</v>
      </c>
      <c r="BU1" s="1317" t="s">
        <v>395</v>
      </c>
      <c r="BV1" s="1317" t="s">
        <v>396</v>
      </c>
      <c r="BW1" s="1317" t="s">
        <v>397</v>
      </c>
      <c r="BX1" s="1317" t="s">
        <v>398</v>
      </c>
      <c r="BY1" s="1317" t="s">
        <v>399</v>
      </c>
      <c r="BZ1" s="1317" t="s">
        <v>400</v>
      </c>
      <c r="CA1" s="1317" t="s">
        <v>401</v>
      </c>
      <c r="CB1" s="1317" t="s">
        <v>402</v>
      </c>
      <c r="CC1" s="1317" t="s">
        <v>403</v>
      </c>
      <c r="CD1" s="1317" t="s">
        <v>404</v>
      </c>
      <c r="CE1" s="1317" t="s">
        <v>405</v>
      </c>
      <c r="CF1" s="1317" t="s">
        <v>406</v>
      </c>
      <c r="CG1" s="1317" t="s">
        <v>407</v>
      </c>
      <c r="CH1" s="1317" t="s">
        <v>408</v>
      </c>
      <c r="CI1" s="1317" t="s">
        <v>409</v>
      </c>
      <c r="CJ1" s="1317" t="s">
        <v>410</v>
      </c>
      <c r="CK1" s="1317" t="s">
        <v>411</v>
      </c>
      <c r="CL1" s="1317" t="s">
        <v>412</v>
      </c>
      <c r="CM1" s="1317" t="s">
        <v>413</v>
      </c>
      <c r="CN1" s="1317" t="s">
        <v>414</v>
      </c>
      <c r="CO1" s="1317" t="s">
        <v>415</v>
      </c>
      <c r="CP1" s="1317" t="s">
        <v>416</v>
      </c>
      <c r="CQ1" s="1317" t="s">
        <v>417</v>
      </c>
      <c r="CR1" s="1317" t="s">
        <v>418</v>
      </c>
      <c r="CS1" s="1317" t="s">
        <v>419</v>
      </c>
      <c r="CT1" s="1317" t="s">
        <v>420</v>
      </c>
      <c r="CU1" s="1317" t="s">
        <v>421</v>
      </c>
      <c r="CV1" s="1317" t="s">
        <v>422</v>
      </c>
      <c r="CW1" s="1317" t="s">
        <v>423</v>
      </c>
      <c r="CX1" s="1317" t="s">
        <v>424</v>
      </c>
      <c r="CY1" s="1317" t="s">
        <v>425</v>
      </c>
      <c r="CZ1" s="1317" t="s">
        <v>426</v>
      </c>
      <c r="DA1" s="1317" t="s">
        <v>427</v>
      </c>
      <c r="DB1" s="1317" t="s">
        <v>428</v>
      </c>
      <c r="DC1" s="1317" t="s">
        <v>429</v>
      </c>
      <c r="DD1" s="1317" t="s">
        <v>430</v>
      </c>
      <c r="DE1" s="1317" t="s">
        <v>431</v>
      </c>
      <c r="DF1" s="1317" t="s">
        <v>432</v>
      </c>
      <c r="DG1" s="1317" t="s">
        <v>433</v>
      </c>
      <c r="DH1" s="1317" t="s">
        <v>434</v>
      </c>
      <c r="DI1" s="1317" t="s">
        <v>435</v>
      </c>
      <c r="DJ1" s="1317" t="s">
        <v>436</v>
      </c>
      <c r="DK1" s="1317" t="s">
        <v>437</v>
      </c>
      <c r="DL1" s="1317" t="s">
        <v>438</v>
      </c>
      <c r="DM1" s="1317" t="s">
        <v>439</v>
      </c>
      <c r="DN1" s="1317" t="s">
        <v>440</v>
      </c>
      <c r="DO1" s="1317" t="s">
        <v>441</v>
      </c>
      <c r="DP1" s="1317" t="s">
        <v>442</v>
      </c>
      <c r="DQ1" s="1317" t="s">
        <v>443</v>
      </c>
      <c r="DR1" s="1317" t="s">
        <v>444</v>
      </c>
      <c r="DS1" s="1317" t="s">
        <v>445</v>
      </c>
      <c r="DT1" s="1317" t="s">
        <v>446</v>
      </c>
      <c r="DU1" s="1317" t="s">
        <v>447</v>
      </c>
      <c r="DV1" s="1317" t="s">
        <v>448</v>
      </c>
      <c r="DW1" s="1317" t="s">
        <v>449</v>
      </c>
      <c r="DX1" s="1317" t="s">
        <v>450</v>
      </c>
      <c r="DY1" s="1317" t="s">
        <v>451</v>
      </c>
      <c r="DZ1" s="1317" t="s">
        <v>452</v>
      </c>
      <c r="EA1" s="1317" t="s">
        <v>453</v>
      </c>
      <c r="EB1" s="1317" t="s">
        <v>454</v>
      </c>
      <c r="EC1" s="1317" t="s">
        <v>455</v>
      </c>
      <c r="ED1" s="1317" t="s">
        <v>456</v>
      </c>
      <c r="EE1" s="1317" t="s">
        <v>457</v>
      </c>
      <c r="EF1" s="1317" t="s">
        <v>458</v>
      </c>
      <c r="EG1" s="1971"/>
      <c r="EH1" s="1971"/>
    </row>
    <row r="2" spans="1:138" s="1319" customFormat="1">
      <c r="A2" s="1318" t="s">
        <v>1</v>
      </c>
      <c r="B2" s="1318" t="s">
        <v>1</v>
      </c>
      <c r="E2" s="1971" t="s">
        <v>57</v>
      </c>
      <c r="F2" s="1319" t="s">
        <v>57</v>
      </c>
      <c r="G2" s="1319" t="s">
        <v>57</v>
      </c>
      <c r="H2" s="1971">
        <v>0</v>
      </c>
      <c r="I2" s="1319" t="s">
        <v>57</v>
      </c>
      <c r="J2" s="1319" t="s">
        <v>57</v>
      </c>
      <c r="K2" s="1971" t="s">
        <v>57</v>
      </c>
      <c r="L2" s="1971" t="s">
        <v>57</v>
      </c>
      <c r="M2" s="1971" t="s">
        <v>57</v>
      </c>
      <c r="N2" s="1319" t="s">
        <v>57</v>
      </c>
      <c r="O2" s="1319" t="s">
        <v>57</v>
      </c>
      <c r="P2" s="1319" t="s">
        <v>57</v>
      </c>
      <c r="Q2" s="1319" t="s">
        <v>57</v>
      </c>
      <c r="R2" s="1319" t="s">
        <v>57</v>
      </c>
      <c r="S2" s="1319" t="s">
        <v>57</v>
      </c>
      <c r="T2" s="1971">
        <v>0</v>
      </c>
      <c r="U2" s="1971">
        <v>0</v>
      </c>
      <c r="V2" s="1971">
        <v>0</v>
      </c>
      <c r="W2" s="1971">
        <v>0</v>
      </c>
      <c r="X2" s="1971">
        <v>0</v>
      </c>
      <c r="Y2" s="1971">
        <v>0</v>
      </c>
      <c r="Z2" s="1971">
        <v>0</v>
      </c>
      <c r="AA2" s="1971">
        <v>0</v>
      </c>
      <c r="AB2" s="1971">
        <v>0</v>
      </c>
      <c r="AC2" s="1971" t="s">
        <v>57</v>
      </c>
      <c r="AD2" s="1971" t="s">
        <v>57</v>
      </c>
      <c r="AE2" s="1971" t="s">
        <v>57</v>
      </c>
      <c r="AF2" s="1971" t="s">
        <v>57</v>
      </c>
      <c r="AG2" s="1971" t="s">
        <v>57</v>
      </c>
      <c r="AH2" s="1971" t="s">
        <v>57</v>
      </c>
      <c r="AI2" s="1971" t="s">
        <v>57</v>
      </c>
      <c r="AJ2" s="1971" t="s">
        <v>57</v>
      </c>
      <c r="AK2" s="1971" t="s">
        <v>57</v>
      </c>
      <c r="AL2" s="1971" t="s">
        <v>57</v>
      </c>
      <c r="AM2" s="1971" t="s">
        <v>57</v>
      </c>
      <c r="AN2" s="1971" t="s">
        <v>57</v>
      </c>
      <c r="AO2" s="1971">
        <v>0</v>
      </c>
      <c r="AP2" s="1971" t="s">
        <v>57</v>
      </c>
      <c r="AQ2" s="1971" t="s">
        <v>57</v>
      </c>
      <c r="AR2" s="1971">
        <v>0</v>
      </c>
      <c r="AS2" s="1971" t="s">
        <v>57</v>
      </c>
      <c r="AT2" s="1971" t="s">
        <v>57</v>
      </c>
      <c r="AU2" s="1971" t="s">
        <v>57</v>
      </c>
      <c r="AV2" s="1971">
        <v>0</v>
      </c>
      <c r="AW2" s="1971">
        <v>0</v>
      </c>
      <c r="AX2" s="1971" t="s">
        <v>57</v>
      </c>
      <c r="AY2" s="1971">
        <v>0</v>
      </c>
      <c r="AZ2" s="1971">
        <v>0</v>
      </c>
      <c r="BA2" s="1971" t="s">
        <v>57</v>
      </c>
      <c r="BB2" s="1971" t="s">
        <v>57</v>
      </c>
      <c r="BC2" s="1971" t="s">
        <v>57</v>
      </c>
      <c r="BD2" s="1971" t="s">
        <v>57</v>
      </c>
      <c r="BE2" s="1971" t="s">
        <v>57</v>
      </c>
      <c r="BF2" s="1971" t="s">
        <v>57</v>
      </c>
      <c r="BG2" s="1971" t="s">
        <v>57</v>
      </c>
      <c r="BH2" s="1971">
        <v>0</v>
      </c>
      <c r="BI2" s="1971">
        <v>0</v>
      </c>
      <c r="BJ2" s="1971" t="s">
        <v>57</v>
      </c>
      <c r="BK2" s="1971">
        <v>0</v>
      </c>
      <c r="BL2" s="1971">
        <v>0</v>
      </c>
      <c r="BM2" s="1971" t="s">
        <v>57</v>
      </c>
      <c r="BN2" s="1971">
        <v>0</v>
      </c>
      <c r="BO2" s="1971">
        <v>0</v>
      </c>
      <c r="BP2" s="1971" t="s">
        <v>57</v>
      </c>
      <c r="BQ2" s="1971">
        <v>0</v>
      </c>
      <c r="BR2" s="1971">
        <v>0</v>
      </c>
      <c r="BS2" s="1971" t="s">
        <v>57</v>
      </c>
      <c r="BT2" s="1971">
        <v>0</v>
      </c>
      <c r="BU2" s="1971">
        <v>0</v>
      </c>
      <c r="BV2" s="1971" t="s">
        <v>57</v>
      </c>
      <c r="BW2" s="1971">
        <v>0</v>
      </c>
      <c r="BX2" s="1971">
        <v>0</v>
      </c>
      <c r="BY2" s="1320" t="s">
        <v>57</v>
      </c>
      <c r="BZ2" s="1321">
        <v>0</v>
      </c>
      <c r="CA2" s="1321">
        <v>0</v>
      </c>
      <c r="CB2" s="1320" t="s">
        <v>57</v>
      </c>
      <c r="CC2" s="1321">
        <v>0</v>
      </c>
      <c r="CD2" s="1321">
        <v>0</v>
      </c>
      <c r="CE2" s="1320" t="s">
        <v>57</v>
      </c>
      <c r="CF2" s="1321">
        <v>0</v>
      </c>
      <c r="CG2" s="1321">
        <v>0</v>
      </c>
      <c r="CH2" s="1320" t="s">
        <v>57</v>
      </c>
      <c r="CI2" s="1321">
        <v>0</v>
      </c>
      <c r="CJ2" s="1321">
        <v>0</v>
      </c>
      <c r="CK2" s="1320" t="s">
        <v>57</v>
      </c>
      <c r="CL2" s="1321">
        <v>0</v>
      </c>
      <c r="CM2" s="1321">
        <v>0</v>
      </c>
      <c r="CN2" s="1320" t="s">
        <v>57</v>
      </c>
      <c r="CO2" s="1321">
        <v>0</v>
      </c>
      <c r="CP2" s="1321">
        <v>0</v>
      </c>
      <c r="CQ2" s="1971" t="s">
        <v>57</v>
      </c>
      <c r="CR2" s="1321">
        <v>0</v>
      </c>
      <c r="CS2" s="1321">
        <v>0</v>
      </c>
      <c r="CT2" s="1971" t="s">
        <v>57</v>
      </c>
      <c r="CU2" s="1321">
        <v>0</v>
      </c>
      <c r="CV2" s="1321">
        <v>0</v>
      </c>
      <c r="CW2" s="1971" t="s">
        <v>57</v>
      </c>
      <c r="CX2" s="1971" t="s">
        <v>57</v>
      </c>
      <c r="CY2" s="1971" t="s">
        <v>57</v>
      </c>
      <c r="CZ2" s="1971" t="s">
        <v>57</v>
      </c>
      <c r="DA2" s="1971" t="s">
        <v>57</v>
      </c>
      <c r="DB2" s="1971" t="s">
        <v>57</v>
      </c>
      <c r="DC2" s="1971" t="s">
        <v>57</v>
      </c>
      <c r="DD2" s="1971">
        <v>0</v>
      </c>
      <c r="DE2" s="1971" t="s">
        <v>57</v>
      </c>
      <c r="DF2" s="1971" t="s">
        <v>57</v>
      </c>
      <c r="DG2" s="1971">
        <v>0</v>
      </c>
      <c r="DH2" s="1971" t="s">
        <v>57</v>
      </c>
      <c r="DI2" s="1971" t="s">
        <v>57</v>
      </c>
      <c r="DJ2" s="1971" t="s">
        <v>57</v>
      </c>
      <c r="DK2" s="1971" t="s">
        <v>57</v>
      </c>
      <c r="DL2" s="1971" t="s">
        <v>57</v>
      </c>
      <c r="DM2" s="1971" t="s">
        <v>57</v>
      </c>
      <c r="DN2" s="1971" t="s">
        <v>57</v>
      </c>
      <c r="DO2" s="1971" t="s">
        <v>57</v>
      </c>
      <c r="DP2" s="1971">
        <v>0</v>
      </c>
      <c r="DQ2" s="1971">
        <v>0</v>
      </c>
      <c r="DR2" s="1971" t="s">
        <v>57</v>
      </c>
      <c r="DS2" s="1971">
        <v>0</v>
      </c>
      <c r="DT2" s="1971">
        <v>0</v>
      </c>
      <c r="DU2" s="1971" t="s">
        <v>57</v>
      </c>
      <c r="DV2" s="1971" t="s">
        <v>57</v>
      </c>
      <c r="DW2" s="1971" t="s">
        <v>57</v>
      </c>
      <c r="DX2" s="1971" t="s">
        <v>57</v>
      </c>
      <c r="DY2" s="1971" t="s">
        <v>57</v>
      </c>
      <c r="DZ2" s="1971" t="s">
        <v>57</v>
      </c>
      <c r="EA2" s="1971">
        <v>0</v>
      </c>
      <c r="EB2" s="1971" t="s">
        <v>57</v>
      </c>
      <c r="EC2" s="1971">
        <v>0</v>
      </c>
      <c r="ED2" s="1971">
        <v>0</v>
      </c>
      <c r="EE2" s="1971" t="s">
        <v>57</v>
      </c>
      <c r="EF2" s="1971">
        <v>0</v>
      </c>
      <c r="EG2" s="1971"/>
      <c r="EH2" s="1971"/>
    </row>
    <row r="3" spans="1:138">
      <c r="A3" s="1971" t="s">
        <v>139</v>
      </c>
      <c r="B3" s="1971" t="s">
        <v>87</v>
      </c>
      <c r="C3" s="1971"/>
      <c r="D3" s="1971"/>
      <c r="E3" s="1971" t="s">
        <v>76</v>
      </c>
      <c r="F3" s="1971"/>
      <c r="G3" s="1971"/>
      <c r="H3" s="1971">
        <v>2</v>
      </c>
      <c r="I3" s="1971"/>
      <c r="J3" s="1971"/>
      <c r="K3" s="1971" t="s">
        <v>76</v>
      </c>
      <c r="L3" s="1971" t="s">
        <v>76</v>
      </c>
      <c r="M3" s="1971" t="s">
        <v>76</v>
      </c>
      <c r="N3" s="1971"/>
      <c r="O3" s="1971"/>
      <c r="P3" s="1971"/>
      <c r="Q3" s="1971">
        <v>3</v>
      </c>
      <c r="R3" s="1971">
        <v>3</v>
      </c>
      <c r="S3" s="1971">
        <v>3</v>
      </c>
      <c r="T3" s="1971">
        <v>3</v>
      </c>
      <c r="U3" s="1971">
        <v>3</v>
      </c>
      <c r="V3" s="1971">
        <v>3</v>
      </c>
      <c r="W3" s="1971">
        <v>2</v>
      </c>
      <c r="X3" s="1971">
        <v>4</v>
      </c>
      <c r="Y3" s="1971">
        <v>4</v>
      </c>
      <c r="Z3" s="1971">
        <v>2</v>
      </c>
      <c r="AA3" s="1971">
        <v>4</v>
      </c>
      <c r="AB3" s="1971">
        <v>4</v>
      </c>
      <c r="AC3" s="1971" t="s">
        <v>76</v>
      </c>
      <c r="AD3" s="1971"/>
      <c r="AE3" s="1971"/>
      <c r="AF3" s="1971" t="s">
        <v>76</v>
      </c>
      <c r="AG3" s="1971"/>
      <c r="AH3" s="1971"/>
      <c r="AI3" s="1971"/>
      <c r="AJ3" s="1971" t="s">
        <v>76</v>
      </c>
      <c r="AK3" s="1971" t="s">
        <v>76</v>
      </c>
      <c r="AL3" s="1971"/>
      <c r="AM3" s="1971" t="s">
        <v>76</v>
      </c>
      <c r="AN3" s="1971" t="s">
        <v>76</v>
      </c>
      <c r="AO3" s="1971">
        <v>5</v>
      </c>
      <c r="AP3" s="1971"/>
      <c r="AQ3" s="1971"/>
      <c r="AR3" s="1971">
        <v>5</v>
      </c>
      <c r="AS3" s="1971"/>
      <c r="AT3" s="1971"/>
      <c r="AU3" s="1971"/>
      <c r="AV3" s="1971">
        <v>5</v>
      </c>
      <c r="AW3" s="1971">
        <v>5</v>
      </c>
      <c r="AX3" s="1971"/>
      <c r="AY3" s="1971">
        <v>5</v>
      </c>
      <c r="AZ3" s="1971">
        <v>5</v>
      </c>
      <c r="BA3" s="1971" t="s">
        <v>76</v>
      </c>
      <c r="BB3" s="1971"/>
      <c r="BC3" s="1971"/>
      <c r="BD3" s="1971" t="s">
        <v>76</v>
      </c>
      <c r="BE3" s="1971"/>
      <c r="BF3" s="1971"/>
      <c r="BG3" s="1971"/>
      <c r="BH3" s="1971">
        <v>2</v>
      </c>
      <c r="BI3" s="1971">
        <v>2</v>
      </c>
      <c r="BJ3" s="1971"/>
      <c r="BK3" s="1971">
        <v>2</v>
      </c>
      <c r="BL3" s="1971">
        <v>2</v>
      </c>
      <c r="BM3" s="1971"/>
      <c r="BN3" s="1971">
        <v>1</v>
      </c>
      <c r="BO3" s="1971">
        <v>1</v>
      </c>
      <c r="BP3" s="1971"/>
      <c r="BQ3" s="1971">
        <v>1</v>
      </c>
      <c r="BR3" s="1971">
        <v>1</v>
      </c>
      <c r="BS3" s="1971"/>
      <c r="BT3" s="1971">
        <v>1</v>
      </c>
      <c r="BU3" s="1971">
        <v>1</v>
      </c>
      <c r="BV3" s="1971"/>
      <c r="BW3" s="1971">
        <v>1</v>
      </c>
      <c r="BX3" s="1971">
        <v>1</v>
      </c>
      <c r="BY3" s="1320"/>
      <c r="BZ3" s="1321">
        <v>2</v>
      </c>
      <c r="CA3" s="1321">
        <v>2</v>
      </c>
      <c r="CB3" s="1320"/>
      <c r="CC3" s="1321">
        <v>2</v>
      </c>
      <c r="CD3" s="1321">
        <v>2</v>
      </c>
      <c r="CE3" s="1971"/>
      <c r="CF3" s="1321">
        <v>3</v>
      </c>
      <c r="CG3" s="1321">
        <v>3</v>
      </c>
      <c r="CH3" s="1971"/>
      <c r="CI3" s="1321">
        <v>3</v>
      </c>
      <c r="CJ3" s="1321">
        <v>3</v>
      </c>
      <c r="CK3" s="1971"/>
      <c r="CL3" s="1321">
        <v>10</v>
      </c>
      <c r="CM3" s="1321">
        <v>10</v>
      </c>
      <c r="CN3" s="1971"/>
      <c r="CO3" s="1321">
        <v>10</v>
      </c>
      <c r="CP3" s="1321">
        <v>10</v>
      </c>
      <c r="CQ3" s="1971"/>
      <c r="CR3" s="1321">
        <v>2</v>
      </c>
      <c r="CS3" s="1321">
        <v>2</v>
      </c>
      <c r="CT3" s="1971"/>
      <c r="CU3" s="1321">
        <v>2</v>
      </c>
      <c r="CV3" s="1321">
        <v>2</v>
      </c>
      <c r="CW3" s="1971" t="s">
        <v>76</v>
      </c>
      <c r="CX3" s="1971"/>
      <c r="CY3" s="1971" t="s">
        <v>76</v>
      </c>
      <c r="CZ3" s="1971" t="s">
        <v>76</v>
      </c>
      <c r="DA3" s="1971"/>
      <c r="DB3" s="1971" t="s">
        <v>76</v>
      </c>
      <c r="DC3" s="1971"/>
      <c r="DD3" s="1971">
        <v>3</v>
      </c>
      <c r="DE3" s="1971"/>
      <c r="DF3" s="1971"/>
      <c r="DG3" s="1971">
        <v>3</v>
      </c>
      <c r="DH3" s="1971"/>
      <c r="DI3" s="1971" t="s">
        <v>76</v>
      </c>
      <c r="DJ3" s="1971"/>
      <c r="DK3" s="1971"/>
      <c r="DL3" s="1971" t="s">
        <v>76</v>
      </c>
      <c r="DM3" s="1971"/>
      <c r="DN3" s="1971"/>
      <c r="DO3" s="1971"/>
      <c r="DP3" s="1971">
        <v>3</v>
      </c>
      <c r="DQ3" s="1971">
        <v>3</v>
      </c>
      <c r="DR3" s="1971"/>
      <c r="DS3" s="1971">
        <v>3</v>
      </c>
      <c r="DT3" s="1971">
        <v>3</v>
      </c>
      <c r="DU3" s="1971" t="s">
        <v>76</v>
      </c>
      <c r="DV3" s="1971"/>
      <c r="DW3" s="1971"/>
      <c r="DX3" s="1971" t="s">
        <v>76</v>
      </c>
      <c r="DY3" s="1971"/>
      <c r="DZ3" s="1971"/>
      <c r="EA3" s="1971">
        <v>2</v>
      </c>
      <c r="EB3" s="1971"/>
      <c r="EC3" s="1971">
        <v>2</v>
      </c>
      <c r="ED3" s="1971">
        <v>2</v>
      </c>
      <c r="EE3" s="1971"/>
      <c r="EF3" s="1971">
        <v>2</v>
      </c>
      <c r="EG3" s="1971"/>
      <c r="EH3" s="1971"/>
    </row>
    <row r="4" spans="1:138">
      <c r="A4" s="1971" t="s">
        <v>137</v>
      </c>
      <c r="B4" s="1971" t="s">
        <v>321</v>
      </c>
      <c r="C4" s="1971"/>
      <c r="D4" s="1971"/>
      <c r="E4" s="1971"/>
      <c r="F4" s="1971"/>
      <c r="G4" s="1971"/>
      <c r="H4" s="1971"/>
      <c r="I4" s="1971"/>
      <c r="J4" s="1971"/>
      <c r="K4" s="1971"/>
      <c r="L4" s="1971"/>
      <c r="M4" s="1971"/>
      <c r="N4" s="1971"/>
      <c r="O4" s="1971"/>
      <c r="P4" s="1971"/>
      <c r="Q4" s="1971">
        <v>5</v>
      </c>
      <c r="R4" s="1971">
        <v>5</v>
      </c>
      <c r="S4" s="1971">
        <v>5</v>
      </c>
      <c r="T4" s="1971">
        <v>5</v>
      </c>
      <c r="U4" s="1971">
        <v>5</v>
      </c>
      <c r="V4" s="1971">
        <v>5</v>
      </c>
      <c r="W4" s="1971"/>
      <c r="X4" s="1971"/>
      <c r="Y4" s="1971"/>
      <c r="Z4" s="1971"/>
      <c r="AA4" s="1971"/>
      <c r="AB4" s="1971"/>
      <c r="AC4" s="1971"/>
      <c r="AD4" s="1971"/>
      <c r="AE4" s="1971"/>
      <c r="AF4" s="1971"/>
      <c r="AG4" s="1971"/>
      <c r="AH4" s="1971"/>
      <c r="AI4" s="1971"/>
      <c r="AJ4" s="1971"/>
      <c r="AK4" s="1971"/>
      <c r="AL4" s="1971"/>
      <c r="AM4" s="1971"/>
      <c r="AN4" s="1971"/>
      <c r="AO4" s="1971">
        <v>10</v>
      </c>
      <c r="AP4" s="1971"/>
      <c r="AQ4" s="1971"/>
      <c r="AR4" s="1971">
        <v>10</v>
      </c>
      <c r="AS4" s="1971"/>
      <c r="AT4" s="1971"/>
      <c r="AU4" s="1971"/>
      <c r="AV4" s="1971"/>
      <c r="AW4" s="1971"/>
      <c r="AX4" s="1971"/>
      <c r="AY4" s="1971"/>
      <c r="AZ4" s="1971"/>
      <c r="BA4" s="1971"/>
      <c r="BB4" s="1971"/>
      <c r="BC4" s="1971"/>
      <c r="BD4" s="1971"/>
      <c r="BE4" s="1971"/>
      <c r="BF4" s="1971"/>
      <c r="BG4" s="1971"/>
      <c r="BH4" s="1971"/>
      <c r="BI4" s="1971"/>
      <c r="BJ4" s="1971"/>
      <c r="BK4" s="1971"/>
      <c r="BL4" s="1971"/>
      <c r="BM4" s="1971"/>
      <c r="BN4" s="1971">
        <v>2</v>
      </c>
      <c r="BO4" s="1971">
        <v>2</v>
      </c>
      <c r="BP4" s="1971"/>
      <c r="BQ4" s="1971">
        <v>2</v>
      </c>
      <c r="BR4" s="1971">
        <v>2</v>
      </c>
      <c r="BS4" s="1971"/>
      <c r="BT4" s="1971">
        <v>2</v>
      </c>
      <c r="BU4" s="1971">
        <v>2</v>
      </c>
      <c r="BV4" s="1971"/>
      <c r="BW4" s="1971">
        <v>2</v>
      </c>
      <c r="BX4" s="1971">
        <v>2</v>
      </c>
      <c r="BY4" s="1320"/>
      <c r="BZ4" s="1321">
        <v>5</v>
      </c>
      <c r="CA4" s="1321">
        <v>5</v>
      </c>
      <c r="CB4" s="1320"/>
      <c r="CC4" s="1321">
        <v>5</v>
      </c>
      <c r="CD4" s="1321">
        <v>5</v>
      </c>
      <c r="CE4" s="1971"/>
      <c r="CF4" s="1321">
        <v>7</v>
      </c>
      <c r="CG4" s="1321">
        <v>7</v>
      </c>
      <c r="CH4" s="1971"/>
      <c r="CI4" s="1321">
        <v>7</v>
      </c>
      <c r="CJ4" s="1321">
        <v>7</v>
      </c>
      <c r="CK4" s="1971"/>
      <c r="CL4" s="1971"/>
      <c r="CM4" s="1971"/>
      <c r="CN4" s="1971"/>
      <c r="CO4" s="1971"/>
      <c r="CP4" s="1971"/>
      <c r="CQ4" s="1971"/>
      <c r="CR4" s="1971">
        <v>5</v>
      </c>
      <c r="CS4" s="1971">
        <v>5</v>
      </c>
      <c r="CT4" s="1971"/>
      <c r="CU4" s="1971">
        <v>5</v>
      </c>
      <c r="CV4" s="1971">
        <v>5</v>
      </c>
      <c r="CW4" s="1971"/>
      <c r="CX4" s="1971"/>
      <c r="CY4" s="1971"/>
      <c r="CZ4" s="1971"/>
      <c r="DA4" s="1971"/>
      <c r="DB4" s="1971"/>
      <c r="DC4" s="1971"/>
      <c r="DD4" s="1971"/>
      <c r="DE4" s="1971"/>
      <c r="DF4" s="1971"/>
      <c r="DG4" s="1971"/>
      <c r="DH4" s="1971"/>
      <c r="DI4" s="1971"/>
      <c r="DJ4" s="1971"/>
      <c r="DK4" s="1971"/>
      <c r="DL4" s="1971"/>
      <c r="DM4" s="1971"/>
      <c r="DN4" s="1971"/>
      <c r="DO4" s="1971"/>
      <c r="DP4" s="1971"/>
      <c r="DQ4" s="1971"/>
      <c r="DR4" s="1971"/>
      <c r="DS4" s="1971"/>
      <c r="DT4" s="1971"/>
      <c r="DU4" s="1971"/>
      <c r="DV4" s="1971"/>
      <c r="DW4" s="1971"/>
      <c r="DX4" s="1971"/>
      <c r="DY4" s="1971"/>
      <c r="DZ4" s="1971"/>
      <c r="EA4" s="1971">
        <v>3</v>
      </c>
      <c r="EB4" s="1971"/>
      <c r="EC4" s="1971">
        <v>3</v>
      </c>
      <c r="ED4" s="1971">
        <v>3</v>
      </c>
      <c r="EE4" s="1971"/>
      <c r="EF4" s="1971">
        <v>3</v>
      </c>
      <c r="EG4" s="1971"/>
      <c r="EH4" s="1971"/>
    </row>
    <row r="5" spans="1:138">
      <c r="A5" s="1971"/>
      <c r="B5" s="1971" t="s">
        <v>297</v>
      </c>
      <c r="C5" s="1971"/>
      <c r="D5" s="1971"/>
      <c r="E5" s="1971"/>
      <c r="F5" s="1971"/>
      <c r="G5" s="1971"/>
      <c r="H5" s="1971"/>
      <c r="I5" s="1971"/>
      <c r="J5" s="1971"/>
      <c r="K5" s="1971"/>
      <c r="L5" s="1971"/>
      <c r="M5" s="1971"/>
      <c r="N5" s="1971"/>
      <c r="O5" s="1971"/>
      <c r="P5" s="1971"/>
      <c r="Q5" s="1971"/>
      <c r="R5" s="1971"/>
      <c r="S5" s="1971"/>
      <c r="T5" s="1971"/>
      <c r="U5" s="1971"/>
      <c r="V5" s="1971"/>
      <c r="W5" s="1971"/>
      <c r="X5" s="1971"/>
      <c r="Y5" s="1971"/>
      <c r="Z5" s="1971"/>
      <c r="AA5" s="1971"/>
      <c r="AB5" s="1971"/>
      <c r="AC5" s="1971"/>
      <c r="AD5" s="1971"/>
      <c r="AE5" s="1971"/>
      <c r="AF5" s="1971"/>
      <c r="AG5" s="1971"/>
      <c r="AH5" s="1971"/>
      <c r="AI5" s="1971"/>
      <c r="AJ5" s="1971"/>
      <c r="AK5" s="1971"/>
      <c r="AL5" s="1971"/>
      <c r="AM5" s="1971"/>
      <c r="AN5" s="1971"/>
      <c r="AO5" s="1971">
        <v>15</v>
      </c>
      <c r="AP5" s="1971"/>
      <c r="AQ5" s="1971"/>
      <c r="AR5" s="1971">
        <v>15</v>
      </c>
      <c r="AS5" s="1971"/>
      <c r="AT5" s="1971"/>
      <c r="AU5" s="1971"/>
      <c r="AV5" s="1971"/>
      <c r="AW5" s="1971"/>
      <c r="AX5" s="1971"/>
      <c r="AY5" s="1971"/>
      <c r="AZ5" s="1971"/>
      <c r="BA5" s="1971"/>
      <c r="BB5" s="1971"/>
      <c r="BC5" s="1971"/>
      <c r="BD5" s="1971"/>
      <c r="BE5" s="1971"/>
      <c r="BF5" s="1971"/>
      <c r="BG5" s="1971"/>
      <c r="BH5" s="1971"/>
      <c r="BI5" s="1971"/>
      <c r="BJ5" s="1971"/>
      <c r="BK5" s="1971"/>
      <c r="BL5" s="1971"/>
      <c r="BM5" s="1971"/>
      <c r="BN5" s="1971">
        <v>3</v>
      </c>
      <c r="BO5" s="1971">
        <v>3</v>
      </c>
      <c r="BP5" s="1971"/>
      <c r="BQ5" s="1971">
        <v>3</v>
      </c>
      <c r="BR5" s="1971">
        <v>3</v>
      </c>
      <c r="BS5" s="1971"/>
      <c r="BT5" s="1971">
        <v>3</v>
      </c>
      <c r="BU5" s="1971">
        <v>3</v>
      </c>
      <c r="BV5" s="1971"/>
      <c r="BW5" s="1971">
        <v>3</v>
      </c>
      <c r="BX5" s="1971">
        <v>3</v>
      </c>
      <c r="BY5" s="1320"/>
      <c r="BZ5" s="1320"/>
      <c r="CA5" s="1320"/>
      <c r="CB5" s="1320"/>
      <c r="CC5" s="1320"/>
      <c r="CD5" s="1320"/>
      <c r="CE5" s="1971"/>
      <c r="CF5" s="1971"/>
      <c r="CG5" s="1971"/>
      <c r="CH5" s="1971"/>
      <c r="CI5" s="1971"/>
      <c r="CJ5" s="1971"/>
      <c r="CK5" s="1971"/>
      <c r="CL5" s="1971"/>
      <c r="CM5" s="1971"/>
      <c r="CN5" s="1971"/>
      <c r="CO5" s="1971"/>
      <c r="CP5" s="1971"/>
      <c r="CQ5" s="1971"/>
      <c r="CR5" s="1971">
        <v>7</v>
      </c>
      <c r="CS5" s="1971">
        <v>7</v>
      </c>
      <c r="CT5" s="1971"/>
      <c r="CU5" s="1971">
        <v>7</v>
      </c>
      <c r="CV5" s="1971">
        <v>7</v>
      </c>
      <c r="CW5" s="1971"/>
      <c r="CX5" s="1971"/>
      <c r="CY5" s="1971"/>
      <c r="CZ5" s="1971"/>
      <c r="DA5" s="1971"/>
      <c r="DB5" s="1971"/>
      <c r="DC5" s="1971"/>
      <c r="DD5" s="1971"/>
      <c r="DE5" s="1971"/>
      <c r="DF5" s="1971"/>
      <c r="DG5" s="1971"/>
      <c r="DH5" s="1971"/>
      <c r="DI5" s="1971"/>
      <c r="DJ5" s="1971"/>
      <c r="DK5" s="1971"/>
      <c r="DL5" s="1971"/>
      <c r="DM5" s="1971"/>
      <c r="DN5" s="1971"/>
      <c r="DO5" s="1971"/>
      <c r="DP5" s="1971"/>
      <c r="DQ5" s="1971"/>
      <c r="DR5" s="1971"/>
      <c r="DS5" s="1971"/>
      <c r="DT5" s="1971"/>
      <c r="DU5" s="1971"/>
      <c r="DV5" s="1971"/>
      <c r="DW5" s="1971"/>
      <c r="DX5" s="1971"/>
      <c r="DY5" s="1971"/>
      <c r="DZ5" s="1971"/>
      <c r="EA5" s="1971">
        <v>4</v>
      </c>
      <c r="EB5" s="1971"/>
      <c r="EC5" s="1971">
        <v>4</v>
      </c>
      <c r="ED5" s="1971">
        <v>4</v>
      </c>
      <c r="EE5" s="1971"/>
      <c r="EF5" s="1971">
        <v>4</v>
      </c>
      <c r="EG5" s="1971"/>
      <c r="EH5" s="1971"/>
    </row>
    <row r="6" spans="1:138">
      <c r="A6" s="1971"/>
      <c r="B6" s="1971" t="s">
        <v>297</v>
      </c>
      <c r="C6" s="1971"/>
      <c r="D6" s="1971"/>
      <c r="E6" s="1971"/>
      <c r="F6" s="1971"/>
      <c r="G6" s="1971"/>
      <c r="H6" s="1971"/>
      <c r="I6" s="1971"/>
      <c r="J6" s="1971"/>
      <c r="K6" s="1971"/>
      <c r="L6" s="1971"/>
      <c r="M6" s="1971"/>
      <c r="N6" s="1971"/>
      <c r="O6" s="1971"/>
      <c r="P6" s="1971"/>
      <c r="Q6" s="1971"/>
      <c r="R6" s="1971"/>
      <c r="S6" s="1971"/>
      <c r="T6" s="1971"/>
      <c r="U6" s="1971"/>
      <c r="V6" s="1971"/>
      <c r="W6" s="1971"/>
      <c r="X6" s="1971"/>
      <c r="Y6" s="1971"/>
      <c r="Z6" s="1971"/>
      <c r="AA6" s="1971"/>
      <c r="AB6" s="1971"/>
      <c r="AC6" s="1971"/>
      <c r="AD6" s="1971"/>
      <c r="AE6" s="1971"/>
      <c r="AF6" s="1971"/>
      <c r="AG6" s="1971"/>
      <c r="AH6" s="1971"/>
      <c r="AI6" s="1971"/>
      <c r="AJ6" s="1971"/>
      <c r="AK6" s="1971"/>
      <c r="AL6" s="1971"/>
      <c r="AM6" s="1971"/>
      <c r="AN6" s="1971"/>
      <c r="AO6" s="1971">
        <v>20</v>
      </c>
      <c r="AP6" s="1971"/>
      <c r="AQ6" s="1971"/>
      <c r="AR6" s="1971">
        <v>20</v>
      </c>
      <c r="AS6" s="1971"/>
      <c r="AT6" s="1971"/>
      <c r="AU6" s="1971"/>
      <c r="AV6" s="1971"/>
      <c r="AW6" s="1971"/>
      <c r="AX6" s="1971"/>
      <c r="AY6" s="1971"/>
      <c r="AZ6" s="1971"/>
      <c r="BA6" s="1971"/>
      <c r="BB6" s="1971"/>
      <c r="BC6" s="1971"/>
      <c r="BD6" s="1971"/>
      <c r="BE6" s="1971"/>
      <c r="BF6" s="1971"/>
      <c r="BG6" s="1971"/>
      <c r="BH6" s="1971"/>
      <c r="BI6" s="1971"/>
      <c r="BJ6" s="1971"/>
      <c r="BK6" s="1971"/>
      <c r="BL6" s="1971"/>
      <c r="BM6" s="1971"/>
      <c r="BN6" s="1971">
        <v>4</v>
      </c>
      <c r="BO6" s="1971">
        <v>4</v>
      </c>
      <c r="BP6" s="1971"/>
      <c r="BQ6" s="1971">
        <v>4</v>
      </c>
      <c r="BR6" s="1971">
        <v>4</v>
      </c>
      <c r="BS6" s="1971"/>
      <c r="BT6" s="1971">
        <v>4</v>
      </c>
      <c r="BU6" s="1971">
        <v>4</v>
      </c>
      <c r="BV6" s="1971"/>
      <c r="BW6" s="1971">
        <v>4</v>
      </c>
      <c r="BX6" s="1971">
        <v>4</v>
      </c>
      <c r="BY6" s="1320"/>
      <c r="BZ6" s="1320"/>
      <c r="CA6" s="1320"/>
      <c r="CB6" s="1320"/>
      <c r="CC6" s="1320"/>
      <c r="CD6" s="1320"/>
      <c r="CE6" s="1971"/>
      <c r="CF6" s="1971"/>
      <c r="CG6" s="1971"/>
      <c r="CH6" s="1971"/>
      <c r="CI6" s="1971"/>
      <c r="CJ6" s="1971"/>
      <c r="CK6" s="1971"/>
      <c r="CL6" s="1971"/>
      <c r="CM6" s="1971"/>
      <c r="CN6" s="1971"/>
      <c r="CO6" s="1971"/>
      <c r="CP6" s="1971"/>
      <c r="CQ6" s="1971"/>
      <c r="CR6" s="1971"/>
      <c r="CS6" s="1971"/>
      <c r="CT6" s="1971"/>
      <c r="CU6" s="1971"/>
      <c r="CV6" s="1971"/>
      <c r="CW6" s="1971"/>
      <c r="CX6" s="1971"/>
      <c r="CY6" s="1971"/>
      <c r="CZ6" s="1971"/>
      <c r="DA6" s="1971"/>
      <c r="DB6" s="1971"/>
      <c r="DC6" s="1971"/>
      <c r="DD6" s="1971"/>
      <c r="DE6" s="1971"/>
      <c r="DF6" s="1971"/>
      <c r="DG6" s="1971"/>
      <c r="DH6" s="1971"/>
      <c r="DI6" s="1971"/>
      <c r="DJ6" s="1971"/>
      <c r="DK6" s="1971"/>
      <c r="DL6" s="1971"/>
      <c r="DM6" s="1971"/>
      <c r="DN6" s="1971"/>
      <c r="DO6" s="1971"/>
      <c r="DP6" s="1971"/>
      <c r="DQ6" s="1971"/>
      <c r="DR6" s="1971"/>
      <c r="DS6" s="1971"/>
      <c r="DT6" s="1971"/>
      <c r="DU6" s="1971"/>
      <c r="DV6" s="1971"/>
      <c r="DW6" s="1971"/>
      <c r="DX6" s="1971"/>
      <c r="DY6" s="1971"/>
      <c r="DZ6" s="1971"/>
      <c r="EA6" s="1971">
        <v>5</v>
      </c>
      <c r="EB6" s="1971"/>
      <c r="EC6" s="1971">
        <v>5</v>
      </c>
      <c r="ED6" s="1971">
        <v>5</v>
      </c>
      <c r="EE6" s="1971"/>
      <c r="EF6" s="1971">
        <v>5</v>
      </c>
      <c r="EG6" s="1971"/>
      <c r="EH6" s="1971"/>
    </row>
    <row r="7" spans="1:138">
      <c r="A7" s="1971"/>
      <c r="B7" s="1971"/>
      <c r="C7" s="1971"/>
      <c r="D7" s="1971"/>
      <c r="E7" s="1971"/>
      <c r="F7" s="1971"/>
      <c r="G7" s="1971"/>
      <c r="H7" s="1971"/>
      <c r="I7" s="1971"/>
      <c r="J7" s="1971"/>
      <c r="K7" s="1971"/>
      <c r="L7" s="1971"/>
      <c r="M7" s="1971"/>
      <c r="N7" s="1971"/>
      <c r="O7" s="1971"/>
      <c r="P7" s="1971"/>
      <c r="Q7" s="1971"/>
      <c r="R7" s="1971"/>
      <c r="S7" s="1971"/>
      <c r="T7" s="1971"/>
      <c r="U7" s="1971"/>
      <c r="V7" s="1971"/>
      <c r="W7" s="1971"/>
      <c r="X7" s="1971"/>
      <c r="Y7" s="1971"/>
      <c r="Z7" s="1971"/>
      <c r="AA7" s="1971"/>
      <c r="AB7" s="1971"/>
      <c r="AC7" s="1971"/>
      <c r="AD7" s="1971"/>
      <c r="AE7" s="1971"/>
      <c r="AF7" s="1971"/>
      <c r="AG7" s="1971"/>
      <c r="AH7" s="1971"/>
      <c r="AI7" s="1971"/>
      <c r="AJ7" s="1971"/>
      <c r="AK7" s="1971"/>
      <c r="AL7" s="1971"/>
      <c r="AM7" s="1971"/>
      <c r="AN7" s="1971"/>
      <c r="AO7" s="1971">
        <v>25</v>
      </c>
      <c r="AP7" s="1971"/>
      <c r="AQ7" s="1971"/>
      <c r="AR7" s="1971">
        <v>25</v>
      </c>
      <c r="AS7" s="1971"/>
      <c r="AT7" s="1971"/>
      <c r="AU7" s="1971"/>
      <c r="AV7" s="1971"/>
      <c r="AW7" s="1971"/>
      <c r="AX7" s="1971"/>
      <c r="AY7" s="1971"/>
      <c r="AZ7" s="1971"/>
      <c r="BA7" s="1971"/>
      <c r="BB7" s="1971"/>
      <c r="BC7" s="1971"/>
      <c r="BD7" s="1971"/>
      <c r="BE7" s="1971"/>
      <c r="BF7" s="1971"/>
      <c r="BG7" s="1971"/>
      <c r="BH7" s="1971"/>
      <c r="BI7" s="1971"/>
      <c r="BJ7" s="1971"/>
      <c r="BK7" s="1971"/>
      <c r="BL7" s="1971"/>
      <c r="BM7" s="1971"/>
      <c r="BN7" s="1971">
        <v>5</v>
      </c>
      <c r="BO7" s="1971">
        <v>5</v>
      </c>
      <c r="BP7" s="1971"/>
      <c r="BQ7" s="1971">
        <v>5</v>
      </c>
      <c r="BR7" s="1971">
        <v>5</v>
      </c>
      <c r="BS7" s="1971"/>
      <c r="BT7" s="1971">
        <v>5</v>
      </c>
      <c r="BU7" s="1971">
        <v>5</v>
      </c>
      <c r="BV7" s="1971"/>
      <c r="BW7" s="1971">
        <v>5</v>
      </c>
      <c r="BX7" s="1971">
        <v>5</v>
      </c>
      <c r="BY7" s="1320"/>
      <c r="BZ7" s="1320"/>
      <c r="CA7" s="1320"/>
      <c r="CB7" s="1320"/>
      <c r="CC7" s="1320"/>
      <c r="CD7" s="1320"/>
      <c r="CE7" s="1971"/>
      <c r="CF7" s="1971"/>
      <c r="CG7" s="1971"/>
      <c r="CH7" s="1971"/>
      <c r="CI7" s="1971"/>
      <c r="CJ7" s="1971"/>
      <c r="CK7" s="1971"/>
      <c r="CL7" s="1971"/>
      <c r="CM7" s="1971"/>
      <c r="CN7" s="1971"/>
      <c r="CO7" s="1971"/>
      <c r="CP7" s="1971"/>
      <c r="CQ7" s="1971"/>
      <c r="CR7" s="1971"/>
      <c r="CS7" s="1971"/>
      <c r="CT7" s="1971"/>
      <c r="CU7" s="1971"/>
      <c r="CV7" s="1971"/>
      <c r="CW7" s="1971"/>
      <c r="CX7" s="1971"/>
      <c r="CY7" s="1971"/>
      <c r="CZ7" s="1971"/>
      <c r="DA7" s="1971"/>
      <c r="DB7" s="1971"/>
      <c r="DC7" s="1971"/>
      <c r="DD7" s="1971"/>
      <c r="DE7" s="1971"/>
      <c r="DF7" s="1971"/>
      <c r="DG7" s="1971"/>
      <c r="DH7" s="1971"/>
      <c r="DI7" s="1971"/>
      <c r="DJ7" s="1971"/>
      <c r="DK7" s="1971"/>
      <c r="DL7" s="1971"/>
      <c r="DM7" s="1971"/>
      <c r="DN7" s="1971"/>
      <c r="DO7" s="1971"/>
      <c r="DP7" s="1971"/>
      <c r="DQ7" s="1971"/>
      <c r="DR7" s="1971"/>
      <c r="DS7" s="1971"/>
      <c r="DT7" s="1971"/>
      <c r="DU7" s="1971"/>
      <c r="DV7" s="1971"/>
      <c r="DW7" s="1971"/>
      <c r="DX7" s="1971"/>
      <c r="DY7" s="1971"/>
      <c r="DZ7" s="1971"/>
      <c r="EA7" s="1971">
        <v>6</v>
      </c>
      <c r="EB7" s="1971"/>
      <c r="EC7" s="1971">
        <v>6</v>
      </c>
      <c r="ED7" s="1971">
        <v>6</v>
      </c>
      <c r="EE7" s="1971"/>
      <c r="EF7" s="1971">
        <v>6</v>
      </c>
      <c r="EG7" s="1971"/>
      <c r="EH7" s="1971"/>
    </row>
    <row r="8" spans="1:138">
      <c r="A8" s="1971"/>
      <c r="B8" s="1971"/>
      <c r="C8" s="1971"/>
      <c r="D8" s="1971"/>
      <c r="E8" s="1971"/>
      <c r="F8" s="1971"/>
      <c r="G8" s="1971"/>
      <c r="H8" s="1971"/>
      <c r="I8" s="1971"/>
      <c r="J8" s="1971"/>
      <c r="K8" s="1971"/>
      <c r="L8" s="1971"/>
      <c r="M8" s="1971"/>
      <c r="N8" s="1971"/>
      <c r="O8" s="1971"/>
      <c r="P8" s="1971"/>
      <c r="Q8" s="1971"/>
      <c r="R8" s="1971"/>
      <c r="S8" s="1971"/>
      <c r="T8" s="1971"/>
      <c r="U8" s="1971"/>
      <c r="V8" s="1971"/>
      <c r="W8" s="1971"/>
      <c r="X8" s="1971"/>
      <c r="Y8" s="1971"/>
      <c r="Z8" s="1971"/>
      <c r="AA8" s="1971"/>
      <c r="AB8" s="1971"/>
      <c r="AC8" s="1971"/>
      <c r="AD8" s="1971"/>
      <c r="AE8" s="1971"/>
      <c r="AF8" s="1971"/>
      <c r="AG8" s="1971"/>
      <c r="AH8" s="1971"/>
      <c r="AI8" s="1971"/>
      <c r="AJ8" s="1971"/>
      <c r="AK8" s="1971"/>
      <c r="AL8" s="1971"/>
      <c r="AM8" s="1971"/>
      <c r="AN8" s="1971"/>
      <c r="AO8" s="1971"/>
      <c r="AP8" s="1971"/>
      <c r="AQ8" s="1971"/>
      <c r="AR8" s="1971"/>
      <c r="AS8" s="1971"/>
      <c r="AT8" s="1971"/>
      <c r="AU8" s="1971"/>
      <c r="AV8" s="1971"/>
      <c r="AW8" s="1971"/>
      <c r="AX8" s="1971"/>
      <c r="AY8" s="1971"/>
      <c r="AZ8" s="1971"/>
      <c r="BA8" s="1971"/>
      <c r="BB8" s="1971"/>
      <c r="BC8" s="1971"/>
      <c r="BD8" s="1971"/>
      <c r="BE8" s="1971"/>
      <c r="BF8" s="1971"/>
      <c r="BG8" s="1971"/>
      <c r="BH8" s="1971"/>
      <c r="BI8" s="1971"/>
      <c r="BJ8" s="1971"/>
      <c r="BK8" s="1971"/>
      <c r="BL8" s="1971"/>
      <c r="BM8" s="1971"/>
      <c r="BN8" s="1971">
        <v>6</v>
      </c>
      <c r="BO8" s="1971">
        <v>6</v>
      </c>
      <c r="BP8" s="1971"/>
      <c r="BQ8" s="1971">
        <v>6</v>
      </c>
      <c r="BR8" s="1971">
        <v>6</v>
      </c>
      <c r="BS8" s="1971"/>
      <c r="BT8" s="1971">
        <v>6</v>
      </c>
      <c r="BU8" s="1971">
        <v>6</v>
      </c>
      <c r="BV8" s="1971"/>
      <c r="BW8" s="1971">
        <v>6</v>
      </c>
      <c r="BX8" s="1971">
        <v>6</v>
      </c>
      <c r="BY8" s="1320"/>
      <c r="BZ8" s="1320"/>
      <c r="CA8" s="1320"/>
      <c r="CB8" s="1320"/>
      <c r="CC8" s="1320"/>
      <c r="CD8" s="1320"/>
      <c r="CE8" s="1971"/>
      <c r="CF8" s="1971"/>
      <c r="CG8" s="1971"/>
      <c r="CH8" s="1971"/>
      <c r="CI8" s="1971"/>
      <c r="CJ8" s="1971"/>
      <c r="CK8" s="1971"/>
      <c r="CL8" s="1971"/>
      <c r="CM8" s="1971"/>
      <c r="CN8" s="1971"/>
      <c r="CO8" s="1971"/>
      <c r="CP8" s="1971"/>
      <c r="CQ8" s="1971"/>
      <c r="CR8" s="1971"/>
      <c r="CS8" s="1971"/>
      <c r="CT8" s="1971"/>
      <c r="CU8" s="1971"/>
      <c r="CV8" s="1971"/>
      <c r="CW8" s="1971"/>
      <c r="CX8" s="1971"/>
      <c r="CY8" s="1971"/>
      <c r="CZ8" s="1971"/>
      <c r="DA8" s="1971"/>
      <c r="DB8" s="1971"/>
      <c r="DC8" s="1971"/>
      <c r="DD8" s="1971"/>
      <c r="DE8" s="1971"/>
      <c r="DF8" s="1971"/>
      <c r="DG8" s="1971"/>
      <c r="DH8" s="1971"/>
      <c r="DI8" s="1971"/>
      <c r="DJ8" s="1971"/>
      <c r="DK8" s="1971"/>
      <c r="DL8" s="1971"/>
      <c r="DM8" s="1971"/>
      <c r="DN8" s="1971"/>
      <c r="DO8" s="1971"/>
      <c r="DP8" s="1971"/>
      <c r="DQ8" s="1971"/>
      <c r="DR8" s="1971"/>
      <c r="DS8" s="1971"/>
      <c r="DT8" s="1971"/>
      <c r="DU8" s="1971"/>
      <c r="DV8" s="1971"/>
      <c r="DW8" s="1971"/>
      <c r="DX8" s="1971"/>
      <c r="DY8" s="1971"/>
      <c r="DZ8" s="1971"/>
      <c r="EA8" s="1971">
        <v>7</v>
      </c>
      <c r="EB8" s="1971"/>
      <c r="EC8" s="1971">
        <v>7</v>
      </c>
      <c r="ED8" s="1971">
        <v>7</v>
      </c>
      <c r="EE8" s="1971"/>
      <c r="EF8" s="1971">
        <v>7</v>
      </c>
      <c r="EG8" s="1971"/>
      <c r="EH8" s="1971"/>
    </row>
    <row r="9" spans="1:138">
      <c r="A9" s="1971"/>
      <c r="B9" s="1971"/>
      <c r="C9" s="1971"/>
      <c r="D9" s="1971"/>
      <c r="E9" s="1971"/>
      <c r="F9" s="1971"/>
      <c r="G9" s="1971"/>
      <c r="H9" s="1971"/>
      <c r="I9" s="1971"/>
      <c r="J9" s="1971"/>
      <c r="K9" s="1971"/>
      <c r="L9" s="1971"/>
      <c r="M9" s="1971"/>
      <c r="N9" s="1971"/>
      <c r="O9" s="1971"/>
      <c r="P9" s="1971"/>
      <c r="Q9" s="1971"/>
      <c r="R9" s="1971"/>
      <c r="S9" s="1971"/>
      <c r="T9" s="1971"/>
      <c r="U9" s="1971"/>
      <c r="V9" s="1971"/>
      <c r="W9" s="1971"/>
      <c r="X9" s="1971"/>
      <c r="Y9" s="1971"/>
      <c r="Z9" s="1971"/>
      <c r="AA9" s="1971"/>
      <c r="AB9" s="1971"/>
      <c r="AC9" s="1971"/>
      <c r="AD9" s="1971"/>
      <c r="AE9" s="1971"/>
      <c r="AF9" s="1971"/>
      <c r="AG9" s="1971"/>
      <c r="AH9" s="1971"/>
      <c r="AI9" s="1971"/>
      <c r="AJ9" s="1971"/>
      <c r="AK9" s="1971"/>
      <c r="AL9" s="1971"/>
      <c r="AM9" s="1971"/>
      <c r="AN9" s="1971"/>
      <c r="AO9" s="1971"/>
      <c r="AP9" s="1971"/>
      <c r="AQ9" s="1971"/>
      <c r="AR9" s="1971"/>
      <c r="AS9" s="1971"/>
      <c r="AT9" s="1971"/>
      <c r="AU9" s="1971"/>
      <c r="AV9" s="1971"/>
      <c r="AW9" s="1971"/>
      <c r="AX9" s="1971"/>
      <c r="AY9" s="1971"/>
      <c r="AZ9" s="1971"/>
      <c r="BA9" s="1971"/>
      <c r="BB9" s="1971"/>
      <c r="BC9" s="1971"/>
      <c r="BD9" s="1971"/>
      <c r="BE9" s="1971"/>
      <c r="BF9" s="1971"/>
      <c r="BG9" s="1971"/>
      <c r="BH9" s="1971"/>
      <c r="BI9" s="1971"/>
      <c r="BJ9" s="1971"/>
      <c r="BK9" s="1971"/>
      <c r="BL9" s="1971"/>
      <c r="BM9" s="1971"/>
      <c r="BN9" s="1971">
        <v>7</v>
      </c>
      <c r="BO9" s="1971">
        <v>7</v>
      </c>
      <c r="BP9" s="1971"/>
      <c r="BQ9" s="1971">
        <v>7</v>
      </c>
      <c r="BR9" s="1971">
        <v>7</v>
      </c>
      <c r="BS9" s="1971"/>
      <c r="BT9" s="1971">
        <v>7</v>
      </c>
      <c r="BU9" s="1971">
        <v>7</v>
      </c>
      <c r="BV9" s="1971"/>
      <c r="BW9" s="1971">
        <v>7</v>
      </c>
      <c r="BX9" s="1971">
        <v>7</v>
      </c>
      <c r="BY9" s="1320"/>
      <c r="BZ9" s="1320"/>
      <c r="CA9" s="1320"/>
      <c r="CB9" s="1320"/>
      <c r="CC9" s="1320"/>
      <c r="CD9" s="1320"/>
      <c r="CE9" s="1971"/>
      <c r="CF9" s="1971"/>
      <c r="CG9" s="1971"/>
      <c r="CH9" s="1971"/>
      <c r="CI9" s="1971"/>
      <c r="CJ9" s="1971"/>
      <c r="CK9" s="1971"/>
      <c r="CL9" s="1971"/>
      <c r="CM9" s="1971"/>
      <c r="CN9" s="1971"/>
      <c r="CO9" s="1971"/>
      <c r="CP9" s="1971"/>
      <c r="CQ9" s="1971"/>
      <c r="CR9" s="1971"/>
      <c r="CS9" s="1971"/>
      <c r="CT9" s="1971"/>
      <c r="CU9" s="1971"/>
      <c r="CV9" s="1971"/>
      <c r="CW9" s="1971"/>
      <c r="CX9" s="1971"/>
      <c r="CY9" s="1971"/>
      <c r="CZ9" s="1971"/>
      <c r="DA9" s="1971"/>
      <c r="DB9" s="1971"/>
      <c r="DC9" s="1971"/>
      <c r="DD9" s="1971"/>
      <c r="DE9" s="1971"/>
      <c r="DF9" s="1971"/>
      <c r="DG9" s="1971"/>
      <c r="DH9" s="1971"/>
      <c r="DI9" s="1971"/>
      <c r="DJ9" s="1971"/>
      <c r="DK9" s="1971"/>
      <c r="DL9" s="1971"/>
      <c r="DM9" s="1971"/>
      <c r="DN9" s="1971"/>
      <c r="DO9" s="1971"/>
      <c r="DP9" s="1971"/>
      <c r="DQ9" s="1971"/>
      <c r="DR9" s="1971"/>
      <c r="DS9" s="1971"/>
      <c r="DT9" s="1971"/>
      <c r="DU9" s="1971"/>
      <c r="DV9" s="1971"/>
      <c r="DW9" s="1971"/>
      <c r="DX9" s="1971"/>
      <c r="DY9" s="1971"/>
      <c r="DZ9" s="1971"/>
      <c r="EA9" s="1971">
        <v>8</v>
      </c>
      <c r="EB9" s="1971"/>
      <c r="EC9" s="1971">
        <v>8</v>
      </c>
      <c r="ED9" s="1971">
        <v>8</v>
      </c>
      <c r="EE9" s="1971"/>
      <c r="EF9" s="1971">
        <v>8</v>
      </c>
      <c r="EG9" s="1971"/>
      <c r="EH9" s="1971"/>
    </row>
    <row r="10" spans="1:138">
      <c r="A10" s="1971"/>
      <c r="B10" s="1971"/>
      <c r="C10" s="1971"/>
      <c r="D10" s="1971"/>
      <c r="E10" s="1971"/>
      <c r="F10" s="1971"/>
      <c r="G10" s="1971"/>
      <c r="H10" s="1971"/>
      <c r="I10" s="1971"/>
      <c r="J10" s="1971"/>
      <c r="K10" s="1971"/>
      <c r="L10" s="1971"/>
      <c r="M10" s="1971"/>
      <c r="N10" s="1971"/>
      <c r="O10" s="1971"/>
      <c r="P10" s="1971"/>
      <c r="Q10" s="1971"/>
      <c r="R10" s="1971"/>
      <c r="S10" s="1971"/>
      <c r="T10" s="1971"/>
      <c r="U10" s="1971"/>
      <c r="V10" s="1971"/>
      <c r="W10" s="1971"/>
      <c r="X10" s="1971"/>
      <c r="Y10" s="1971"/>
      <c r="Z10" s="1971"/>
      <c r="AA10" s="1971"/>
      <c r="AB10" s="1971"/>
      <c r="AC10" s="1971"/>
      <c r="AD10" s="1971"/>
      <c r="AE10" s="1971"/>
      <c r="AF10" s="1971"/>
      <c r="AG10" s="1971"/>
      <c r="AH10" s="1971"/>
      <c r="AI10" s="1971"/>
      <c r="AJ10" s="1971"/>
      <c r="AK10" s="1971"/>
      <c r="AL10" s="1971"/>
      <c r="AM10" s="1971"/>
      <c r="AN10" s="1971"/>
      <c r="AO10" s="1971"/>
      <c r="AP10" s="1971"/>
      <c r="AQ10" s="1971"/>
      <c r="AR10" s="1971"/>
      <c r="AS10" s="1971"/>
      <c r="AT10" s="1971"/>
      <c r="AU10" s="1971"/>
      <c r="AV10" s="1971"/>
      <c r="AW10" s="1971"/>
      <c r="AX10" s="1971"/>
      <c r="AY10" s="1971"/>
      <c r="AZ10" s="1971"/>
      <c r="BA10" s="1971"/>
      <c r="BB10" s="1971"/>
      <c r="BC10" s="1971"/>
      <c r="BD10" s="1971"/>
      <c r="BE10" s="1971"/>
      <c r="BF10" s="1971"/>
      <c r="BG10" s="1971"/>
      <c r="BH10" s="1971"/>
      <c r="BI10" s="1971"/>
      <c r="BJ10" s="1971"/>
      <c r="BK10" s="1971"/>
      <c r="BL10" s="1971"/>
      <c r="BM10" s="1971"/>
      <c r="BN10" s="1971">
        <v>8</v>
      </c>
      <c r="BO10" s="1971">
        <v>8</v>
      </c>
      <c r="BP10" s="1971"/>
      <c r="BQ10" s="1971">
        <v>8</v>
      </c>
      <c r="BR10" s="1971">
        <v>8</v>
      </c>
      <c r="BS10" s="1971"/>
      <c r="BT10" s="1971">
        <v>8</v>
      </c>
      <c r="BU10" s="1971">
        <v>8</v>
      </c>
      <c r="BV10" s="1971"/>
      <c r="BW10" s="1971">
        <v>8</v>
      </c>
      <c r="BX10" s="1971">
        <v>8</v>
      </c>
      <c r="BY10" s="1320"/>
      <c r="BZ10" s="1320"/>
      <c r="CA10" s="1320"/>
      <c r="CB10" s="1320"/>
      <c r="CC10" s="1320"/>
      <c r="CD10" s="1320"/>
      <c r="CE10" s="1971"/>
      <c r="CF10" s="1971"/>
      <c r="CG10" s="1971"/>
      <c r="CH10" s="1971"/>
      <c r="CI10" s="1971"/>
      <c r="CJ10" s="1971"/>
      <c r="CK10" s="1971"/>
      <c r="CL10" s="1971"/>
      <c r="CM10" s="1971"/>
      <c r="CN10" s="1971"/>
      <c r="CO10" s="1971"/>
      <c r="CP10" s="1971"/>
      <c r="CQ10" s="1971"/>
      <c r="CR10" s="1971"/>
      <c r="CS10" s="1971"/>
      <c r="CT10" s="1971"/>
      <c r="CU10" s="1971"/>
      <c r="CV10" s="1971"/>
      <c r="CW10" s="1971"/>
      <c r="CX10" s="1971"/>
      <c r="CY10" s="1971"/>
      <c r="CZ10" s="1971"/>
      <c r="DA10" s="1971"/>
      <c r="DB10" s="1971"/>
      <c r="DC10" s="1971"/>
      <c r="DD10" s="1971"/>
      <c r="DE10" s="1971"/>
      <c r="DF10" s="1971"/>
      <c r="DG10" s="1971"/>
      <c r="DH10" s="1971"/>
      <c r="DI10" s="1971"/>
      <c r="DJ10" s="1971"/>
      <c r="DK10" s="1971"/>
      <c r="DL10" s="1971"/>
      <c r="DM10" s="1971"/>
      <c r="DN10" s="1971"/>
      <c r="DO10" s="1971"/>
      <c r="DP10" s="1971"/>
      <c r="DQ10" s="1971"/>
      <c r="DR10" s="1971"/>
      <c r="DS10" s="1971"/>
      <c r="DT10" s="1971"/>
      <c r="DU10" s="1971"/>
      <c r="DV10" s="1971"/>
      <c r="DW10" s="1971"/>
      <c r="DX10" s="1971"/>
      <c r="DY10" s="1971"/>
      <c r="DZ10" s="1971"/>
      <c r="EA10" s="1971"/>
      <c r="EB10" s="1971"/>
      <c r="EC10" s="1971">
        <v>10</v>
      </c>
      <c r="ED10" s="1971"/>
      <c r="EE10" s="1971"/>
      <c r="EF10" s="1971">
        <v>10</v>
      </c>
      <c r="EG10" s="1971"/>
      <c r="EH10" s="1971"/>
    </row>
    <row r="11" spans="1:138">
      <c r="A11" s="1971"/>
      <c r="B11" s="1971"/>
      <c r="C11" s="1971"/>
      <c r="D11" s="1971"/>
      <c r="E11" s="1971"/>
      <c r="F11" s="1971"/>
      <c r="G11" s="1971"/>
      <c r="H11" s="1971"/>
      <c r="I11" s="1971"/>
      <c r="J11" s="1971"/>
      <c r="K11" s="1971"/>
      <c r="L11" s="1971"/>
      <c r="M11" s="1971"/>
      <c r="N11" s="1971"/>
      <c r="O11" s="1971"/>
      <c r="P11" s="1971"/>
      <c r="Q11" s="1971"/>
      <c r="R11" s="1971"/>
      <c r="S11" s="1971"/>
      <c r="T11" s="1971"/>
      <c r="U11" s="1971"/>
      <c r="V11" s="1971"/>
      <c r="W11" s="1971"/>
      <c r="X11" s="1971"/>
      <c r="Y11" s="1971"/>
      <c r="Z11" s="1971"/>
      <c r="AA11" s="1971"/>
      <c r="AB11" s="1971"/>
      <c r="AC11" s="1971"/>
      <c r="AD11" s="1971"/>
      <c r="AE11" s="1971"/>
      <c r="AF11" s="1971"/>
      <c r="AG11" s="1971"/>
      <c r="AH11" s="1971"/>
      <c r="AI11" s="1971"/>
      <c r="AJ11" s="1971"/>
      <c r="AK11" s="1971"/>
      <c r="AL11" s="1971"/>
      <c r="AM11" s="1971"/>
      <c r="AN11" s="1971"/>
      <c r="AO11" s="1971"/>
      <c r="AP11" s="1971"/>
      <c r="AQ11" s="1971"/>
      <c r="AR11" s="1971"/>
      <c r="AS11" s="1971"/>
      <c r="AT11" s="1971"/>
      <c r="AU11" s="1971"/>
      <c r="AV11" s="1971"/>
      <c r="AW11" s="1971"/>
      <c r="AX11" s="1971"/>
      <c r="AY11" s="1971"/>
      <c r="AZ11" s="1971"/>
      <c r="BA11" s="1971"/>
      <c r="BB11" s="1971"/>
      <c r="BC11" s="1971"/>
      <c r="BD11" s="1971"/>
      <c r="BE11" s="1971"/>
      <c r="BF11" s="1971"/>
      <c r="BG11" s="1971"/>
      <c r="BH11" s="1971"/>
      <c r="BI11" s="1971"/>
      <c r="BJ11" s="1971"/>
      <c r="BK11" s="1971"/>
      <c r="BL11" s="1971"/>
      <c r="BM11" s="1971"/>
      <c r="BN11" s="1971">
        <v>9</v>
      </c>
      <c r="BO11" s="1971">
        <v>9</v>
      </c>
      <c r="BP11" s="1971"/>
      <c r="BQ11" s="1971">
        <v>9</v>
      </c>
      <c r="BR11" s="1971">
        <v>9</v>
      </c>
      <c r="BS11" s="1971"/>
      <c r="BT11" s="1971">
        <v>9</v>
      </c>
      <c r="BU11" s="1971">
        <v>9</v>
      </c>
      <c r="BV11" s="1971"/>
      <c r="BW11" s="1971">
        <v>9</v>
      </c>
      <c r="BX11" s="1971">
        <v>9</v>
      </c>
      <c r="BY11" s="1320"/>
      <c r="BZ11" s="1320"/>
      <c r="CA11" s="1320"/>
      <c r="CB11" s="1320"/>
      <c r="CC11" s="1320"/>
      <c r="CD11" s="1320"/>
      <c r="CE11" s="1971"/>
      <c r="CF11" s="1971"/>
      <c r="CG11" s="1971"/>
      <c r="CH11" s="1971"/>
      <c r="CI11" s="1971"/>
      <c r="CJ11" s="1971"/>
      <c r="CK11" s="1971"/>
      <c r="CL11" s="1971"/>
      <c r="CM11" s="1971"/>
      <c r="CN11" s="1971"/>
      <c r="CO11" s="1971"/>
      <c r="CP11" s="1971"/>
      <c r="CQ11" s="1971"/>
      <c r="CR11" s="1971"/>
      <c r="CS11" s="1971"/>
      <c r="CT11" s="1971"/>
      <c r="CU11" s="1971"/>
      <c r="CV11" s="1971"/>
      <c r="CW11" s="1971"/>
      <c r="CX11" s="1971"/>
      <c r="CY11" s="1971"/>
      <c r="CZ11" s="1971"/>
      <c r="DA11" s="1971"/>
      <c r="DB11" s="1971"/>
      <c r="DC11" s="1971"/>
      <c r="DD11" s="1971"/>
      <c r="DE11" s="1971"/>
      <c r="DF11" s="1971"/>
      <c r="DG11" s="1971"/>
      <c r="DH11" s="1971"/>
      <c r="DI11" s="1971"/>
      <c r="DJ11" s="1971"/>
      <c r="DK11" s="1971"/>
      <c r="DL11" s="1971"/>
      <c r="DM11" s="1971"/>
      <c r="DN11" s="1971"/>
      <c r="DO11" s="1971"/>
      <c r="DP11" s="1971"/>
      <c r="DQ11" s="1971"/>
      <c r="DR11" s="1971"/>
      <c r="DS11" s="1971"/>
      <c r="DT11" s="1971"/>
      <c r="DU11" s="1971"/>
      <c r="DV11" s="1971"/>
      <c r="DW11" s="1971"/>
      <c r="DX11" s="1971"/>
      <c r="DY11" s="1971"/>
      <c r="DZ11" s="1971"/>
      <c r="EA11" s="1971"/>
      <c r="EB11" s="1971"/>
      <c r="EC11" s="1971"/>
      <c r="ED11" s="1971"/>
      <c r="EE11" s="1971"/>
      <c r="EF11" s="1971"/>
      <c r="EG11" s="1971"/>
      <c r="EH11" s="1971"/>
    </row>
    <row r="12" spans="1:138">
      <c r="A12" s="1971"/>
      <c r="B12" s="1971"/>
      <c r="C12" s="1971"/>
      <c r="D12" s="1971"/>
      <c r="E12" s="1971"/>
      <c r="F12" s="1971"/>
      <c r="G12" s="1971"/>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1"/>
      <c r="AF12" s="1971"/>
      <c r="AG12" s="1971"/>
      <c r="AH12" s="1971"/>
      <c r="AI12" s="1971"/>
      <c r="AJ12" s="1971"/>
      <c r="AK12" s="1971"/>
      <c r="AL12" s="1971"/>
      <c r="AM12" s="1971"/>
      <c r="AN12" s="1971"/>
      <c r="AO12" s="1971"/>
      <c r="AP12" s="1971"/>
      <c r="AQ12" s="1971"/>
      <c r="AR12" s="1971"/>
      <c r="AS12" s="1971"/>
      <c r="AT12" s="1971"/>
      <c r="AU12" s="1971"/>
      <c r="AV12" s="1971"/>
      <c r="AW12" s="1971"/>
      <c r="AX12" s="1971"/>
      <c r="AY12" s="1971"/>
      <c r="AZ12" s="1971"/>
      <c r="BA12" s="1971"/>
      <c r="BB12" s="1971"/>
      <c r="BC12" s="1971"/>
      <c r="BD12" s="1971"/>
      <c r="BE12" s="1971"/>
      <c r="BF12" s="1971"/>
      <c r="BG12" s="1971"/>
      <c r="BH12" s="1971"/>
      <c r="BI12" s="1971"/>
      <c r="BJ12" s="1971"/>
      <c r="BK12" s="1971"/>
      <c r="BL12" s="1971"/>
      <c r="BM12" s="1971"/>
      <c r="BN12" s="1971">
        <v>10</v>
      </c>
      <c r="BO12" s="1971">
        <v>10</v>
      </c>
      <c r="BP12" s="1971"/>
      <c r="BQ12" s="1971">
        <v>10</v>
      </c>
      <c r="BR12" s="1971">
        <v>10</v>
      </c>
      <c r="BS12" s="1971"/>
      <c r="BT12" s="1971">
        <v>10</v>
      </c>
      <c r="BU12" s="1971">
        <v>10</v>
      </c>
      <c r="BV12" s="1971"/>
      <c r="BW12" s="1971">
        <v>10</v>
      </c>
      <c r="BX12" s="1971">
        <v>10</v>
      </c>
      <c r="BY12" s="1320"/>
      <c r="BZ12" s="1320"/>
      <c r="CA12" s="1320"/>
      <c r="CB12" s="1320"/>
      <c r="CC12" s="1320"/>
      <c r="CD12" s="1320"/>
      <c r="CE12" s="1971"/>
      <c r="CF12" s="1971"/>
      <c r="CG12" s="1971"/>
      <c r="CH12" s="1971"/>
      <c r="CI12" s="1971"/>
      <c r="CJ12" s="1971"/>
      <c r="CK12" s="1971"/>
      <c r="CL12" s="1971"/>
      <c r="CM12" s="1971"/>
      <c r="CN12" s="1971"/>
      <c r="CO12" s="1971"/>
      <c r="CP12" s="1971"/>
      <c r="CQ12" s="1971"/>
      <c r="CR12" s="1971"/>
      <c r="CS12" s="1971"/>
      <c r="CT12" s="1971"/>
      <c r="CU12" s="1971"/>
      <c r="CV12" s="1971"/>
      <c r="CW12" s="1971"/>
      <c r="CX12" s="1971"/>
      <c r="CY12" s="1971"/>
      <c r="CZ12" s="1971"/>
      <c r="DA12" s="1971"/>
      <c r="DB12" s="1971"/>
      <c r="DC12" s="1971"/>
      <c r="DD12" s="1971"/>
      <c r="DE12" s="1971"/>
      <c r="DF12" s="1971"/>
      <c r="DG12" s="1971"/>
      <c r="DH12" s="1971"/>
      <c r="DI12" s="1971"/>
      <c r="DJ12" s="1971"/>
      <c r="DK12" s="1971"/>
      <c r="DL12" s="1971"/>
      <c r="DM12" s="1971"/>
      <c r="DN12" s="1971"/>
      <c r="DO12" s="1971"/>
      <c r="DP12" s="1971"/>
      <c r="DQ12" s="1971"/>
      <c r="DR12" s="1971"/>
      <c r="DS12" s="1971"/>
      <c r="DT12" s="1971"/>
      <c r="DU12" s="1971"/>
      <c r="DV12" s="1971"/>
      <c r="DW12" s="1971"/>
      <c r="DX12" s="1971"/>
      <c r="DY12" s="1971"/>
      <c r="DZ12" s="1971"/>
      <c r="EA12" s="1971"/>
      <c r="EB12" s="1971"/>
      <c r="EC12" s="1971"/>
      <c r="ED12" s="1971"/>
      <c r="EE12" s="1971"/>
      <c r="EF12" s="1971"/>
      <c r="EG12" s="1971"/>
      <c r="EH12" s="1971"/>
    </row>
    <row r="13" spans="1:138">
      <c r="A13" s="1971"/>
      <c r="B13" s="1971"/>
      <c r="C13" s="1971"/>
      <c r="D13" s="1971"/>
      <c r="E13" s="1971"/>
      <c r="F13" s="1971"/>
      <c r="G13" s="1971"/>
      <c r="H13" s="1971"/>
      <c r="I13" s="1971"/>
      <c r="J13" s="1971"/>
      <c r="K13" s="1971"/>
      <c r="L13" s="1971"/>
      <c r="M13" s="1971"/>
      <c r="N13" s="1971"/>
      <c r="O13" s="1971"/>
      <c r="P13" s="1971"/>
      <c r="Q13" s="1971"/>
      <c r="R13" s="1971"/>
      <c r="S13" s="1971"/>
      <c r="T13" s="1971"/>
      <c r="U13" s="1971"/>
      <c r="V13" s="1971"/>
      <c r="W13" s="1971"/>
      <c r="X13" s="1971"/>
      <c r="Y13" s="1971"/>
      <c r="Z13" s="1971"/>
      <c r="AA13" s="1971"/>
      <c r="AB13" s="1971"/>
      <c r="AC13" s="1971"/>
      <c r="AD13" s="1971"/>
      <c r="AE13" s="1971"/>
      <c r="AF13" s="1971"/>
      <c r="AG13" s="1971"/>
      <c r="AH13" s="1971"/>
      <c r="AI13" s="1971"/>
      <c r="AJ13" s="1971"/>
      <c r="AK13" s="1971"/>
      <c r="AL13" s="1971"/>
      <c r="AM13" s="1971"/>
      <c r="AN13" s="1971"/>
      <c r="AO13" s="1971"/>
      <c r="AP13" s="1971"/>
      <c r="AQ13" s="1971"/>
      <c r="AR13" s="1971"/>
      <c r="AS13" s="1971"/>
      <c r="AT13" s="1971"/>
      <c r="AU13" s="1971"/>
      <c r="AV13" s="1971"/>
      <c r="AW13" s="1971"/>
      <c r="AX13" s="1971"/>
      <c r="AY13" s="1971"/>
      <c r="AZ13" s="1971"/>
      <c r="BA13" s="1971"/>
      <c r="BB13" s="1971"/>
      <c r="BC13" s="1971"/>
      <c r="BD13" s="1971"/>
      <c r="BE13" s="1971"/>
      <c r="BF13" s="1971"/>
      <c r="BG13" s="1971"/>
      <c r="BH13" s="1971"/>
      <c r="BI13" s="1971"/>
      <c r="BJ13" s="1971"/>
      <c r="BK13" s="1971"/>
      <c r="BL13" s="1971"/>
      <c r="BM13" s="1971"/>
      <c r="BN13" s="1971">
        <v>11</v>
      </c>
      <c r="BO13" s="1971">
        <v>11</v>
      </c>
      <c r="BP13" s="1971"/>
      <c r="BQ13" s="1971">
        <v>11</v>
      </c>
      <c r="BR13" s="1971">
        <v>11</v>
      </c>
      <c r="BS13" s="1971"/>
      <c r="BT13" s="1971"/>
      <c r="BU13" s="1971"/>
      <c r="BV13" s="1971"/>
      <c r="BW13" s="1971"/>
      <c r="BX13" s="1971"/>
      <c r="BY13" s="1320"/>
      <c r="BZ13" s="1320"/>
      <c r="CA13" s="1320"/>
      <c r="CB13" s="1320"/>
      <c r="CC13" s="1320"/>
      <c r="CD13" s="1320"/>
      <c r="CE13" s="1971"/>
      <c r="CF13" s="1971"/>
      <c r="CG13" s="1971"/>
      <c r="CH13" s="1971"/>
      <c r="CI13" s="1971"/>
      <c r="CJ13" s="1971"/>
      <c r="CK13" s="1971"/>
      <c r="CL13" s="1971"/>
      <c r="CM13" s="1971"/>
      <c r="CN13" s="1971"/>
      <c r="CO13" s="1971"/>
      <c r="CP13" s="1971"/>
      <c r="CQ13" s="1971"/>
      <c r="CR13" s="1971"/>
      <c r="CS13" s="1971"/>
      <c r="CT13" s="1971"/>
      <c r="CU13" s="1971"/>
      <c r="CV13" s="1971"/>
      <c r="CW13" s="1971"/>
      <c r="CX13" s="1971"/>
      <c r="CY13" s="1971"/>
      <c r="CZ13" s="1971"/>
      <c r="DA13" s="1971"/>
      <c r="DB13" s="1971"/>
      <c r="DC13" s="1971"/>
      <c r="DD13" s="1971"/>
      <c r="DE13" s="1971"/>
      <c r="DF13" s="1971"/>
      <c r="DG13" s="1971"/>
      <c r="DH13" s="1971"/>
      <c r="DI13" s="1971"/>
      <c r="DJ13" s="1971"/>
      <c r="DK13" s="1971"/>
      <c r="DL13" s="1971"/>
      <c r="DM13" s="1971"/>
      <c r="DN13" s="1971"/>
      <c r="DO13" s="1971"/>
      <c r="DP13" s="1971"/>
      <c r="DQ13" s="1971"/>
      <c r="DR13" s="1971"/>
      <c r="DS13" s="1971"/>
      <c r="DT13" s="1971"/>
      <c r="DU13" s="1971"/>
      <c r="DV13" s="1971"/>
      <c r="DW13" s="1971"/>
      <c r="DX13" s="1971"/>
      <c r="DY13" s="1971"/>
      <c r="DZ13" s="1971"/>
      <c r="EA13" s="1971"/>
      <c r="EB13" s="1971"/>
      <c r="EC13" s="1971"/>
      <c r="ED13" s="1971"/>
      <c r="EE13" s="1971"/>
      <c r="EF13" s="1971"/>
      <c r="EG13" s="1971"/>
      <c r="EH13" s="1971"/>
    </row>
    <row r="14" spans="1:138">
      <c r="A14" s="1971" t="s">
        <v>131</v>
      </c>
      <c r="B14" s="1971" t="s">
        <v>132</v>
      </c>
      <c r="C14" s="1971"/>
      <c r="D14" s="1971"/>
      <c r="E14" s="1971"/>
      <c r="F14" s="1971"/>
      <c r="G14" s="1971"/>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1"/>
      <c r="BD14" s="1971"/>
      <c r="BE14" s="1971"/>
      <c r="BF14" s="1971"/>
      <c r="BG14" s="1971"/>
      <c r="BH14" s="1971"/>
      <c r="BI14" s="1971"/>
      <c r="BJ14" s="1971"/>
      <c r="BK14" s="1971"/>
      <c r="BL14" s="1971"/>
      <c r="BM14" s="1971"/>
      <c r="BN14" s="1971">
        <v>12</v>
      </c>
      <c r="BO14" s="1971">
        <v>12</v>
      </c>
      <c r="BP14" s="1971"/>
      <c r="BQ14" s="1971">
        <v>12</v>
      </c>
      <c r="BR14" s="1971">
        <v>12</v>
      </c>
      <c r="BS14" s="1971"/>
      <c r="BT14" s="1971"/>
      <c r="BU14" s="1971"/>
      <c r="BV14" s="1971"/>
      <c r="BW14" s="1971"/>
      <c r="BX14" s="1971"/>
      <c r="BY14" s="1320"/>
      <c r="BZ14" s="1320"/>
      <c r="CA14" s="1320"/>
      <c r="CB14" s="1320"/>
      <c r="CC14" s="1320"/>
      <c r="CD14" s="1320"/>
      <c r="CE14" s="1971"/>
      <c r="CF14" s="1971"/>
      <c r="CG14" s="1971"/>
      <c r="CH14" s="1971"/>
      <c r="CI14" s="1971"/>
      <c r="CJ14" s="1971"/>
      <c r="CK14" s="1971"/>
      <c r="CL14" s="1971"/>
      <c r="CM14" s="1971"/>
      <c r="CN14" s="1971"/>
      <c r="CO14" s="1971"/>
      <c r="CP14" s="1971"/>
      <c r="CQ14" s="1971"/>
      <c r="CR14" s="1971"/>
      <c r="CS14" s="1971"/>
      <c r="CT14" s="1971"/>
      <c r="CU14" s="1971"/>
      <c r="CV14" s="1971"/>
      <c r="CW14" s="1971"/>
      <c r="CX14" s="1971"/>
      <c r="CY14" s="1971"/>
      <c r="CZ14" s="1971"/>
      <c r="DA14" s="1971"/>
      <c r="DB14" s="1971"/>
      <c r="DC14" s="1971"/>
      <c r="DD14" s="1971"/>
      <c r="DE14" s="1971"/>
      <c r="DF14" s="1971"/>
      <c r="DG14" s="1971"/>
      <c r="DH14" s="1971"/>
      <c r="DI14" s="1971"/>
      <c r="DJ14" s="1971"/>
      <c r="DK14" s="1971"/>
      <c r="DL14" s="1971"/>
      <c r="DM14" s="1971"/>
      <c r="DN14" s="1971"/>
      <c r="DO14" s="1971"/>
      <c r="DP14" s="1971"/>
      <c r="DQ14" s="1971"/>
      <c r="DR14" s="1971"/>
      <c r="DS14" s="1971"/>
      <c r="DT14" s="1971"/>
      <c r="DU14" s="1971"/>
      <c r="DV14" s="1971"/>
      <c r="DW14" s="1971"/>
      <c r="DX14" s="1971"/>
      <c r="DY14" s="1971"/>
      <c r="DZ14" s="1971"/>
      <c r="EA14" s="1971"/>
      <c r="EB14" s="1971"/>
      <c r="EC14" s="1971"/>
      <c r="ED14" s="1971"/>
      <c r="EE14" s="1971"/>
      <c r="EF14" s="1971"/>
      <c r="EG14" s="1971"/>
      <c r="EH14" s="1971"/>
    </row>
    <row r="15" spans="1:138">
      <c r="A15" s="1322" t="s">
        <v>139</v>
      </c>
      <c r="B15" s="1322" t="s">
        <v>87</v>
      </c>
      <c r="C15" s="1971"/>
      <c r="D15" s="1971"/>
      <c r="E15" s="1971"/>
      <c r="F15" s="1971"/>
      <c r="G15" s="1971"/>
      <c r="H15" s="1971"/>
      <c r="I15" s="1971"/>
      <c r="J15" s="1971"/>
      <c r="K15" s="1971"/>
      <c r="L15" s="1971"/>
      <c r="M15" s="1971"/>
      <c r="N15" s="1971"/>
      <c r="O15" s="1971"/>
      <c r="P15" s="1971"/>
      <c r="Q15" s="1971"/>
      <c r="R15" s="1971"/>
      <c r="S15" s="1971"/>
      <c r="T15" s="1971"/>
      <c r="U15" s="1971"/>
      <c r="V15" s="1971"/>
      <c r="W15" s="1971"/>
      <c r="X15" s="1971"/>
      <c r="Y15" s="1971"/>
      <c r="Z15" s="1971"/>
      <c r="AA15" s="1971"/>
      <c r="AB15" s="1971"/>
      <c r="AC15" s="1971"/>
      <c r="AD15" s="1971"/>
      <c r="AE15" s="1971"/>
      <c r="AF15" s="1971"/>
      <c r="AG15" s="1971"/>
      <c r="AH15" s="1971"/>
      <c r="AI15" s="1971"/>
      <c r="AJ15" s="1971"/>
      <c r="AK15" s="1971"/>
      <c r="AL15" s="1971"/>
      <c r="AM15" s="1971"/>
      <c r="AN15" s="1971"/>
      <c r="AO15" s="1971"/>
      <c r="AP15" s="1971"/>
      <c r="AQ15" s="1971"/>
      <c r="AR15" s="1971"/>
      <c r="AS15" s="1971"/>
      <c r="AT15" s="1971"/>
      <c r="AU15" s="1971"/>
      <c r="AV15" s="1971"/>
      <c r="AW15" s="1971"/>
      <c r="AX15" s="1971"/>
      <c r="AY15" s="1971"/>
      <c r="AZ15" s="1971"/>
      <c r="BA15" s="1971"/>
      <c r="BB15" s="1971"/>
      <c r="BC15" s="1971"/>
      <c r="BD15" s="1971"/>
      <c r="BE15" s="1971"/>
      <c r="BF15" s="1971"/>
      <c r="BG15" s="1971"/>
      <c r="BH15" s="1971"/>
      <c r="BI15" s="1971"/>
      <c r="BJ15" s="1971"/>
      <c r="BK15" s="1971"/>
      <c r="BL15" s="1971"/>
      <c r="BM15" s="1971"/>
      <c r="BN15" s="1971">
        <v>13</v>
      </c>
      <c r="BO15" s="1971">
        <v>13</v>
      </c>
      <c r="BP15" s="1971"/>
      <c r="BQ15" s="1971">
        <v>13</v>
      </c>
      <c r="BR15" s="1971">
        <v>13</v>
      </c>
      <c r="BS15" s="1971"/>
      <c r="BT15" s="1971"/>
      <c r="BU15" s="1971"/>
      <c r="BV15" s="1971"/>
      <c r="BW15" s="1971"/>
      <c r="BX15" s="1971"/>
      <c r="BY15" s="1320"/>
      <c r="BZ15" s="1320"/>
      <c r="CA15" s="1320"/>
      <c r="CB15" s="1320"/>
      <c r="CC15" s="1320"/>
      <c r="CD15" s="1320"/>
      <c r="CE15" s="1971"/>
      <c r="CF15" s="1971"/>
      <c r="CG15" s="1971"/>
      <c r="CH15" s="1971"/>
      <c r="CI15" s="1971"/>
      <c r="CJ15" s="1971"/>
      <c r="CK15" s="1971"/>
      <c r="CL15" s="1971"/>
      <c r="CM15" s="1971"/>
      <c r="CN15" s="1971"/>
      <c r="CO15" s="1971"/>
      <c r="CP15" s="1971"/>
      <c r="CQ15" s="1971"/>
      <c r="CR15" s="1971"/>
      <c r="CS15" s="1971"/>
      <c r="CT15" s="1971"/>
      <c r="CU15" s="1971"/>
      <c r="CV15" s="1971"/>
      <c r="CW15" s="1971"/>
      <c r="CX15" s="1971"/>
      <c r="CY15" s="1971"/>
      <c r="CZ15" s="1971"/>
      <c r="DA15" s="1971"/>
      <c r="DB15" s="1971"/>
      <c r="DC15" s="1971"/>
      <c r="DD15" s="1971"/>
      <c r="DE15" s="1971"/>
      <c r="DF15" s="1971"/>
      <c r="DG15" s="1971"/>
      <c r="DH15" s="1971"/>
      <c r="DI15" s="1971"/>
      <c r="DJ15" s="1971"/>
      <c r="DK15" s="1971"/>
      <c r="DL15" s="1971"/>
      <c r="DM15" s="1971"/>
      <c r="DN15" s="1971"/>
      <c r="DO15" s="1971"/>
      <c r="DP15" s="1971"/>
      <c r="DQ15" s="1971"/>
      <c r="DR15" s="1971"/>
      <c r="DS15" s="1971"/>
      <c r="DT15" s="1971"/>
      <c r="DU15" s="1971"/>
      <c r="DV15" s="1971"/>
      <c r="DW15" s="1971"/>
      <c r="DX15" s="1971"/>
      <c r="DY15" s="1971"/>
      <c r="DZ15" s="1971"/>
      <c r="EA15" s="1971"/>
      <c r="EB15" s="1971"/>
      <c r="EC15" s="1971"/>
      <c r="ED15" s="1971"/>
      <c r="EE15" s="1971"/>
      <c r="EF15" s="1971"/>
      <c r="EG15" s="1971"/>
      <c r="EH15" s="1971"/>
    </row>
    <row r="16" spans="1:138">
      <c r="A16" s="1971"/>
      <c r="B16" s="1971"/>
      <c r="C16" s="1971"/>
      <c r="D16" s="1971"/>
      <c r="E16" s="1971"/>
      <c r="F16" s="1971"/>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1"/>
      <c r="AF16" s="1971"/>
      <c r="AG16" s="1971"/>
      <c r="AH16" s="1971"/>
      <c r="AI16" s="1971"/>
      <c r="AJ16" s="1971"/>
      <c r="AK16" s="1971"/>
      <c r="AL16" s="1971"/>
      <c r="AM16" s="1971"/>
      <c r="AN16" s="1971"/>
      <c r="AO16" s="1971"/>
      <c r="AP16" s="1971"/>
      <c r="AQ16" s="1971"/>
      <c r="AR16" s="1971"/>
      <c r="AS16" s="1971"/>
      <c r="AT16" s="1971"/>
      <c r="AU16" s="1971"/>
      <c r="AV16" s="1971"/>
      <c r="AW16" s="1971"/>
      <c r="AX16" s="1971"/>
      <c r="AY16" s="1971"/>
      <c r="AZ16" s="1971"/>
      <c r="BA16" s="1971"/>
      <c r="BB16" s="1971"/>
      <c r="BC16" s="1971"/>
      <c r="BD16" s="1971"/>
      <c r="BE16" s="1971"/>
      <c r="BF16" s="1971"/>
      <c r="BG16" s="1971"/>
      <c r="BH16" s="1971"/>
      <c r="BI16" s="1971"/>
      <c r="BJ16" s="1971"/>
      <c r="BK16" s="1971"/>
      <c r="BL16" s="1971"/>
      <c r="BM16" s="1971"/>
      <c r="BN16" s="1971">
        <v>14</v>
      </c>
      <c r="BO16" s="1971">
        <v>14</v>
      </c>
      <c r="BP16" s="1971"/>
      <c r="BQ16" s="1971">
        <v>14</v>
      </c>
      <c r="BR16" s="1971">
        <v>14</v>
      </c>
      <c r="BS16" s="1971"/>
      <c r="BT16" s="1971"/>
      <c r="BU16" s="1971"/>
      <c r="BV16" s="1971"/>
      <c r="BW16" s="1971"/>
      <c r="BX16" s="1971"/>
      <c r="BY16" s="1320"/>
      <c r="BZ16" s="1320"/>
      <c r="CA16" s="1320"/>
      <c r="CB16" s="1320"/>
      <c r="CC16" s="1320"/>
      <c r="CD16" s="1320"/>
      <c r="CE16" s="1971"/>
      <c r="CF16" s="1971"/>
      <c r="CG16" s="1971"/>
      <c r="CH16" s="1971"/>
      <c r="CI16" s="1971"/>
      <c r="CJ16" s="1971"/>
      <c r="CK16" s="1971"/>
      <c r="CL16" s="1971"/>
      <c r="CM16" s="1971"/>
      <c r="CN16" s="1971"/>
      <c r="CO16" s="1971"/>
      <c r="CP16" s="1971"/>
      <c r="CQ16" s="1971"/>
      <c r="CR16" s="1971"/>
      <c r="CS16" s="1971"/>
      <c r="CT16" s="1971"/>
      <c r="CU16" s="1971"/>
      <c r="CV16" s="1971"/>
      <c r="CW16" s="1971"/>
      <c r="CX16" s="1971"/>
      <c r="CY16" s="1971"/>
      <c r="CZ16" s="1971"/>
      <c r="DA16" s="1971"/>
      <c r="DB16" s="1971"/>
      <c r="DC16" s="1971"/>
      <c r="DD16" s="1971"/>
      <c r="DE16" s="1971"/>
      <c r="DF16" s="1971"/>
      <c r="DG16" s="1971"/>
      <c r="DH16" s="1971"/>
      <c r="DI16" s="1971"/>
      <c r="DJ16" s="1971"/>
      <c r="DK16" s="1971"/>
      <c r="DL16" s="1971"/>
      <c r="DM16" s="1971"/>
      <c r="DN16" s="1971"/>
      <c r="DO16" s="1971"/>
      <c r="DP16" s="1971"/>
      <c r="DQ16" s="1971"/>
      <c r="DR16" s="1971"/>
      <c r="DS16" s="1971"/>
      <c r="DT16" s="1971"/>
      <c r="DU16" s="1971"/>
      <c r="DV16" s="1971"/>
      <c r="DW16" s="1971"/>
      <c r="DX16" s="1971"/>
      <c r="DY16" s="1971"/>
      <c r="DZ16" s="1971"/>
      <c r="EA16" s="1971"/>
      <c r="EB16" s="1971"/>
      <c r="EC16" s="1971"/>
      <c r="ED16" s="1971"/>
      <c r="EE16" s="1971"/>
      <c r="EF16" s="1971"/>
      <c r="EG16" s="1971"/>
      <c r="EH16" s="1971"/>
    </row>
    <row r="17" spans="2:136">
      <c r="B17" s="1971">
        <v>2.2000000000000002</v>
      </c>
      <c r="C17" s="1322"/>
      <c r="D17" s="1971"/>
      <c r="E17" s="1971"/>
      <c r="F17" s="1971"/>
      <c r="G17" s="1971"/>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1"/>
      <c r="BD17" s="1971"/>
      <c r="BE17" s="1971"/>
      <c r="BF17" s="1971"/>
      <c r="BG17" s="1971"/>
      <c r="BH17" s="1971"/>
      <c r="BI17" s="1971"/>
      <c r="BJ17" s="1971"/>
      <c r="BK17" s="1971"/>
      <c r="BL17" s="1971"/>
      <c r="BM17" s="1971"/>
      <c r="BN17" s="1971">
        <v>15</v>
      </c>
      <c r="BO17" s="1971">
        <v>15</v>
      </c>
      <c r="BP17" s="1971"/>
      <c r="BQ17" s="1971">
        <v>15</v>
      </c>
      <c r="BR17" s="1971">
        <v>15</v>
      </c>
      <c r="BS17" s="1971"/>
      <c r="BT17" s="1971"/>
      <c r="BU17" s="1971"/>
      <c r="BV17" s="1971"/>
      <c r="BW17" s="1971"/>
      <c r="BX17" s="1971"/>
      <c r="BY17" s="1320"/>
      <c r="BZ17" s="1320"/>
      <c r="CA17" s="1320"/>
      <c r="CB17" s="1320"/>
      <c r="CC17" s="1320"/>
      <c r="CD17" s="1320"/>
      <c r="CE17" s="1971"/>
      <c r="CF17" s="1971"/>
      <c r="CG17" s="1971"/>
      <c r="CH17" s="1971"/>
      <c r="CI17" s="1971"/>
      <c r="CJ17" s="1971"/>
      <c r="CK17" s="1971"/>
      <c r="CL17" s="1971"/>
      <c r="CM17" s="1971"/>
      <c r="CN17" s="1971"/>
      <c r="CO17" s="1971"/>
      <c r="CP17" s="1971"/>
      <c r="CQ17" s="1971"/>
      <c r="CR17" s="1971"/>
      <c r="CS17" s="1971"/>
      <c r="CT17" s="1971"/>
      <c r="CU17" s="1971"/>
      <c r="CV17" s="1971"/>
      <c r="CW17" s="1971"/>
      <c r="CX17" s="1971"/>
      <c r="CY17" s="1971"/>
      <c r="CZ17" s="1971"/>
      <c r="DA17" s="1971"/>
      <c r="DB17" s="1971"/>
      <c r="DC17" s="1971"/>
      <c r="DD17" s="1971"/>
      <c r="DE17" s="1971"/>
      <c r="DF17" s="1971"/>
      <c r="DG17" s="1971"/>
      <c r="DH17" s="1971"/>
      <c r="DI17" s="1971"/>
      <c r="DJ17" s="1971"/>
      <c r="DK17" s="1971"/>
      <c r="DL17" s="1971"/>
      <c r="DM17" s="1971"/>
      <c r="DN17" s="1971"/>
      <c r="DO17" s="1971"/>
      <c r="DP17" s="1971"/>
      <c r="DQ17" s="1971"/>
      <c r="DR17" s="1971"/>
      <c r="DS17" s="1971"/>
      <c r="DT17" s="1971"/>
      <c r="DU17" s="1971"/>
      <c r="DV17" s="1971"/>
      <c r="DW17" s="1971"/>
      <c r="DX17" s="1971"/>
      <c r="DY17" s="1971"/>
      <c r="DZ17" s="1971"/>
      <c r="EA17" s="1971"/>
      <c r="EB17" s="1971"/>
      <c r="EC17" s="1971"/>
      <c r="ED17" s="1971"/>
      <c r="EE17" s="1971"/>
      <c r="EF17" s="1971"/>
    </row>
    <row r="18" spans="2:136">
      <c r="B18" s="1971" t="s">
        <v>166</v>
      </c>
      <c r="C18" s="1971"/>
      <c r="D18" s="1971"/>
      <c r="E18" s="1971"/>
      <c r="F18" s="1971"/>
      <c r="G18" s="1971"/>
      <c r="H18" s="1971"/>
      <c r="I18" s="1971"/>
      <c r="J18" s="1971"/>
      <c r="K18" s="1971"/>
      <c r="L18" s="1971"/>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c r="AN18" s="1971"/>
      <c r="AO18" s="1971"/>
      <c r="AP18" s="1971"/>
      <c r="AQ18" s="1971"/>
      <c r="AR18" s="1971"/>
      <c r="AS18" s="1971"/>
      <c r="AT18" s="1971"/>
      <c r="AU18" s="1971"/>
      <c r="AV18" s="1971"/>
      <c r="AW18" s="1971"/>
      <c r="AX18" s="1971"/>
      <c r="AY18" s="1971"/>
      <c r="AZ18" s="1971"/>
      <c r="BA18" s="1971"/>
      <c r="BB18" s="1971"/>
      <c r="BC18" s="1971"/>
      <c r="BD18" s="1971"/>
      <c r="BE18" s="1971"/>
      <c r="BF18" s="1971"/>
      <c r="BG18" s="1971"/>
      <c r="BH18" s="1971"/>
      <c r="BI18" s="1971"/>
      <c r="BJ18" s="1971"/>
      <c r="BK18" s="1971"/>
      <c r="BL18" s="1971"/>
      <c r="BM18" s="1971"/>
      <c r="BN18" s="1971"/>
      <c r="BO18" s="1971"/>
      <c r="BP18" s="1971"/>
      <c r="BQ18" s="1971"/>
      <c r="BR18" s="1971"/>
      <c r="BS18" s="1971"/>
      <c r="BT18" s="1971"/>
      <c r="BU18" s="1971"/>
      <c r="BV18" s="1971"/>
      <c r="BW18" s="1971"/>
      <c r="BX18" s="1971"/>
      <c r="BY18" s="1320"/>
      <c r="BZ18" s="1320"/>
      <c r="CA18" s="1320"/>
      <c r="CB18" s="1320"/>
      <c r="CC18" s="1320"/>
      <c r="CD18" s="1320"/>
      <c r="CE18" s="1971"/>
      <c r="CF18" s="1971"/>
      <c r="CG18" s="1971"/>
      <c r="CH18" s="1971"/>
      <c r="CI18" s="1971"/>
      <c r="CJ18" s="1971"/>
      <c r="CK18" s="1971"/>
      <c r="CL18" s="1971"/>
      <c r="CM18" s="1971"/>
      <c r="CN18" s="1971"/>
      <c r="CO18" s="1971"/>
      <c r="CP18" s="1971"/>
      <c r="CQ18" s="1971"/>
      <c r="CR18" s="1971"/>
      <c r="CS18" s="1971"/>
      <c r="CT18" s="1971"/>
      <c r="CU18" s="1971"/>
      <c r="CV18" s="1971"/>
      <c r="CW18" s="1971"/>
      <c r="CX18" s="1971"/>
      <c r="CY18" s="1971"/>
      <c r="CZ18" s="1971"/>
      <c r="DA18" s="1971"/>
      <c r="DB18" s="1971"/>
      <c r="DC18" s="1971"/>
      <c r="DD18" s="1971"/>
      <c r="DE18" s="1971"/>
      <c r="DF18" s="1971"/>
      <c r="DG18" s="1971"/>
      <c r="DH18" s="1971"/>
      <c r="DI18" s="1971"/>
      <c r="DJ18" s="1971"/>
      <c r="DK18" s="1971"/>
      <c r="DL18" s="1971"/>
      <c r="DM18" s="1971"/>
      <c r="DN18" s="1971"/>
      <c r="DO18" s="1971"/>
      <c r="DP18" s="1971"/>
      <c r="DQ18" s="1971"/>
      <c r="DR18" s="1971"/>
      <c r="DS18" s="1971"/>
      <c r="DT18" s="1971"/>
      <c r="DU18" s="1971"/>
      <c r="DV18" s="1971"/>
      <c r="DW18" s="1971"/>
      <c r="DX18" s="1971"/>
      <c r="DY18" s="1971"/>
      <c r="DZ18" s="1971"/>
      <c r="EA18" s="1971"/>
      <c r="EB18" s="1971"/>
      <c r="EC18" s="1971"/>
      <c r="ED18" s="1971"/>
      <c r="EE18" s="1971"/>
      <c r="EF18" s="1971"/>
    </row>
    <row r="19" spans="2:136">
      <c r="B19" s="1971"/>
      <c r="C19" s="1971"/>
      <c r="D19" s="1971"/>
      <c r="E19" s="1971"/>
      <c r="F19" s="1971"/>
      <c r="G19" s="1971"/>
      <c r="H19" s="1971"/>
      <c r="I19" s="1971"/>
      <c r="J19" s="1971"/>
      <c r="K19" s="1971"/>
      <c r="L19" s="1971"/>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c r="AN19" s="1971"/>
      <c r="AO19" s="1971"/>
      <c r="AP19" s="1971"/>
      <c r="AQ19" s="1971"/>
      <c r="AR19" s="1971"/>
      <c r="AS19" s="1971"/>
      <c r="AT19" s="1971"/>
      <c r="AU19" s="1971"/>
      <c r="AV19" s="1971"/>
      <c r="AW19" s="1971"/>
      <c r="AX19" s="1971"/>
      <c r="AY19" s="1971"/>
      <c r="AZ19" s="1971"/>
      <c r="BA19" s="1971"/>
      <c r="BB19" s="1971"/>
      <c r="BC19" s="1971"/>
      <c r="BD19" s="1971"/>
      <c r="BE19" s="1971"/>
      <c r="BF19" s="1971"/>
      <c r="BG19" s="1971"/>
      <c r="BH19" s="1971"/>
      <c r="BI19" s="1971"/>
      <c r="BJ19" s="1971"/>
      <c r="BK19" s="1971"/>
      <c r="BL19" s="1971"/>
      <c r="BM19" s="1971"/>
      <c r="BN19" s="1971"/>
      <c r="BO19" s="1971"/>
      <c r="BP19" s="1971"/>
      <c r="BQ19" s="1971"/>
      <c r="BR19" s="1971"/>
      <c r="BS19" s="1971"/>
      <c r="BT19" s="1971"/>
      <c r="BU19" s="1971"/>
      <c r="BV19" s="1971"/>
      <c r="BW19" s="1971"/>
      <c r="BX19" s="1971"/>
      <c r="BY19" s="1320"/>
      <c r="BZ19" s="1320"/>
      <c r="CA19" s="1320"/>
      <c r="CB19" s="1320"/>
      <c r="CC19" s="1320"/>
      <c r="CD19" s="1320"/>
      <c r="CE19" s="1971"/>
      <c r="CF19" s="1971"/>
      <c r="CG19" s="1971"/>
      <c r="CH19" s="1971"/>
      <c r="CI19" s="1971"/>
      <c r="CJ19" s="1971"/>
      <c r="CK19" s="1971"/>
      <c r="CL19" s="1971"/>
      <c r="CM19" s="1971"/>
      <c r="CN19" s="1971"/>
      <c r="CO19" s="1971"/>
      <c r="CP19" s="1971"/>
      <c r="CQ19" s="1971"/>
      <c r="CR19" s="1971"/>
      <c r="CS19" s="1971"/>
      <c r="CT19" s="1971"/>
      <c r="CU19" s="1971"/>
      <c r="CV19" s="1971"/>
      <c r="CW19" s="1971"/>
      <c r="CX19" s="1971"/>
      <c r="CY19" s="1971"/>
      <c r="CZ19" s="1971"/>
      <c r="DA19" s="1971"/>
      <c r="DB19" s="1971"/>
      <c r="DC19" s="1971"/>
      <c r="DD19" s="1971"/>
      <c r="DE19" s="1971"/>
      <c r="DF19" s="1971"/>
      <c r="DG19" s="1971"/>
      <c r="DH19" s="1971"/>
      <c r="DI19" s="1971"/>
      <c r="DJ19" s="1971"/>
      <c r="DK19" s="1971"/>
      <c r="DL19" s="1971"/>
      <c r="DM19" s="1971"/>
      <c r="DN19" s="1971"/>
      <c r="DO19" s="1971"/>
      <c r="DP19" s="1971"/>
      <c r="DQ19" s="1971"/>
      <c r="DR19" s="1971"/>
      <c r="DS19" s="1971"/>
      <c r="DT19" s="1971"/>
      <c r="DU19" s="1971"/>
      <c r="DV19" s="1971"/>
      <c r="DW19" s="1971"/>
      <c r="DX19" s="1971"/>
      <c r="DY19" s="1971"/>
      <c r="DZ19" s="1971"/>
      <c r="EA19" s="1971"/>
      <c r="EB19" s="1971"/>
      <c r="EC19" s="1971"/>
      <c r="ED19" s="1971"/>
      <c r="EE19" s="1971"/>
      <c r="EF19" s="1971"/>
    </row>
    <row r="20" spans="2:136">
      <c r="B20" s="1971"/>
      <c r="C20" s="1971"/>
      <c r="D20" s="1971"/>
      <c r="E20" s="1971"/>
      <c r="F20" s="1971"/>
      <c r="G20" s="1971"/>
      <c r="H20" s="1971"/>
      <c r="I20" s="1971"/>
      <c r="J20" s="1971"/>
      <c r="K20" s="1971"/>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c r="AN20" s="1971"/>
      <c r="AO20" s="1971"/>
      <c r="AP20" s="1971"/>
      <c r="AQ20" s="1971"/>
      <c r="AR20" s="1971"/>
      <c r="AS20" s="1971"/>
      <c r="AT20" s="1971"/>
      <c r="AU20" s="1971"/>
      <c r="AV20" s="1971"/>
      <c r="AW20" s="1971"/>
      <c r="AX20" s="1971"/>
      <c r="AY20" s="1971"/>
      <c r="AZ20" s="1971"/>
      <c r="BA20" s="1971"/>
      <c r="BB20" s="1971"/>
      <c r="BC20" s="1971"/>
      <c r="BD20" s="1971"/>
      <c r="BE20" s="1971"/>
      <c r="BF20" s="1971"/>
      <c r="BG20" s="1971"/>
      <c r="BH20" s="1971"/>
      <c r="BI20" s="1971"/>
      <c r="BJ20" s="1971"/>
      <c r="BK20" s="1971"/>
      <c r="BL20" s="1971"/>
      <c r="BM20" s="1971"/>
      <c r="BN20" s="1971"/>
      <c r="BO20" s="1971"/>
      <c r="BP20" s="1971"/>
      <c r="BQ20" s="1971"/>
      <c r="BR20" s="1971"/>
      <c r="BS20" s="1971"/>
      <c r="BT20" s="1971"/>
      <c r="BU20" s="1971"/>
      <c r="BV20" s="1971"/>
      <c r="BW20" s="1971"/>
      <c r="BX20" s="1971"/>
      <c r="BY20" s="1320"/>
      <c r="BZ20" s="1320"/>
      <c r="CA20" s="1320"/>
      <c r="CB20" s="1320"/>
      <c r="CC20" s="1320"/>
      <c r="CD20" s="1320"/>
      <c r="CE20" s="1971"/>
      <c r="CF20" s="1971"/>
      <c r="CG20" s="1971"/>
      <c r="CH20" s="1971"/>
      <c r="CI20" s="1971"/>
      <c r="CJ20" s="1971"/>
      <c r="CK20" s="1971"/>
      <c r="CL20" s="1971"/>
      <c r="CM20" s="1971"/>
      <c r="CN20" s="1971"/>
      <c r="CO20" s="1971"/>
      <c r="CP20" s="1971"/>
      <c r="CQ20" s="1971"/>
      <c r="CR20" s="1971"/>
      <c r="CS20" s="1971"/>
      <c r="CT20" s="1971"/>
      <c r="CU20" s="1971"/>
      <c r="CV20" s="1971"/>
      <c r="CW20" s="1971"/>
      <c r="CX20" s="1971"/>
      <c r="CY20" s="1971"/>
      <c r="CZ20" s="1971"/>
      <c r="DA20" s="1971"/>
      <c r="DB20" s="1971"/>
      <c r="DC20" s="1971"/>
      <c r="DD20" s="1971"/>
      <c r="DE20" s="1971"/>
      <c r="DF20" s="1971"/>
      <c r="DG20" s="1971"/>
      <c r="DH20" s="1971"/>
      <c r="DI20" s="1971"/>
      <c r="DJ20" s="1971"/>
      <c r="DK20" s="1971"/>
      <c r="DL20" s="1971"/>
      <c r="DM20" s="1971"/>
      <c r="DN20" s="1971"/>
      <c r="DO20" s="1971"/>
      <c r="DP20" s="1971"/>
      <c r="DQ20" s="1971"/>
      <c r="DR20" s="1971"/>
      <c r="DS20" s="1971"/>
      <c r="DT20" s="1971"/>
      <c r="DU20" s="1971"/>
      <c r="DV20" s="1971"/>
      <c r="DW20" s="1971"/>
      <c r="DX20" s="1971"/>
      <c r="DY20" s="1971"/>
      <c r="DZ20" s="1971"/>
      <c r="EA20" s="1971"/>
      <c r="EB20" s="1971"/>
      <c r="EC20" s="1971"/>
      <c r="ED20" s="1971"/>
      <c r="EE20" s="1971"/>
      <c r="EF20" s="1971"/>
    </row>
    <row r="21" spans="2:136">
      <c r="B21" s="1971"/>
      <c r="C21" s="1971"/>
      <c r="D21" s="1971"/>
      <c r="E21" s="1971"/>
      <c r="F21" s="1971"/>
      <c r="G21" s="1971"/>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1"/>
      <c r="BD21" s="1971"/>
      <c r="BE21" s="1971"/>
      <c r="BF21" s="1971"/>
      <c r="BG21" s="1971"/>
      <c r="BH21" s="1971"/>
      <c r="BI21" s="1971"/>
      <c r="BJ21" s="1971"/>
      <c r="BK21" s="1971"/>
      <c r="BL21" s="1971"/>
      <c r="BM21" s="1971"/>
      <c r="BN21" s="1971"/>
      <c r="BO21" s="1971"/>
      <c r="BP21" s="1971"/>
      <c r="BQ21" s="1971"/>
      <c r="BR21" s="1971"/>
      <c r="BS21" s="1971"/>
      <c r="BT21" s="1971"/>
      <c r="BU21" s="1971"/>
      <c r="BV21" s="1971"/>
      <c r="BW21" s="1971"/>
      <c r="BX21" s="1971"/>
      <c r="BY21" s="1320"/>
      <c r="BZ21" s="1320"/>
      <c r="CA21" s="1320"/>
      <c r="CB21" s="1320"/>
      <c r="CC21" s="1320"/>
      <c r="CD21" s="1320"/>
      <c r="CE21" s="1971"/>
      <c r="CF21" s="1971"/>
      <c r="CG21" s="1971"/>
      <c r="CH21" s="1971"/>
      <c r="CI21" s="1971"/>
      <c r="CJ21" s="1971"/>
      <c r="CK21" s="1971"/>
      <c r="CL21" s="1971"/>
      <c r="CM21" s="1971"/>
      <c r="CN21" s="1971"/>
      <c r="CO21" s="1971"/>
      <c r="CP21" s="1971"/>
      <c r="CQ21" s="1971"/>
      <c r="CR21" s="1971"/>
      <c r="CS21" s="1971"/>
      <c r="CT21" s="1971"/>
      <c r="CU21" s="1971"/>
      <c r="CV21" s="1971"/>
      <c r="CW21" s="1971"/>
      <c r="CX21" s="1971"/>
      <c r="CY21" s="1971"/>
      <c r="CZ21" s="1971"/>
      <c r="DA21" s="1971"/>
      <c r="DB21" s="1971"/>
      <c r="DC21" s="1971"/>
      <c r="DD21" s="1971"/>
      <c r="DE21" s="1971"/>
      <c r="DF21" s="1971"/>
      <c r="DG21" s="1971"/>
      <c r="DH21" s="1971"/>
      <c r="DI21" s="1971"/>
      <c r="DJ21" s="1971"/>
      <c r="DK21" s="1971"/>
      <c r="DL21" s="1971"/>
      <c r="DM21" s="1971"/>
      <c r="DN21" s="1971"/>
      <c r="DO21" s="1971"/>
      <c r="DP21" s="1971"/>
      <c r="DQ21" s="1971"/>
      <c r="DR21" s="1971"/>
      <c r="DS21" s="1971"/>
      <c r="DT21" s="1971"/>
      <c r="DU21" s="1971"/>
      <c r="DV21" s="1971"/>
      <c r="DW21" s="1971"/>
      <c r="DX21" s="1971"/>
      <c r="DY21" s="1971"/>
      <c r="DZ21" s="1971"/>
      <c r="EA21" s="1971"/>
      <c r="EB21" s="1971"/>
      <c r="EC21" s="1971"/>
      <c r="ED21" s="1971"/>
      <c r="EE21" s="1971"/>
      <c r="EF21" s="1971"/>
    </row>
    <row r="22" spans="2:136" ht="29.1">
      <c r="B22" s="1971"/>
      <c r="C22" s="1971"/>
      <c r="D22" s="1971"/>
      <c r="E22" s="1323" t="s">
        <v>459</v>
      </c>
      <c r="F22" s="1323" t="s">
        <v>57</v>
      </c>
      <c r="G22" s="1323" t="s">
        <v>57</v>
      </c>
      <c r="H22" s="1323" t="s">
        <v>172</v>
      </c>
      <c r="I22" s="1323" t="s">
        <v>57</v>
      </c>
      <c r="J22" s="1323" t="s">
        <v>57</v>
      </c>
      <c r="K22" s="1133" t="s">
        <v>459</v>
      </c>
      <c r="L22" s="1133" t="s">
        <v>459</v>
      </c>
      <c r="M22" s="1133" t="s">
        <v>459</v>
      </c>
      <c r="N22" s="1133" t="s">
        <v>57</v>
      </c>
      <c r="O22" s="1133" t="s">
        <v>57</v>
      </c>
      <c r="P22" s="1133" t="s">
        <v>57</v>
      </c>
      <c r="Q22" s="1133" t="s">
        <v>170</v>
      </c>
      <c r="R22" s="1133" t="s">
        <v>170</v>
      </c>
      <c r="S22" s="1133" t="s">
        <v>170</v>
      </c>
      <c r="T22" s="1133" t="s">
        <v>326</v>
      </c>
      <c r="U22" s="1133" t="s">
        <v>326</v>
      </c>
      <c r="V22" s="1133" t="s">
        <v>326</v>
      </c>
      <c r="W22" s="1133" t="s">
        <v>172</v>
      </c>
      <c r="X22" s="1133" t="s">
        <v>227</v>
      </c>
      <c r="Y22" s="1133" t="s">
        <v>227</v>
      </c>
      <c r="Z22" s="1133" t="s">
        <v>172</v>
      </c>
      <c r="AA22" s="1133" t="s">
        <v>227</v>
      </c>
      <c r="AB22" s="1133" t="s">
        <v>227</v>
      </c>
      <c r="AC22" s="1133" t="s">
        <v>459</v>
      </c>
      <c r="AD22" s="1133" t="s">
        <v>57</v>
      </c>
      <c r="AE22" s="1133" t="s">
        <v>57</v>
      </c>
      <c r="AF22" s="1133" t="s">
        <v>459</v>
      </c>
      <c r="AG22" s="1133" t="s">
        <v>57</v>
      </c>
      <c r="AH22" s="1133" t="s">
        <v>57</v>
      </c>
      <c r="AI22" s="1133" t="s">
        <v>57</v>
      </c>
      <c r="AJ22" s="1133" t="s">
        <v>459</v>
      </c>
      <c r="AK22" s="1133" t="s">
        <v>459</v>
      </c>
      <c r="AL22" s="1133" t="s">
        <v>57</v>
      </c>
      <c r="AM22" s="1133" t="s">
        <v>459</v>
      </c>
      <c r="AN22" s="1133" t="s">
        <v>459</v>
      </c>
      <c r="AO22" s="1133" t="s">
        <v>221</v>
      </c>
      <c r="AP22" s="1133" t="s">
        <v>57</v>
      </c>
      <c r="AQ22" s="1133" t="s">
        <v>57</v>
      </c>
      <c r="AR22" s="1133" t="s">
        <v>221</v>
      </c>
      <c r="AS22" s="1133" t="s">
        <v>57</v>
      </c>
      <c r="AT22" s="1133" t="s">
        <v>57</v>
      </c>
      <c r="AU22" s="1133" t="s">
        <v>57</v>
      </c>
      <c r="AV22" s="1133" t="s">
        <v>160</v>
      </c>
      <c r="AW22" s="1133" t="s">
        <v>160</v>
      </c>
      <c r="AX22" s="1133" t="s">
        <v>57</v>
      </c>
      <c r="AY22" s="1133" t="s">
        <v>160</v>
      </c>
      <c r="AZ22" s="1133" t="s">
        <v>160</v>
      </c>
      <c r="BA22" s="1133" t="s">
        <v>459</v>
      </c>
      <c r="BB22" s="1133" t="s">
        <v>57</v>
      </c>
      <c r="BC22" s="1133" t="s">
        <v>57</v>
      </c>
      <c r="BD22" s="1133" t="s">
        <v>459</v>
      </c>
      <c r="BE22" s="1133" t="s">
        <v>57</v>
      </c>
      <c r="BF22" s="1133" t="s">
        <v>57</v>
      </c>
      <c r="BG22" s="1133" t="s">
        <v>57</v>
      </c>
      <c r="BH22" s="1133" t="s">
        <v>172</v>
      </c>
      <c r="BI22" s="1133" t="s">
        <v>172</v>
      </c>
      <c r="BJ22" s="1133" t="s">
        <v>57</v>
      </c>
      <c r="BK22" s="1133" t="s">
        <v>172</v>
      </c>
      <c r="BL22" s="1133" t="s">
        <v>172</v>
      </c>
      <c r="BM22" s="1133" t="s">
        <v>57</v>
      </c>
      <c r="BN22" s="1133" t="s">
        <v>308</v>
      </c>
      <c r="BO22" s="1133" t="s">
        <v>308</v>
      </c>
      <c r="BP22" s="1133" t="s">
        <v>57</v>
      </c>
      <c r="BQ22" s="1133" t="s">
        <v>308</v>
      </c>
      <c r="BR22" s="1133" t="s">
        <v>308</v>
      </c>
      <c r="BS22" s="1324" t="s">
        <v>57</v>
      </c>
      <c r="BT22" s="1324" t="s">
        <v>310</v>
      </c>
      <c r="BU22" s="1324" t="s">
        <v>310</v>
      </c>
      <c r="BV22" s="1324" t="s">
        <v>57</v>
      </c>
      <c r="BW22" s="1324" t="s">
        <v>310</v>
      </c>
      <c r="BX22" s="1324" t="s">
        <v>310</v>
      </c>
      <c r="BY22" s="1133" t="s">
        <v>57</v>
      </c>
      <c r="BZ22" s="1133" t="s">
        <v>460</v>
      </c>
      <c r="CA22" s="1133" t="s">
        <v>460</v>
      </c>
      <c r="CB22" s="1133" t="s">
        <v>57</v>
      </c>
      <c r="CC22" s="1133" t="s">
        <v>460</v>
      </c>
      <c r="CD22" s="1133" t="s">
        <v>460</v>
      </c>
      <c r="CE22" s="1133" t="s">
        <v>57</v>
      </c>
      <c r="CF22" s="1133" t="s">
        <v>461</v>
      </c>
      <c r="CG22" s="1133" t="s">
        <v>461</v>
      </c>
      <c r="CH22" s="1133" t="s">
        <v>57</v>
      </c>
      <c r="CI22" s="1133" t="s">
        <v>461</v>
      </c>
      <c r="CJ22" s="1133" t="s">
        <v>461</v>
      </c>
      <c r="CK22" s="1133" t="s">
        <v>57</v>
      </c>
      <c r="CL22" s="1133" t="s">
        <v>462</v>
      </c>
      <c r="CM22" s="1133" t="s">
        <v>462</v>
      </c>
      <c r="CN22" s="1133" t="s">
        <v>57</v>
      </c>
      <c r="CO22" s="1133" t="s">
        <v>462</v>
      </c>
      <c r="CP22" s="1133" t="s">
        <v>462</v>
      </c>
      <c r="CQ22" s="1133" t="s">
        <v>57</v>
      </c>
      <c r="CR22" s="1133" t="s">
        <v>316</v>
      </c>
      <c r="CS22" s="1133" t="s">
        <v>316</v>
      </c>
      <c r="CT22" s="1133" t="s">
        <v>57</v>
      </c>
      <c r="CU22" s="1133" t="s">
        <v>316</v>
      </c>
      <c r="CV22" s="1133" t="s">
        <v>316</v>
      </c>
      <c r="CW22" s="1133" t="s">
        <v>459</v>
      </c>
      <c r="CX22" s="1133" t="s">
        <v>57</v>
      </c>
      <c r="CY22" s="1133" t="s">
        <v>459</v>
      </c>
      <c r="CZ22" s="1133" t="s">
        <v>459</v>
      </c>
      <c r="DA22" s="1133" t="s">
        <v>57</v>
      </c>
      <c r="DB22" s="1133" t="s">
        <v>459</v>
      </c>
      <c r="DC22" s="1133" t="s">
        <v>57</v>
      </c>
      <c r="DD22" s="1133" t="s">
        <v>57</v>
      </c>
      <c r="DE22" s="1133" t="s">
        <v>176</v>
      </c>
      <c r="DF22" s="1133" t="s">
        <v>57</v>
      </c>
      <c r="DG22" s="1133" t="s">
        <v>57</v>
      </c>
      <c r="DH22" s="1133" t="s">
        <v>176</v>
      </c>
      <c r="DI22" s="1133" t="s">
        <v>459</v>
      </c>
      <c r="DJ22" s="1133" t="s">
        <v>57</v>
      </c>
      <c r="DK22" s="1133" t="s">
        <v>57</v>
      </c>
      <c r="DL22" s="1133" t="s">
        <v>459</v>
      </c>
      <c r="DM22" s="1133" t="s">
        <v>57</v>
      </c>
      <c r="DN22" s="1133" t="s">
        <v>57</v>
      </c>
      <c r="DO22" s="1133" t="s">
        <v>57</v>
      </c>
      <c r="DP22" s="1133" t="s">
        <v>176</v>
      </c>
      <c r="DQ22" s="1133" t="s">
        <v>176</v>
      </c>
      <c r="DR22" s="1133" t="s">
        <v>57</v>
      </c>
      <c r="DS22" s="1133" t="s">
        <v>176</v>
      </c>
      <c r="DT22" s="1133" t="s">
        <v>176</v>
      </c>
      <c r="DU22" s="1133" t="s">
        <v>459</v>
      </c>
      <c r="DV22" s="1133" t="s">
        <v>57</v>
      </c>
      <c r="DW22" s="1133" t="s">
        <v>57</v>
      </c>
      <c r="DX22" s="1133" t="s">
        <v>459</v>
      </c>
      <c r="DY22" s="1133" t="s">
        <v>57</v>
      </c>
      <c r="DZ22" s="1133" t="s">
        <v>57</v>
      </c>
      <c r="EA22" s="1133" t="s">
        <v>284</v>
      </c>
      <c r="EB22" s="1133" t="s">
        <v>57</v>
      </c>
      <c r="EC22" s="1133" t="s">
        <v>319</v>
      </c>
      <c r="ED22" s="1133" t="s">
        <v>284</v>
      </c>
      <c r="EE22" s="1133" t="s">
        <v>57</v>
      </c>
      <c r="EF22" s="1133" t="s">
        <v>319</v>
      </c>
    </row>
    <row r="23" spans="2:136">
      <c r="B23" s="1971"/>
      <c r="C23" s="1971"/>
      <c r="D23" s="1971"/>
      <c r="E23" s="1325" t="str">
        <f>CONCATENATE(E26,(SUBSTITUTE(E27," ","")),E28)</f>
        <v>UrbanNewConstruction2.2</v>
      </c>
      <c r="F23" s="1325" t="str">
        <f>CONCATENATE(F26,(SUBSTITUTE(F27," - ","")),F28)</f>
        <v>UrbanRehabModerate2.2</v>
      </c>
      <c r="G23" s="1325" t="str">
        <f>CONCATENATE(G26,(SUBSTITUTE(G27," - ","")),G28)</f>
        <v>UrbanRehabSubstantial2.2</v>
      </c>
      <c r="H23" s="1325" t="str">
        <f>CONCATENATE(H26,(SUBSTITUTE(H27," ","")),H28)</f>
        <v>RuralNewConstruction2.2</v>
      </c>
      <c r="I23" s="1325" t="str">
        <f>CONCATENATE(I26,(SUBSTITUTE(I27," - ","")),I28)</f>
        <v>RuralRehabModerate2.2</v>
      </c>
      <c r="J23" s="1325" t="str">
        <f>CONCATENATE(J26,(SUBSTITUTE(J27," - ","")),J28)</f>
        <v>RuralRehabSubstantial2.2</v>
      </c>
      <c r="K23" s="1325" t="str">
        <f>CONCATENATE(K26,(SUBSTITUTE(K27," ","")),K28)</f>
        <v>UrbanNewConstruction2.7A</v>
      </c>
      <c r="L23" s="1325" t="str">
        <f>CONCATENATE(L26,(SUBSTITUTE(L27," - ","")),L28)</f>
        <v>UrbanRehabModerate2.7A</v>
      </c>
      <c r="M23" s="1325" t="str">
        <f>CONCATENATE(M26,(SUBSTITUTE(M27," - ","")),M28)</f>
        <v>UrbanRehabSubstantial2.7A</v>
      </c>
      <c r="N23" s="1325" t="str">
        <f>CONCATENATE(N26,(SUBSTITUTE(N27," ","")),N28)</f>
        <v>RuralNewConstruction2.7A</v>
      </c>
      <c r="O23" s="1325" t="str">
        <f>CONCATENATE(O26,(SUBSTITUTE(O27," - ","")),O28)</f>
        <v>RuralRehabModerate2.7A</v>
      </c>
      <c r="P23" s="1325" t="str">
        <f>CONCATENATE(P26,(SUBSTITUTE(P27," - ","")),P28)</f>
        <v>RuralRehabSubstantial2.7A</v>
      </c>
      <c r="Q23" s="1325" t="str">
        <f>CONCATENATE(Q26,(SUBSTITUTE(Q27," ","")),Q28)</f>
        <v>UrbanNewConstruction2.7B</v>
      </c>
      <c r="R23" s="1325" t="str">
        <f>CONCATENATE(R26,(SUBSTITUTE(R27," - ","")),R28)</f>
        <v>UrbanRehabModerate2.7B</v>
      </c>
      <c r="S23" s="1325" t="str">
        <f>CONCATENATE(S26,(SUBSTITUTE(S27," - ","")),S28)</f>
        <v>UrbanRehabSubstantial2.7B</v>
      </c>
      <c r="T23" s="1325" t="str">
        <f>CONCATENATE(T26,(SUBSTITUTE(T27," ","")),T28)</f>
        <v>RuralNewConstruction2.7B</v>
      </c>
      <c r="U23" s="1325" t="str">
        <f>CONCATENATE(U26,(SUBSTITUTE(U27," - ","")),U28)</f>
        <v>RuralRehabModerate2.7B</v>
      </c>
      <c r="V23" s="1325" t="str">
        <f>CONCATENATE(V26,(SUBSTITUTE(V27," - ","")),V28)</f>
        <v>RuralRehabSubstantial2.7B</v>
      </c>
      <c r="W23" s="1325" t="str">
        <f>CONCATENATE(W26,(SUBSTITUTE(W27," ","")),W28)</f>
        <v>UrbanNewConstruction4.2</v>
      </c>
      <c r="X23" s="1325" t="str">
        <f>CONCATENATE(X26,(SUBSTITUTE(X27," - ","")),X28)</f>
        <v>UrbanRehabModerate4.2</v>
      </c>
      <c r="Y23" s="1325" t="str">
        <f>CONCATENATE(Y26,(SUBSTITUTE(Y27," - ","")),Y28)</f>
        <v>UrbanRehabSubstantial4.2</v>
      </c>
      <c r="Z23" s="1325" t="str">
        <f>CONCATENATE(Z26,(SUBSTITUTE(Z27," ","")),Z28)</f>
        <v>RuralNewConstruction4.2</v>
      </c>
      <c r="AA23" s="1325" t="str">
        <f>CONCATENATE(AA26,(SUBSTITUTE(AA27," - ","")),AA28)</f>
        <v>RuralRehabModerate4.2</v>
      </c>
      <c r="AB23" s="1325" t="str">
        <f>CONCATENATE(AB26,(SUBSTITUTE(AB27," - ","")),AB28)</f>
        <v>RuralRehabSubstantial4.2</v>
      </c>
      <c r="AC23" s="1325" t="str">
        <f>CONCATENATE(AC26,(SUBSTITUTE(AC27," ","")),AC28)</f>
        <v>UrbanNewConstruction5.1A</v>
      </c>
      <c r="AD23" s="1325" t="str">
        <f>CONCATENATE(AD26,(SUBSTITUTE(AD27," - ","")),AD28)</f>
        <v>UrbanRehabModerate5.1A</v>
      </c>
      <c r="AE23" s="1325" t="str">
        <f>CONCATENATE(AE26,(SUBSTITUTE(AE27," - ","")),AE28)</f>
        <v>UrbanRehabSubstantial5.1A</v>
      </c>
      <c r="AF23" s="1325" t="str">
        <f>CONCATENATE(AF26,(SUBSTITUTE(AF27," ","")),AF28)</f>
        <v>RuralNewConstruction5.1A</v>
      </c>
      <c r="AG23" s="1325" t="str">
        <f>CONCATENATE(AG26,(SUBSTITUTE(AG27," - ","")),AG28)</f>
        <v>RuralRehabModerate5.1A</v>
      </c>
      <c r="AH23" s="1325" t="str">
        <f>CONCATENATE(AH26,(SUBSTITUTE(AH27," - ","")),AH28)</f>
        <v>RuralRehabSubstantial5.1A</v>
      </c>
      <c r="AI23" s="1325" t="str">
        <f>CONCATENATE(AI26,(SUBSTITUTE(AI27," ","")),AI28)</f>
        <v>UrbanNewConstruction5.1B</v>
      </c>
      <c r="AJ23" s="1325" t="str">
        <f>CONCATENATE(AJ26,(SUBSTITUTE(AJ27," - ","")),AJ28)</f>
        <v>UrbanRehabModerate5.1B</v>
      </c>
      <c r="AK23" s="1325" t="str">
        <f>CONCATENATE(AK26,(SUBSTITUTE(AK27," - ","")),AK28)</f>
        <v>UrbanRehabSubstantial5.1B</v>
      </c>
      <c r="AL23" s="1325" t="str">
        <f>CONCATENATE(AL26,(SUBSTITUTE(AL27," ","")),AL28)</f>
        <v>RuralNewConstruction5.1B</v>
      </c>
      <c r="AM23" s="1325" t="str">
        <f>CONCATENATE(AM26,(SUBSTITUTE(AM27," - ","")),AM28)</f>
        <v>RuralRehabModerate5.1B</v>
      </c>
      <c r="AN23" s="1325" t="str">
        <f>CONCATENATE(AN26,(SUBSTITUTE(AN27," - ","")),AN28)</f>
        <v>RuralRehabSubstantial5.1B</v>
      </c>
      <c r="AO23" s="1325" t="str">
        <f>CONCATENATE(AO26,(SUBSTITUTE(AO27," ","")),AO28)</f>
        <v>UrbanNewConstruction5.2A</v>
      </c>
      <c r="AP23" s="1325" t="str">
        <f>CONCATENATE(AP26,(SUBSTITUTE(AP27," - ","")),AP28)</f>
        <v>UrbanRehabModerate5.2A</v>
      </c>
      <c r="AQ23" s="1325" t="str">
        <f>CONCATENATE(AQ26,(SUBSTITUTE(AQ27," - ","")),AQ28)</f>
        <v>UrbanRehabSubstantial5.2A</v>
      </c>
      <c r="AR23" s="1325" t="str">
        <f>CONCATENATE(AR26,(SUBSTITUTE(AR27," ","")),AR28)</f>
        <v>RuralNewConstruction5.2A</v>
      </c>
      <c r="AS23" s="1325" t="str">
        <f>CONCATENATE(AS26,(SUBSTITUTE(AS27," - ","")),AS28)</f>
        <v>RuralRehabModerate5.2A</v>
      </c>
      <c r="AT23" s="1325" t="str">
        <f>CONCATENATE(AT26,(SUBSTITUTE(AT27," - ","")),AT28)</f>
        <v>RuralRehabSubstantial5.2A</v>
      </c>
      <c r="AU23" s="1325" t="str">
        <f>CONCATENATE(AU26,(SUBSTITUTE(AU27," ","")),AU28)</f>
        <v>UrbanNewConstruction5.2B</v>
      </c>
      <c r="AV23" s="1325" t="str">
        <f>CONCATENATE(AV26,(SUBSTITUTE(AV27," - ","")),AV28)</f>
        <v>UrbanRehabModerate5.2B</v>
      </c>
      <c r="AW23" s="1325" t="str">
        <f>CONCATENATE(AW26,(SUBSTITUTE(AW27," - ","")),AW28)</f>
        <v>UrbanRehabSubstantial5.2B</v>
      </c>
      <c r="AX23" s="1325" t="str">
        <f>CONCATENATE(AX26,(SUBSTITUTE(AX27," ","")),AX28)</f>
        <v>RuralNewConstruction5.2B</v>
      </c>
      <c r="AY23" s="1325" t="str">
        <f>CONCATENATE(AY26,(SUBSTITUTE(AY27," - ","")),AY28)</f>
        <v>RuralRehabModerate5.2B</v>
      </c>
      <c r="AZ23" s="1325" t="str">
        <f>CONCATENATE(AZ26,(SUBSTITUTE(AZ27," - ","")),AZ28)</f>
        <v>RuralRehabSubstantial5.2B</v>
      </c>
      <c r="BA23" s="1325" t="str">
        <f>CONCATENATE(BA26,(SUBSTITUTE(BA27," ","")),BA28)</f>
        <v>UrbanNewConstruction5.7A</v>
      </c>
      <c r="BB23" s="1325" t="str">
        <f>CONCATENATE(BB26,(SUBSTITUTE(BB27," - ","")),BB28)</f>
        <v>UrbanRehabModerate5.7A</v>
      </c>
      <c r="BC23" s="1325" t="str">
        <f>CONCATENATE(BC26,(SUBSTITUTE(BC27," - ","")),BC28)</f>
        <v>UrbanRehabSubstantial5.7A</v>
      </c>
      <c r="BD23" s="1325" t="str">
        <f>CONCATENATE(BD26,(SUBSTITUTE(BD27," ","")),BD28)</f>
        <v>RuralNewConstruction5.7A</v>
      </c>
      <c r="BE23" s="1325" t="str">
        <f>CONCATENATE(BE26,(SUBSTITUTE(BE27," - ","")),BE28)</f>
        <v>RuralRehabModerate5.7A</v>
      </c>
      <c r="BF23" s="1325" t="str">
        <f>CONCATENATE(BF26,(SUBSTITUTE(BF27," - ","")),BF28)</f>
        <v>RuralRehabSubstantial5.7A</v>
      </c>
      <c r="BG23" s="1325" t="str">
        <f>CONCATENATE(BG26,(SUBSTITUTE(BG27," ","")),BG28)</f>
        <v>UrbanNewConstruction5.7B</v>
      </c>
      <c r="BH23" s="1325" t="str">
        <f>CONCATENATE(BH26,(SUBSTITUTE(BH27," - ","")),BH28)</f>
        <v>UrbanRehabModerate5.7B</v>
      </c>
      <c r="BI23" s="1325" t="str">
        <f>CONCATENATE(BI26,(SUBSTITUTE(BI27," - ","")),BI28)</f>
        <v>UrbanRehabSubstantial5.7B</v>
      </c>
      <c r="BJ23" s="1325" t="str">
        <f>CONCATENATE(BJ26,(SUBSTITUTE(BJ27," ","")),BJ28)</f>
        <v>RuralNewConstruction5.7B</v>
      </c>
      <c r="BK23" s="1325" t="str">
        <f>CONCATENATE(BK26,(SUBSTITUTE(BK27," - ","")),BK28)</f>
        <v>RuralRehabModerate5.7B</v>
      </c>
      <c r="BL23" s="1325" t="str">
        <f>CONCATENATE(BL26,(SUBSTITUTE(BL27," - ","")),BL28)</f>
        <v>RuralRehabSubstantial5.7B</v>
      </c>
      <c r="BM23" s="1325" t="str">
        <f>CONCATENATE(BM26,(SUBSTITUTE(BM27," ","")),BM28)</f>
        <v>UrbanNewConstruction5.8A</v>
      </c>
      <c r="BN23" s="1325" t="str">
        <f>CONCATENATE(BN26,(SUBSTITUTE(BN27," - ","")),BN28)</f>
        <v>UrbanRehabModerate5.8A</v>
      </c>
      <c r="BO23" s="1325" t="str">
        <f>CONCATENATE(BO26,(SUBSTITUTE(BO27," - ","")),BO28)</f>
        <v>UrbanRehabSubstantial5.8A</v>
      </c>
      <c r="BP23" s="1325" t="str">
        <f>CONCATENATE(BP26,(SUBSTITUTE(BP27," ","")),BP28)</f>
        <v>RuralNewConstruction5.8A</v>
      </c>
      <c r="BQ23" s="1325" t="str">
        <f>CONCATENATE(BQ26,(SUBSTITUTE(BQ27," - ","")),BQ28)</f>
        <v>RuralRehabModerate5.8A</v>
      </c>
      <c r="BR23" s="1325" t="str">
        <f>CONCATENATE(BR26,(SUBSTITUTE(BR27," - ","")),BR28)</f>
        <v>RuralRehabSubstantial5.8A</v>
      </c>
      <c r="BS23" s="1325" t="str">
        <f>CONCATENATE(BS26,(SUBSTITUTE(BS27," ","")),BS28)</f>
        <v>UrbanNewConstruction5.8C</v>
      </c>
      <c r="BT23" s="1325" t="str">
        <f>CONCATENATE(BT26,(SUBSTITUTE(BT27," - ","")),BT28)</f>
        <v>UrbanRehabModerate5.8C</v>
      </c>
      <c r="BU23" s="1325" t="str">
        <f>CONCATENATE(BU26,(SUBSTITUTE(BU27," - ","")),BU28)</f>
        <v>UrbanRehabSubstantial5.8C</v>
      </c>
      <c r="BV23" s="1325" t="str">
        <f>CONCATENATE(BV26,(SUBSTITUTE(BV27," ","")),BV28)</f>
        <v>RuralNewConstruction5.8C</v>
      </c>
      <c r="BW23" s="1325" t="str">
        <f>CONCATENATE(BW26,(SUBSTITUTE(BW27," - ","")),BW28)</f>
        <v>RuralRehabModerate5.8C</v>
      </c>
      <c r="BX23" s="1325" t="str">
        <f>CONCATENATE(BX26,(SUBSTITUTE(BX27," - ","")),BX28)</f>
        <v>RuralRehabSubstantial5.8C</v>
      </c>
      <c r="BY23" s="1325" t="str">
        <f>CONCATENATE(BY26,(SUBSTITUTE(BY27," ","")),BY28)</f>
        <v>UrbanNewConstruction5.1</v>
      </c>
      <c r="BZ23" s="1325" t="str">
        <f>CONCATENATE(BZ26,(SUBSTITUTE(BZ27," - ","")),BZ28)</f>
        <v>UrbanRehabModerate5.1</v>
      </c>
      <c r="CA23" s="1325" t="str">
        <f>CONCATENATE(CA26,(SUBSTITUTE(CA27," - ","")),CA28)</f>
        <v>UrbanRehabSubstantial5.1</v>
      </c>
      <c r="CB23" s="1325" t="str">
        <f>CONCATENATE(CB26,(SUBSTITUTE(CB27," ","")),CB28)</f>
        <v>RuralNewConstruction5.1</v>
      </c>
      <c r="CC23" s="1325" t="str">
        <f>CONCATENATE(CC26,(SUBSTITUTE(CC27," - ","")),CC28)</f>
        <v>RuralRehabModerate5.1</v>
      </c>
      <c r="CD23" s="1325" t="str">
        <f>CONCATENATE(CD26,(SUBSTITUTE(CD27," - ","")),CD28)</f>
        <v>RuralRehabSubstantial5.1</v>
      </c>
      <c r="CE23" s="1325" t="str">
        <f>CONCATENATE(CE26,(SUBSTITUTE(CE27," ","")),CE28)</f>
        <v>UrbanNewConstruction5.11</v>
      </c>
      <c r="CF23" s="1325" t="str">
        <f>CONCATENATE(CF26,(SUBSTITUTE(CF27," - ","")),CF28)</f>
        <v>UrbanRehabModerate5.11</v>
      </c>
      <c r="CG23" s="1325" t="str">
        <f>CONCATENATE(CG26,(SUBSTITUTE(CG27," - ","")),CG28)</f>
        <v>UrbanRehabSubstantial5.11</v>
      </c>
      <c r="CH23" s="1325" t="str">
        <f>CONCATENATE(CH26,(SUBSTITUTE(CH27," ","")),CH28)</f>
        <v>RuralNewConstruction5.11</v>
      </c>
      <c r="CI23" s="1325" t="str">
        <f>CONCATENATE(CI26,(SUBSTITUTE(CI27," - ","")),CI28)</f>
        <v>RuralRehabModerate5.11</v>
      </c>
      <c r="CJ23" s="1325" t="str">
        <f>CONCATENATE(CJ26,(SUBSTITUTE(CJ27," - ","")),CJ28)</f>
        <v>RuralRehabSubstantial5.11</v>
      </c>
      <c r="CK23" s="1325" t="str">
        <f>CONCATENATE(CK26,(SUBSTITUTE(CK27," ","")),CK28)</f>
        <v>UrbanNewConstruction5.12</v>
      </c>
      <c r="CL23" s="1325" t="str">
        <f>CONCATENATE(CL26,(SUBSTITUTE(CL27," - ","")),CL28)</f>
        <v>UrbanRehabModerate5.12</v>
      </c>
      <c r="CM23" s="1325" t="str">
        <f>CONCATENATE(CM26,(SUBSTITUTE(CM27," - ","")),CM28)</f>
        <v>UrbanRehabSubstantial5.12</v>
      </c>
      <c r="CN23" s="1325" t="str">
        <f>CONCATENATE(CN26,(SUBSTITUTE(CN27," ","")),CN28)</f>
        <v>RuralNewConstruction5.12</v>
      </c>
      <c r="CO23" s="1325" t="str">
        <f>CONCATENATE(CO26,(SUBSTITUTE(CO27," - ","")),CO28)</f>
        <v>RuralRehabModerate5.12</v>
      </c>
      <c r="CP23" s="1325" t="str">
        <f>CONCATENATE(CP26,(SUBSTITUTE(CP27," - ","")),CP28)</f>
        <v>RuralRehabSubstantial5.12</v>
      </c>
      <c r="CQ23" s="1325" t="str">
        <f>CONCATENATE(CQ26,(SUBSTITUTE(CQ27," ","")),CQ28)</f>
        <v>UrbanNewConstruction5.13</v>
      </c>
      <c r="CR23" s="1325" t="str">
        <f>CONCATENATE(CR26,(SUBSTITUTE(CR27," - ","")),CR28)</f>
        <v>UrbanRehabModerate5.13</v>
      </c>
      <c r="CS23" s="1325" t="str">
        <f>CONCATENATE(CS26,(SUBSTITUTE(CS27," - ","")),CS28)</f>
        <v>UrbanRehabSubstantial5.13</v>
      </c>
      <c r="CT23" s="1325" t="str">
        <f>CONCATENATE(CT26,(SUBSTITUTE(CT27," ","")),CT28)</f>
        <v>RuralNewConstruction5.13</v>
      </c>
      <c r="CU23" s="1325" t="str">
        <f>CONCATENATE(CU26,(SUBSTITUTE(CU27," - ","")),CU28)</f>
        <v>RuralRehabModerate5.13</v>
      </c>
      <c r="CV23" s="1325" t="str">
        <f>CONCATENATE(CV26,(SUBSTITUTE(CV27," - ","")),CV28)</f>
        <v>RuralRehabSubstantial5.13</v>
      </c>
      <c r="CW23" s="1325" t="str">
        <f>CONCATENATE(CW26,(SUBSTITUTE(CW27," ","")),CW28)</f>
        <v>UrbanNewConstruction7.3A</v>
      </c>
      <c r="CX23" s="1325" t="str">
        <f>CONCATENATE(CX26,(SUBSTITUTE(CX27," - ","")),CX28)</f>
        <v>UrbanRehabModerate7.3A</v>
      </c>
      <c r="CY23" s="1325" t="str">
        <f>CONCATENATE(CY26,(SUBSTITUTE(CY27," - ","")),CY28)</f>
        <v>UrbanRehabSubstantial7.3A</v>
      </c>
      <c r="CZ23" s="1325" t="str">
        <f>CONCATENATE(CZ26,(SUBSTITUTE(CZ27," ","")),CZ28)</f>
        <v>RuralNewConstruction7.3A</v>
      </c>
      <c r="DA23" s="1325" t="str">
        <f>CONCATENATE(DA26,(SUBSTITUTE(DA27," - ","")),DA28)</f>
        <v>RuralRehabModerate7.3A</v>
      </c>
      <c r="DB23" s="1325" t="str">
        <f>CONCATENATE(DB26,(SUBSTITUTE(DB27," - ","")),DB28)</f>
        <v>RuralRehabSubstantial7.3A</v>
      </c>
      <c r="DC23" s="1325" t="str">
        <f>CONCATENATE(DC26,(SUBSTITUTE(DC27," ","")),DC28)</f>
        <v>UrbanNewConstruction7.3B</v>
      </c>
      <c r="DD23" s="1325" t="str">
        <f>CONCATENATE(DD26,(SUBSTITUTE(DD27," - ","")),DD28)</f>
        <v>UrbanRehabModerate7.3B</v>
      </c>
      <c r="DE23" s="1325" t="str">
        <f>CONCATENATE(DE26,(SUBSTITUTE(DE27," - ","")),DE28)</f>
        <v>UrbanRehabSubstantial7.3B</v>
      </c>
      <c r="DF23" s="1325" t="str">
        <f>CONCATENATE(DF26,(SUBSTITUTE(DF27," ","")),DF28)</f>
        <v>RuralNewConstruction7.3B</v>
      </c>
      <c r="DG23" s="1325" t="str">
        <f>CONCATENATE(DG26,(SUBSTITUTE(DG27," - ","")),DG28)</f>
        <v>RuralRehabModerate7.3B</v>
      </c>
      <c r="DH23" s="1325" t="str">
        <f>CONCATENATE(DH26,(SUBSTITUTE(DH27," - ","")),DH28)</f>
        <v>RuralRehabSubstantial7.3B</v>
      </c>
      <c r="DI23" s="1325" t="str">
        <f>CONCATENATE(DI26,(SUBSTITUTE(DI27," ","")),DI28)</f>
        <v>UrbanNewConstruction7.4A</v>
      </c>
      <c r="DJ23" s="1325" t="str">
        <f>CONCATENATE(DJ26,(SUBSTITUTE(DJ27," - ","")),DJ28)</f>
        <v>UrbanRehabModerate7.4A</v>
      </c>
      <c r="DK23" s="1325" t="str">
        <f>CONCATENATE(DK26,(SUBSTITUTE(DK27," - ","")),DK28)</f>
        <v>UrbanRehabSubstantial7.4A</v>
      </c>
      <c r="DL23" s="1325" t="str">
        <f>CONCATENATE(DL26,(SUBSTITUTE(DL27," ","")),DL28)</f>
        <v>RuralNewConstruction7.4A</v>
      </c>
      <c r="DM23" s="1325" t="str">
        <f>CONCATENATE(DM26,(SUBSTITUTE(DM27," - ","")),DM28)</f>
        <v>RuralRehabModerate7.4A</v>
      </c>
      <c r="DN23" s="1325" t="str">
        <f>CONCATENATE(DN26,(SUBSTITUTE(DN27," - ","")),DN28)</f>
        <v>RuralRehabSubstantial7.4A</v>
      </c>
      <c r="DO23" s="1325" t="str">
        <f>CONCATENATE(DO26,(SUBSTITUTE(DO27," ","")),DO28)</f>
        <v>UrbanNewConstruction7.4B</v>
      </c>
      <c r="DP23" s="1325" t="str">
        <f>CONCATENATE(DP26,(SUBSTITUTE(DP27," - ","")),DP28)</f>
        <v>UrbanRehabModerate7.4B</v>
      </c>
      <c r="DQ23" s="1325" t="str">
        <f>CONCATENATE(DQ26,(SUBSTITUTE(DQ27," - ","")),DQ28)</f>
        <v>UrbanRehabSubstantial7.4B</v>
      </c>
      <c r="DR23" s="1325" t="str">
        <f>CONCATENATE(DR26,(SUBSTITUTE(DR27," ","")),DR28)</f>
        <v>RuralNewConstruction7.4B</v>
      </c>
      <c r="DS23" s="1325" t="str">
        <f>CONCATENATE(DS26,(SUBSTITUTE(DS27," - ","")),DS28)</f>
        <v>RuralRehabModerate7.4B</v>
      </c>
      <c r="DT23" s="1325" t="str">
        <f>CONCATENATE(DT26,(SUBSTITUTE(DT27," - ","")),DT28)</f>
        <v>RuralRehabSubstantial7.4B</v>
      </c>
      <c r="DU23" s="1325" t="str">
        <f>CONCATENATE(DU26,(SUBSTITUTE(DU27," ","")),DU28)</f>
        <v>UrbanNewConstruction7.13A</v>
      </c>
      <c r="DV23" s="1325" t="str">
        <f>CONCATENATE(DV26,(SUBSTITUTE(DV27," - ","")),DV28)</f>
        <v>UrbanRehabModerate7.13A</v>
      </c>
      <c r="DW23" s="1325" t="str">
        <f>CONCATENATE(DW26,(SUBSTITUTE(DW27," - ","")),DW28)</f>
        <v>UrbanRehabSubstantial7.13A</v>
      </c>
      <c r="DX23" s="1325" t="str">
        <f>CONCATENATE(DX26,(SUBSTITUTE(DX27," ","")),DX28)</f>
        <v>RuralNewConstruction7.13A</v>
      </c>
      <c r="DY23" s="1325" t="str">
        <f>CONCATENATE(DY26,(SUBSTITUTE(DY27," - ","")),DY28)</f>
        <v>RuralRehabModerate7.13A</v>
      </c>
      <c r="DZ23" s="1325" t="str">
        <f>CONCATENATE(DZ26,(SUBSTITUTE(DZ27," - ","")),DZ28)</f>
        <v>RuralRehabSubstantial7.13A</v>
      </c>
      <c r="EA23" s="1325" t="str">
        <f>CONCATENATE(EA26,(SUBSTITUTE(EA27," ","")),EA28)</f>
        <v>UrbanNewConstruction7.13B</v>
      </c>
      <c r="EB23" s="1325" t="str">
        <f>CONCATENATE(EB26,(SUBSTITUTE(EB27," - ","")),EB28)</f>
        <v>UrbanRehabModerate7.13B</v>
      </c>
      <c r="EC23" s="1325" t="str">
        <f>CONCATENATE(EC26,(SUBSTITUTE(EC27," - ","")),EC28)</f>
        <v>UrbanRehabSubstantial7.13B</v>
      </c>
      <c r="ED23" s="1325" t="str">
        <f>CONCATENATE(ED26,(SUBSTITUTE(ED27," ","")),ED28)</f>
        <v>RuralNewConstruction7.13B</v>
      </c>
      <c r="EE23" s="1325" t="str">
        <f>CONCATENATE(EE26,(SUBSTITUTE(EE27," - ","")),EE28)</f>
        <v>RuralRehabModerate7.13B</v>
      </c>
      <c r="EF23" s="1325" t="str">
        <f>CONCATENATE(EF26,(SUBSTITUTE(EF27," - ","")),EF28)</f>
        <v>RuralRehabSubstantial7.13B</v>
      </c>
    </row>
    <row r="24" spans="2:136" ht="29.1">
      <c r="B24" s="1971"/>
      <c r="C24" s="1971"/>
      <c r="D24" s="1133" t="s">
        <v>463</v>
      </c>
      <c r="E24" s="1971"/>
      <c r="F24" s="1971"/>
      <c r="G24" s="1971"/>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1"/>
      <c r="BD24" s="1971"/>
      <c r="BE24" s="1971"/>
      <c r="BF24" s="1971"/>
      <c r="BG24" s="1971"/>
      <c r="BH24" s="1971"/>
      <c r="BI24" s="1971"/>
      <c r="BJ24" s="1971"/>
      <c r="BK24" s="1971"/>
      <c r="BL24" s="1971"/>
      <c r="BM24" s="1971"/>
      <c r="BN24" s="1971"/>
      <c r="BO24" s="1971"/>
      <c r="BP24" s="1971"/>
      <c r="BQ24" s="1971"/>
      <c r="BR24" s="1971"/>
      <c r="BS24" s="1971"/>
      <c r="BT24" s="1971"/>
      <c r="BU24" s="1971"/>
      <c r="BV24" s="1971"/>
      <c r="BW24" s="1971"/>
      <c r="BX24" s="1971"/>
      <c r="BY24" s="1971"/>
      <c r="BZ24" s="1971"/>
      <c r="CA24" s="1971"/>
      <c r="CB24" s="1971"/>
      <c r="CC24" s="1971"/>
      <c r="CD24" s="1971"/>
      <c r="CE24" s="1971"/>
      <c r="CF24" s="1971"/>
      <c r="CG24" s="1971"/>
      <c r="CH24" s="1971"/>
      <c r="CI24" s="1971"/>
      <c r="CJ24" s="1971"/>
      <c r="CK24" s="1971"/>
      <c r="CL24" s="1971"/>
      <c r="CM24" s="1971"/>
      <c r="CN24" s="1971"/>
      <c r="CO24" s="1971"/>
      <c r="CP24" s="1971"/>
      <c r="CQ24" s="1971"/>
      <c r="CR24" s="1971"/>
      <c r="CS24" s="1971"/>
      <c r="CT24" s="1971"/>
      <c r="CU24" s="1971"/>
      <c r="CV24" s="1971"/>
      <c r="CW24" s="1971"/>
      <c r="CX24" s="1971"/>
      <c r="CY24" s="1971"/>
      <c r="CZ24" s="1971"/>
      <c r="DA24" s="1971"/>
      <c r="DB24" s="1971"/>
      <c r="DC24" s="1971"/>
      <c r="DD24" s="1971"/>
      <c r="DE24" s="1971"/>
      <c r="DF24" s="1971"/>
      <c r="DG24" s="1971"/>
      <c r="DH24" s="1971"/>
      <c r="DI24" s="1971"/>
      <c r="DJ24" s="1971"/>
      <c r="DK24" s="1971"/>
      <c r="DL24" s="1971"/>
      <c r="DM24" s="1971"/>
      <c r="DN24" s="1971"/>
      <c r="DO24" s="1971"/>
      <c r="DP24" s="1971"/>
      <c r="DQ24" s="1971"/>
      <c r="DR24" s="1971"/>
      <c r="DS24" s="1971"/>
      <c r="DT24" s="1971"/>
      <c r="DU24" s="1971"/>
      <c r="DV24" s="1971"/>
      <c r="DW24" s="1971"/>
      <c r="DX24" s="1971"/>
      <c r="DY24" s="1971"/>
      <c r="DZ24" s="1971"/>
      <c r="EA24" s="1971"/>
      <c r="EB24" s="1971"/>
      <c r="EC24" s="1971"/>
      <c r="ED24" s="1971"/>
      <c r="EE24" s="1971"/>
      <c r="EF24" s="1971"/>
    </row>
    <row r="25" spans="2:136">
      <c r="B25" s="1971"/>
      <c r="C25" s="1971"/>
      <c r="D25" s="1971" t="s">
        <v>464</v>
      </c>
      <c r="E25" s="1971"/>
      <c r="F25" s="1971"/>
      <c r="G25" s="1971"/>
      <c r="H25" s="1971"/>
      <c r="I25" s="1971"/>
      <c r="J25" s="1971"/>
      <c r="K25" s="1971"/>
      <c r="L25" s="1971"/>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c r="AN25" s="1971"/>
      <c r="AO25" s="1971"/>
      <c r="AP25" s="1971"/>
      <c r="AQ25" s="1971"/>
      <c r="AR25" s="1971"/>
      <c r="AS25" s="1971"/>
      <c r="AT25" s="1971"/>
      <c r="AU25" s="1971"/>
      <c r="AV25" s="1971"/>
      <c r="AW25" s="1971"/>
      <c r="AX25" s="1971"/>
      <c r="AY25" s="1971"/>
      <c r="AZ25" s="1971"/>
      <c r="BA25" s="1971"/>
      <c r="BB25" s="1971"/>
      <c r="BC25" s="1971"/>
      <c r="BD25" s="1971"/>
      <c r="BE25" s="1971"/>
      <c r="BF25" s="1971"/>
      <c r="BG25" s="1971"/>
      <c r="BH25" s="1971"/>
      <c r="BI25" s="1971"/>
      <c r="BJ25" s="1971"/>
      <c r="BK25" s="1971"/>
      <c r="BL25" s="1971"/>
      <c r="BM25" s="1971"/>
      <c r="BN25" s="1971"/>
      <c r="BO25" s="1971"/>
      <c r="BP25" s="1971"/>
      <c r="BQ25" s="1971"/>
      <c r="BR25" s="1971"/>
      <c r="BS25" s="1971"/>
      <c r="BT25" s="1971"/>
      <c r="BU25" s="1971"/>
      <c r="BV25" s="1971"/>
      <c r="BW25" s="1971"/>
      <c r="BX25" s="1971"/>
      <c r="BY25" s="1971"/>
      <c r="BZ25" s="1971"/>
      <c r="CA25" s="1971"/>
      <c r="CB25" s="1971"/>
      <c r="CC25" s="1971"/>
      <c r="CD25" s="1971"/>
      <c r="CE25" s="1971"/>
      <c r="CF25" s="1971"/>
      <c r="CG25" s="1971"/>
      <c r="CH25" s="1971"/>
      <c r="CI25" s="1971"/>
      <c r="CJ25" s="1971"/>
      <c r="CK25" s="1971"/>
      <c r="CL25" s="1971"/>
      <c r="CM25" s="1971"/>
      <c r="CN25" s="1971"/>
      <c r="CO25" s="1971"/>
      <c r="CP25" s="1971"/>
      <c r="CQ25" s="1971"/>
      <c r="CR25" s="1971"/>
      <c r="CS25" s="1971"/>
      <c r="CT25" s="1971"/>
      <c r="CU25" s="1971"/>
      <c r="CV25" s="1971"/>
      <c r="CW25" s="1971"/>
      <c r="CX25" s="1971"/>
      <c r="CY25" s="1971"/>
      <c r="CZ25" s="1971"/>
      <c r="DA25" s="1971"/>
      <c r="DB25" s="1971"/>
      <c r="DC25" s="1971"/>
      <c r="DD25" s="1971"/>
      <c r="DE25" s="1971"/>
      <c r="DF25" s="1971"/>
      <c r="DG25" s="1971"/>
      <c r="DH25" s="1971"/>
      <c r="DI25" s="1971"/>
      <c r="DJ25" s="1971"/>
      <c r="DK25" s="1971"/>
      <c r="DL25" s="1971"/>
      <c r="DM25" s="1971"/>
      <c r="DN25" s="1971"/>
      <c r="DO25" s="1971"/>
      <c r="DP25" s="1971"/>
      <c r="DQ25" s="1971"/>
      <c r="DR25" s="1971"/>
      <c r="DS25" s="1971"/>
      <c r="DT25" s="1971"/>
      <c r="DU25" s="1971"/>
      <c r="DV25" s="1971"/>
      <c r="DW25" s="1971"/>
      <c r="DX25" s="1971"/>
      <c r="DY25" s="1971"/>
      <c r="DZ25" s="1971"/>
      <c r="EA25" s="1971"/>
      <c r="EB25" s="1971"/>
      <c r="EC25" s="1971"/>
      <c r="ED25" s="1971"/>
      <c r="EE25" s="1971"/>
      <c r="EF25" s="1971"/>
    </row>
    <row r="26" spans="2:136">
      <c r="B26" s="1971"/>
      <c r="C26" s="1971"/>
      <c r="D26" s="1971"/>
      <c r="E26" s="1326" t="s">
        <v>139</v>
      </c>
      <c r="F26" s="1326" t="s">
        <v>139</v>
      </c>
      <c r="G26" s="1326" t="s">
        <v>139</v>
      </c>
      <c r="H26" s="1325" t="s">
        <v>137</v>
      </c>
      <c r="I26" s="1325" t="s">
        <v>137</v>
      </c>
      <c r="J26" s="1325" t="s">
        <v>137</v>
      </c>
      <c r="K26" s="1326" t="s">
        <v>139</v>
      </c>
      <c r="L26" s="1326" t="s">
        <v>139</v>
      </c>
      <c r="M26" s="1326" t="s">
        <v>139</v>
      </c>
      <c r="N26" s="1325" t="s">
        <v>137</v>
      </c>
      <c r="O26" s="1325" t="s">
        <v>137</v>
      </c>
      <c r="P26" s="1325" t="s">
        <v>137</v>
      </c>
      <c r="Q26" s="1326" t="s">
        <v>139</v>
      </c>
      <c r="R26" s="1326" t="s">
        <v>139</v>
      </c>
      <c r="S26" s="1326" t="s">
        <v>139</v>
      </c>
      <c r="T26" s="1325" t="s">
        <v>137</v>
      </c>
      <c r="U26" s="1325" t="s">
        <v>137</v>
      </c>
      <c r="V26" s="1325" t="s">
        <v>137</v>
      </c>
      <c r="W26" s="1326" t="s">
        <v>139</v>
      </c>
      <c r="X26" s="1326" t="s">
        <v>139</v>
      </c>
      <c r="Y26" s="1326" t="s">
        <v>139</v>
      </c>
      <c r="Z26" s="1325" t="s">
        <v>137</v>
      </c>
      <c r="AA26" s="1325" t="s">
        <v>137</v>
      </c>
      <c r="AB26" s="1325" t="s">
        <v>137</v>
      </c>
      <c r="AC26" s="1326" t="s">
        <v>139</v>
      </c>
      <c r="AD26" s="1326" t="s">
        <v>139</v>
      </c>
      <c r="AE26" s="1326" t="s">
        <v>139</v>
      </c>
      <c r="AF26" s="1325" t="s">
        <v>137</v>
      </c>
      <c r="AG26" s="1325" t="s">
        <v>137</v>
      </c>
      <c r="AH26" s="1325" t="s">
        <v>137</v>
      </c>
      <c r="AI26" s="1326" t="s">
        <v>139</v>
      </c>
      <c r="AJ26" s="1326" t="s">
        <v>139</v>
      </c>
      <c r="AK26" s="1326" t="s">
        <v>139</v>
      </c>
      <c r="AL26" s="1325" t="s">
        <v>137</v>
      </c>
      <c r="AM26" s="1325" t="s">
        <v>137</v>
      </c>
      <c r="AN26" s="1325" t="s">
        <v>137</v>
      </c>
      <c r="AO26" s="1326" t="s">
        <v>139</v>
      </c>
      <c r="AP26" s="1326" t="s">
        <v>139</v>
      </c>
      <c r="AQ26" s="1326" t="s">
        <v>139</v>
      </c>
      <c r="AR26" s="1325" t="s">
        <v>137</v>
      </c>
      <c r="AS26" s="1325" t="s">
        <v>137</v>
      </c>
      <c r="AT26" s="1325" t="s">
        <v>137</v>
      </c>
      <c r="AU26" s="1326" t="s">
        <v>139</v>
      </c>
      <c r="AV26" s="1326" t="s">
        <v>139</v>
      </c>
      <c r="AW26" s="1326" t="s">
        <v>139</v>
      </c>
      <c r="AX26" s="1325" t="s">
        <v>137</v>
      </c>
      <c r="AY26" s="1325" t="s">
        <v>137</v>
      </c>
      <c r="AZ26" s="1325" t="s">
        <v>137</v>
      </c>
      <c r="BA26" s="1326" t="s">
        <v>139</v>
      </c>
      <c r="BB26" s="1326" t="s">
        <v>139</v>
      </c>
      <c r="BC26" s="1326" t="s">
        <v>139</v>
      </c>
      <c r="BD26" s="1325" t="s">
        <v>137</v>
      </c>
      <c r="BE26" s="1325" t="s">
        <v>137</v>
      </c>
      <c r="BF26" s="1325" t="s">
        <v>137</v>
      </c>
      <c r="BG26" s="1326" t="s">
        <v>139</v>
      </c>
      <c r="BH26" s="1326" t="s">
        <v>139</v>
      </c>
      <c r="BI26" s="1326" t="s">
        <v>139</v>
      </c>
      <c r="BJ26" s="1325" t="s">
        <v>137</v>
      </c>
      <c r="BK26" s="1325" t="s">
        <v>137</v>
      </c>
      <c r="BL26" s="1325" t="s">
        <v>137</v>
      </c>
      <c r="BM26" s="1326" t="s">
        <v>139</v>
      </c>
      <c r="BN26" s="1326" t="s">
        <v>139</v>
      </c>
      <c r="BO26" s="1326" t="s">
        <v>139</v>
      </c>
      <c r="BP26" s="1325" t="s">
        <v>137</v>
      </c>
      <c r="BQ26" s="1325" t="s">
        <v>137</v>
      </c>
      <c r="BR26" s="1325" t="s">
        <v>137</v>
      </c>
      <c r="BS26" s="1326" t="s">
        <v>139</v>
      </c>
      <c r="BT26" s="1326" t="s">
        <v>139</v>
      </c>
      <c r="BU26" s="1326" t="s">
        <v>139</v>
      </c>
      <c r="BV26" s="1325" t="s">
        <v>137</v>
      </c>
      <c r="BW26" s="1325" t="s">
        <v>137</v>
      </c>
      <c r="BX26" s="1325" t="s">
        <v>137</v>
      </c>
      <c r="BY26" s="1326" t="s">
        <v>139</v>
      </c>
      <c r="BZ26" s="1326" t="s">
        <v>139</v>
      </c>
      <c r="CA26" s="1326" t="s">
        <v>139</v>
      </c>
      <c r="CB26" s="1325" t="s">
        <v>137</v>
      </c>
      <c r="CC26" s="1325" t="s">
        <v>137</v>
      </c>
      <c r="CD26" s="1325" t="s">
        <v>137</v>
      </c>
      <c r="CE26" s="1326" t="s">
        <v>139</v>
      </c>
      <c r="CF26" s="1326" t="s">
        <v>139</v>
      </c>
      <c r="CG26" s="1326" t="s">
        <v>139</v>
      </c>
      <c r="CH26" s="1325" t="s">
        <v>137</v>
      </c>
      <c r="CI26" s="1325" t="s">
        <v>137</v>
      </c>
      <c r="CJ26" s="1325" t="s">
        <v>137</v>
      </c>
      <c r="CK26" s="1326" t="s">
        <v>139</v>
      </c>
      <c r="CL26" s="1326" t="s">
        <v>139</v>
      </c>
      <c r="CM26" s="1326" t="s">
        <v>139</v>
      </c>
      <c r="CN26" s="1325" t="s">
        <v>137</v>
      </c>
      <c r="CO26" s="1325" t="s">
        <v>137</v>
      </c>
      <c r="CP26" s="1325" t="s">
        <v>137</v>
      </c>
      <c r="CQ26" s="1326" t="s">
        <v>139</v>
      </c>
      <c r="CR26" s="1326" t="s">
        <v>139</v>
      </c>
      <c r="CS26" s="1326" t="s">
        <v>139</v>
      </c>
      <c r="CT26" s="1325" t="s">
        <v>137</v>
      </c>
      <c r="CU26" s="1325" t="s">
        <v>137</v>
      </c>
      <c r="CV26" s="1325" t="s">
        <v>137</v>
      </c>
      <c r="CW26" s="1326" t="s">
        <v>139</v>
      </c>
      <c r="CX26" s="1326" t="s">
        <v>139</v>
      </c>
      <c r="CY26" s="1326" t="s">
        <v>139</v>
      </c>
      <c r="CZ26" s="1325" t="s">
        <v>137</v>
      </c>
      <c r="DA26" s="1325" t="s">
        <v>137</v>
      </c>
      <c r="DB26" s="1325" t="s">
        <v>137</v>
      </c>
      <c r="DC26" s="1326" t="s">
        <v>139</v>
      </c>
      <c r="DD26" s="1326" t="s">
        <v>139</v>
      </c>
      <c r="DE26" s="1326" t="s">
        <v>139</v>
      </c>
      <c r="DF26" s="1325" t="s">
        <v>137</v>
      </c>
      <c r="DG26" s="1325" t="s">
        <v>137</v>
      </c>
      <c r="DH26" s="1325" t="s">
        <v>137</v>
      </c>
      <c r="DI26" s="1326" t="s">
        <v>139</v>
      </c>
      <c r="DJ26" s="1326" t="s">
        <v>139</v>
      </c>
      <c r="DK26" s="1326" t="s">
        <v>139</v>
      </c>
      <c r="DL26" s="1325" t="s">
        <v>137</v>
      </c>
      <c r="DM26" s="1325" t="s">
        <v>137</v>
      </c>
      <c r="DN26" s="1325" t="s">
        <v>137</v>
      </c>
      <c r="DO26" s="1326" t="s">
        <v>139</v>
      </c>
      <c r="DP26" s="1326" t="s">
        <v>139</v>
      </c>
      <c r="DQ26" s="1326" t="s">
        <v>139</v>
      </c>
      <c r="DR26" s="1325" t="s">
        <v>137</v>
      </c>
      <c r="DS26" s="1325" t="s">
        <v>137</v>
      </c>
      <c r="DT26" s="1325" t="s">
        <v>137</v>
      </c>
      <c r="DU26" s="1326" t="s">
        <v>139</v>
      </c>
      <c r="DV26" s="1326" t="s">
        <v>139</v>
      </c>
      <c r="DW26" s="1326" t="s">
        <v>139</v>
      </c>
      <c r="DX26" s="1325" t="s">
        <v>137</v>
      </c>
      <c r="DY26" s="1325" t="s">
        <v>137</v>
      </c>
      <c r="DZ26" s="1325" t="s">
        <v>137</v>
      </c>
      <c r="EA26" s="1326" t="s">
        <v>139</v>
      </c>
      <c r="EB26" s="1326" t="s">
        <v>139</v>
      </c>
      <c r="EC26" s="1326" t="s">
        <v>139</v>
      </c>
      <c r="ED26" s="1325" t="s">
        <v>137</v>
      </c>
      <c r="EE26" s="1325" t="s">
        <v>137</v>
      </c>
      <c r="EF26" s="1325" t="s">
        <v>137</v>
      </c>
    </row>
    <row r="27" spans="2:136">
      <c r="B27" s="1971"/>
      <c r="C27" s="1971"/>
      <c r="D27" s="1971"/>
      <c r="E27" s="1971" t="s">
        <v>87</v>
      </c>
      <c r="F27" s="1971" t="s">
        <v>465</v>
      </c>
      <c r="G27" s="1971" t="s">
        <v>466</v>
      </c>
      <c r="H27" s="1971" t="s">
        <v>87</v>
      </c>
      <c r="I27" s="1971" t="s">
        <v>465</v>
      </c>
      <c r="J27" s="1971" t="s">
        <v>466</v>
      </c>
      <c r="K27" s="1971" t="s">
        <v>87</v>
      </c>
      <c r="L27" s="1971" t="s">
        <v>465</v>
      </c>
      <c r="M27" s="1971" t="s">
        <v>466</v>
      </c>
      <c r="N27" s="1971" t="s">
        <v>87</v>
      </c>
      <c r="O27" s="1971" t="s">
        <v>465</v>
      </c>
      <c r="P27" s="1971" t="s">
        <v>466</v>
      </c>
      <c r="Q27" s="1971" t="s">
        <v>87</v>
      </c>
      <c r="R27" s="1971" t="s">
        <v>465</v>
      </c>
      <c r="S27" s="1971" t="s">
        <v>466</v>
      </c>
      <c r="T27" s="1971" t="s">
        <v>87</v>
      </c>
      <c r="U27" s="1971" t="s">
        <v>465</v>
      </c>
      <c r="V27" s="1971" t="s">
        <v>466</v>
      </c>
      <c r="W27" s="1971" t="s">
        <v>87</v>
      </c>
      <c r="X27" s="1971" t="s">
        <v>465</v>
      </c>
      <c r="Y27" s="1971" t="s">
        <v>466</v>
      </c>
      <c r="Z27" s="1971" t="s">
        <v>87</v>
      </c>
      <c r="AA27" s="1971" t="s">
        <v>465</v>
      </c>
      <c r="AB27" s="1971" t="s">
        <v>466</v>
      </c>
      <c r="AC27" s="1971" t="s">
        <v>87</v>
      </c>
      <c r="AD27" s="1971" t="s">
        <v>465</v>
      </c>
      <c r="AE27" s="1971" t="s">
        <v>466</v>
      </c>
      <c r="AF27" s="1971" t="s">
        <v>87</v>
      </c>
      <c r="AG27" s="1971" t="s">
        <v>465</v>
      </c>
      <c r="AH27" s="1971" t="s">
        <v>466</v>
      </c>
      <c r="AI27" s="1971" t="s">
        <v>87</v>
      </c>
      <c r="AJ27" s="1971" t="s">
        <v>465</v>
      </c>
      <c r="AK27" s="1971" t="s">
        <v>466</v>
      </c>
      <c r="AL27" s="1971" t="s">
        <v>87</v>
      </c>
      <c r="AM27" s="1971" t="s">
        <v>465</v>
      </c>
      <c r="AN27" s="1971" t="s">
        <v>466</v>
      </c>
      <c r="AO27" s="1971" t="s">
        <v>87</v>
      </c>
      <c r="AP27" s="1971" t="s">
        <v>465</v>
      </c>
      <c r="AQ27" s="1971" t="s">
        <v>466</v>
      </c>
      <c r="AR27" s="1971" t="s">
        <v>87</v>
      </c>
      <c r="AS27" s="1971" t="s">
        <v>465</v>
      </c>
      <c r="AT27" s="1971" t="s">
        <v>466</v>
      </c>
      <c r="AU27" s="1971" t="s">
        <v>87</v>
      </c>
      <c r="AV27" s="1971" t="s">
        <v>465</v>
      </c>
      <c r="AW27" s="1971" t="s">
        <v>466</v>
      </c>
      <c r="AX27" s="1971" t="s">
        <v>87</v>
      </c>
      <c r="AY27" s="1971" t="s">
        <v>465</v>
      </c>
      <c r="AZ27" s="1971" t="s">
        <v>466</v>
      </c>
      <c r="BA27" s="1971" t="s">
        <v>87</v>
      </c>
      <c r="BB27" s="1971" t="s">
        <v>465</v>
      </c>
      <c r="BC27" s="1971" t="s">
        <v>466</v>
      </c>
      <c r="BD27" s="1971" t="s">
        <v>87</v>
      </c>
      <c r="BE27" s="1971" t="s">
        <v>465</v>
      </c>
      <c r="BF27" s="1971" t="s">
        <v>466</v>
      </c>
      <c r="BG27" s="1971" t="s">
        <v>87</v>
      </c>
      <c r="BH27" s="1971" t="s">
        <v>465</v>
      </c>
      <c r="BI27" s="1971" t="s">
        <v>466</v>
      </c>
      <c r="BJ27" s="1971" t="s">
        <v>87</v>
      </c>
      <c r="BK27" s="1971" t="s">
        <v>465</v>
      </c>
      <c r="BL27" s="1971" t="s">
        <v>466</v>
      </c>
      <c r="BM27" s="1971" t="s">
        <v>87</v>
      </c>
      <c r="BN27" s="1971" t="s">
        <v>465</v>
      </c>
      <c r="BO27" s="1971" t="s">
        <v>466</v>
      </c>
      <c r="BP27" s="1971" t="s">
        <v>87</v>
      </c>
      <c r="BQ27" s="1971" t="s">
        <v>465</v>
      </c>
      <c r="BR27" s="1971" t="s">
        <v>466</v>
      </c>
      <c r="BS27" s="1971" t="s">
        <v>87</v>
      </c>
      <c r="BT27" s="1971" t="s">
        <v>465</v>
      </c>
      <c r="BU27" s="1971" t="s">
        <v>466</v>
      </c>
      <c r="BV27" s="1971" t="s">
        <v>87</v>
      </c>
      <c r="BW27" s="1971" t="s">
        <v>465</v>
      </c>
      <c r="BX27" s="1971" t="s">
        <v>466</v>
      </c>
      <c r="BY27" s="1971" t="s">
        <v>87</v>
      </c>
      <c r="BZ27" s="1971" t="s">
        <v>465</v>
      </c>
      <c r="CA27" s="1971" t="s">
        <v>466</v>
      </c>
      <c r="CB27" s="1971" t="s">
        <v>87</v>
      </c>
      <c r="CC27" s="1971" t="s">
        <v>465</v>
      </c>
      <c r="CD27" s="1971" t="s">
        <v>466</v>
      </c>
      <c r="CE27" s="1971" t="s">
        <v>87</v>
      </c>
      <c r="CF27" s="1971" t="s">
        <v>465</v>
      </c>
      <c r="CG27" s="1971" t="s">
        <v>466</v>
      </c>
      <c r="CH27" s="1971" t="s">
        <v>87</v>
      </c>
      <c r="CI27" s="1971" t="s">
        <v>465</v>
      </c>
      <c r="CJ27" s="1971" t="s">
        <v>466</v>
      </c>
      <c r="CK27" s="1971" t="s">
        <v>87</v>
      </c>
      <c r="CL27" s="1971" t="s">
        <v>465</v>
      </c>
      <c r="CM27" s="1971" t="s">
        <v>466</v>
      </c>
      <c r="CN27" s="1971" t="s">
        <v>87</v>
      </c>
      <c r="CO27" s="1971" t="s">
        <v>465</v>
      </c>
      <c r="CP27" s="1971" t="s">
        <v>466</v>
      </c>
      <c r="CQ27" s="1971" t="s">
        <v>87</v>
      </c>
      <c r="CR27" s="1971" t="s">
        <v>465</v>
      </c>
      <c r="CS27" s="1971" t="s">
        <v>466</v>
      </c>
      <c r="CT27" s="1971" t="s">
        <v>87</v>
      </c>
      <c r="CU27" s="1971" t="s">
        <v>465</v>
      </c>
      <c r="CV27" s="1971" t="s">
        <v>466</v>
      </c>
      <c r="CW27" s="1971" t="s">
        <v>87</v>
      </c>
      <c r="CX27" s="1971" t="s">
        <v>465</v>
      </c>
      <c r="CY27" s="1971" t="s">
        <v>466</v>
      </c>
      <c r="CZ27" s="1971" t="s">
        <v>87</v>
      </c>
      <c r="DA27" s="1971" t="s">
        <v>465</v>
      </c>
      <c r="DB27" s="1971" t="s">
        <v>466</v>
      </c>
      <c r="DC27" s="1971" t="s">
        <v>87</v>
      </c>
      <c r="DD27" s="1971" t="s">
        <v>465</v>
      </c>
      <c r="DE27" s="1971" t="s">
        <v>466</v>
      </c>
      <c r="DF27" s="1971" t="s">
        <v>87</v>
      </c>
      <c r="DG27" s="1971" t="s">
        <v>465</v>
      </c>
      <c r="DH27" s="1971" t="s">
        <v>466</v>
      </c>
      <c r="DI27" s="1971" t="s">
        <v>87</v>
      </c>
      <c r="DJ27" s="1971" t="s">
        <v>465</v>
      </c>
      <c r="DK27" s="1971" t="s">
        <v>466</v>
      </c>
      <c r="DL27" s="1971" t="s">
        <v>87</v>
      </c>
      <c r="DM27" s="1971" t="s">
        <v>465</v>
      </c>
      <c r="DN27" s="1971" t="s">
        <v>466</v>
      </c>
      <c r="DO27" s="1971" t="s">
        <v>87</v>
      </c>
      <c r="DP27" s="1971" t="s">
        <v>465</v>
      </c>
      <c r="DQ27" s="1971" t="s">
        <v>466</v>
      </c>
      <c r="DR27" s="1971" t="s">
        <v>87</v>
      </c>
      <c r="DS27" s="1971" t="s">
        <v>465</v>
      </c>
      <c r="DT27" s="1971" t="s">
        <v>466</v>
      </c>
      <c r="DU27" s="1971" t="s">
        <v>87</v>
      </c>
      <c r="DV27" s="1971" t="s">
        <v>465</v>
      </c>
      <c r="DW27" s="1971" t="s">
        <v>466</v>
      </c>
      <c r="DX27" s="1971" t="s">
        <v>87</v>
      </c>
      <c r="DY27" s="1971" t="s">
        <v>465</v>
      </c>
      <c r="DZ27" s="1971" t="s">
        <v>466</v>
      </c>
      <c r="EA27" s="1971" t="s">
        <v>87</v>
      </c>
      <c r="EB27" s="1971" t="s">
        <v>465</v>
      </c>
      <c r="EC27" s="1971" t="s">
        <v>466</v>
      </c>
      <c r="ED27" s="1971" t="s">
        <v>87</v>
      </c>
      <c r="EE27" s="1971" t="s">
        <v>465</v>
      </c>
      <c r="EF27" s="1971" t="s">
        <v>466</v>
      </c>
    </row>
    <row r="28" spans="2:136">
      <c r="B28" s="1971"/>
      <c r="C28" s="1971"/>
      <c r="D28" s="1971"/>
      <c r="E28" s="1971">
        <v>2.2000000000000002</v>
      </c>
      <c r="F28" s="1971">
        <v>2.2000000000000002</v>
      </c>
      <c r="G28" s="1971">
        <v>2.2000000000000002</v>
      </c>
      <c r="H28" s="1971">
        <v>2.2000000000000002</v>
      </c>
      <c r="I28" s="1971">
        <v>2.2000000000000002</v>
      </c>
      <c r="J28" s="1971">
        <v>2.2000000000000002</v>
      </c>
      <c r="K28" s="1971" t="s">
        <v>166</v>
      </c>
      <c r="L28" s="1971" t="s">
        <v>166</v>
      </c>
      <c r="M28" s="1971" t="s">
        <v>166</v>
      </c>
      <c r="N28" s="1971" t="s">
        <v>166</v>
      </c>
      <c r="O28" s="1971" t="s">
        <v>166</v>
      </c>
      <c r="P28" s="1971" t="s">
        <v>166</v>
      </c>
      <c r="Q28" s="1971" t="s">
        <v>168</v>
      </c>
      <c r="R28" s="1971" t="s">
        <v>168</v>
      </c>
      <c r="S28" s="1971" t="s">
        <v>168</v>
      </c>
      <c r="T28" s="1971" t="s">
        <v>168</v>
      </c>
      <c r="U28" s="1971" t="s">
        <v>168</v>
      </c>
      <c r="V28" s="1971" t="s">
        <v>168</v>
      </c>
      <c r="W28" s="1971">
        <v>4.2</v>
      </c>
      <c r="X28" s="1971">
        <v>4.2</v>
      </c>
      <c r="Y28" s="1971">
        <v>4.2</v>
      </c>
      <c r="Z28" s="1971">
        <v>4.2</v>
      </c>
      <c r="AA28" s="1971">
        <v>4.2</v>
      </c>
      <c r="AB28" s="1971">
        <v>4.2</v>
      </c>
      <c r="AC28" s="1971" t="s">
        <v>215</v>
      </c>
      <c r="AD28" s="1971" t="s">
        <v>215</v>
      </c>
      <c r="AE28" s="1971" t="s">
        <v>215</v>
      </c>
      <c r="AF28" s="1971" t="s">
        <v>215</v>
      </c>
      <c r="AG28" s="1971" t="s">
        <v>215</v>
      </c>
      <c r="AH28" s="1971" t="s">
        <v>215</v>
      </c>
      <c r="AI28" s="1971" t="s">
        <v>217</v>
      </c>
      <c r="AJ28" s="1971" t="s">
        <v>217</v>
      </c>
      <c r="AK28" s="1971" t="s">
        <v>217</v>
      </c>
      <c r="AL28" s="1971" t="s">
        <v>217</v>
      </c>
      <c r="AM28" s="1971" t="s">
        <v>217</v>
      </c>
      <c r="AN28" s="1971" t="s">
        <v>217</v>
      </c>
      <c r="AO28" s="1971" t="s">
        <v>219</v>
      </c>
      <c r="AP28" s="1971" t="s">
        <v>219</v>
      </c>
      <c r="AQ28" s="1971" t="s">
        <v>219</v>
      </c>
      <c r="AR28" s="1971" t="s">
        <v>219</v>
      </c>
      <c r="AS28" s="1971" t="s">
        <v>219</v>
      </c>
      <c r="AT28" s="1971" t="s">
        <v>219</v>
      </c>
      <c r="AU28" s="1971" t="s">
        <v>223</v>
      </c>
      <c r="AV28" s="1971" t="s">
        <v>223</v>
      </c>
      <c r="AW28" s="1971" t="s">
        <v>223</v>
      </c>
      <c r="AX28" s="1971" t="s">
        <v>223</v>
      </c>
      <c r="AY28" s="1971" t="s">
        <v>223</v>
      </c>
      <c r="AZ28" s="1971" t="s">
        <v>223</v>
      </c>
      <c r="BA28" s="1971" t="s">
        <v>236</v>
      </c>
      <c r="BB28" s="1971" t="s">
        <v>236</v>
      </c>
      <c r="BC28" s="1971" t="s">
        <v>236</v>
      </c>
      <c r="BD28" s="1971" t="s">
        <v>236</v>
      </c>
      <c r="BE28" s="1971" t="s">
        <v>236</v>
      </c>
      <c r="BF28" s="1971" t="s">
        <v>236</v>
      </c>
      <c r="BG28" s="1971" t="s">
        <v>237</v>
      </c>
      <c r="BH28" s="1971" t="s">
        <v>237</v>
      </c>
      <c r="BI28" s="1971" t="s">
        <v>237</v>
      </c>
      <c r="BJ28" s="1971" t="s">
        <v>237</v>
      </c>
      <c r="BK28" s="1971" t="s">
        <v>237</v>
      </c>
      <c r="BL28" s="1971" t="s">
        <v>237</v>
      </c>
      <c r="BM28" s="1971" t="s">
        <v>238</v>
      </c>
      <c r="BN28" s="1971" t="s">
        <v>238</v>
      </c>
      <c r="BO28" s="1971" t="s">
        <v>238</v>
      </c>
      <c r="BP28" s="1971" t="s">
        <v>238</v>
      </c>
      <c r="BQ28" s="1971" t="s">
        <v>238</v>
      </c>
      <c r="BR28" s="1971" t="s">
        <v>238</v>
      </c>
      <c r="BS28" s="1971" t="s">
        <v>242</v>
      </c>
      <c r="BT28" s="1971" t="s">
        <v>242</v>
      </c>
      <c r="BU28" s="1971" t="s">
        <v>242</v>
      </c>
      <c r="BV28" s="1971" t="s">
        <v>242</v>
      </c>
      <c r="BW28" s="1971" t="s">
        <v>242</v>
      </c>
      <c r="BX28" s="1971" t="s">
        <v>242</v>
      </c>
      <c r="BY28" s="1320">
        <v>5.0999999999999996</v>
      </c>
      <c r="BZ28" s="1320">
        <v>5.0999999999999996</v>
      </c>
      <c r="CA28" s="1320">
        <v>5.0999999999999996</v>
      </c>
      <c r="CB28" s="1320">
        <v>5.0999999999999996</v>
      </c>
      <c r="CC28" s="1320">
        <v>5.0999999999999996</v>
      </c>
      <c r="CD28" s="1320">
        <v>5.0999999999999996</v>
      </c>
      <c r="CE28" s="1971">
        <v>5.1100000000000003</v>
      </c>
      <c r="CF28" s="1971">
        <v>5.1100000000000003</v>
      </c>
      <c r="CG28" s="1971">
        <v>5.1100000000000003</v>
      </c>
      <c r="CH28" s="1971">
        <v>5.1100000000000003</v>
      </c>
      <c r="CI28" s="1971">
        <v>5.1100000000000003</v>
      </c>
      <c r="CJ28" s="1971">
        <v>5.1100000000000003</v>
      </c>
      <c r="CK28" s="1971">
        <v>5.12</v>
      </c>
      <c r="CL28" s="1971">
        <v>5.12</v>
      </c>
      <c r="CM28" s="1971">
        <v>5.12</v>
      </c>
      <c r="CN28" s="1971">
        <v>5.12</v>
      </c>
      <c r="CO28" s="1971">
        <v>5.12</v>
      </c>
      <c r="CP28" s="1971">
        <v>5.12</v>
      </c>
      <c r="CQ28" s="1971">
        <v>5.13</v>
      </c>
      <c r="CR28" s="1971">
        <v>5.13</v>
      </c>
      <c r="CS28" s="1971">
        <v>5.13</v>
      </c>
      <c r="CT28" s="1971">
        <v>5.13</v>
      </c>
      <c r="CU28" s="1971">
        <v>5.13</v>
      </c>
      <c r="CV28" s="1971">
        <v>5.13</v>
      </c>
      <c r="CW28" s="1971" t="s">
        <v>272</v>
      </c>
      <c r="CX28" s="1971" t="s">
        <v>272</v>
      </c>
      <c r="CY28" s="1971" t="s">
        <v>272</v>
      </c>
      <c r="CZ28" s="1971" t="s">
        <v>272</v>
      </c>
      <c r="DA28" s="1971" t="s">
        <v>272</v>
      </c>
      <c r="DB28" s="1971" t="s">
        <v>272</v>
      </c>
      <c r="DC28" s="1971" t="s">
        <v>273</v>
      </c>
      <c r="DD28" s="1971" t="s">
        <v>273</v>
      </c>
      <c r="DE28" s="1971" t="s">
        <v>273</v>
      </c>
      <c r="DF28" s="1971" t="s">
        <v>273</v>
      </c>
      <c r="DG28" s="1971" t="s">
        <v>273</v>
      </c>
      <c r="DH28" s="1971" t="s">
        <v>273</v>
      </c>
      <c r="DI28" s="1971" t="s">
        <v>274</v>
      </c>
      <c r="DJ28" s="1971" t="s">
        <v>274</v>
      </c>
      <c r="DK28" s="1971" t="s">
        <v>274</v>
      </c>
      <c r="DL28" s="1971" t="s">
        <v>274</v>
      </c>
      <c r="DM28" s="1971" t="s">
        <v>274</v>
      </c>
      <c r="DN28" s="1971" t="s">
        <v>274</v>
      </c>
      <c r="DO28" s="1971" t="s">
        <v>275</v>
      </c>
      <c r="DP28" s="1971" t="s">
        <v>275</v>
      </c>
      <c r="DQ28" s="1971" t="s">
        <v>275</v>
      </c>
      <c r="DR28" s="1971" t="s">
        <v>275</v>
      </c>
      <c r="DS28" s="1971" t="s">
        <v>275</v>
      </c>
      <c r="DT28" s="1971" t="s">
        <v>275</v>
      </c>
      <c r="DU28" s="1971" t="s">
        <v>281</v>
      </c>
      <c r="DV28" s="1971" t="s">
        <v>281</v>
      </c>
      <c r="DW28" s="1971" t="s">
        <v>281</v>
      </c>
      <c r="DX28" s="1971" t="s">
        <v>281</v>
      </c>
      <c r="DY28" s="1971" t="s">
        <v>281</v>
      </c>
      <c r="DZ28" s="1971" t="s">
        <v>281</v>
      </c>
      <c r="EA28" s="1971" t="s">
        <v>282</v>
      </c>
      <c r="EB28" s="1971" t="s">
        <v>282</v>
      </c>
      <c r="EC28" s="1971" t="s">
        <v>282</v>
      </c>
      <c r="ED28" s="1971" t="s">
        <v>282</v>
      </c>
      <c r="EE28" s="1971" t="s">
        <v>282</v>
      </c>
      <c r="EF28" s="1971" t="s">
        <v>282</v>
      </c>
    </row>
  </sheetData>
  <dataValidations count="3">
    <dataValidation type="list" allowBlank="1" showInputMessage="1" showErrorMessage="1" sqref="C17" xr:uid="{00000000-0002-0000-0200-000000000000}">
      <formula1>INDIRECT($A$15&amp;(SUBSTITUTE(B15," ",""))&amp;$B$17)</formula1>
    </dataValidation>
    <dataValidation type="list" allowBlank="1" showInputMessage="1" showErrorMessage="1" sqref="B15" xr:uid="{00000000-0002-0000-0200-000001000000}">
      <formula1>Type</formula1>
    </dataValidation>
    <dataValidation type="list" allowBlank="1" showInputMessage="1" showErrorMessage="1" sqref="A15" xr:uid="{00000000-0002-0000-0200-000002000000}">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2:H65"/>
  <sheetViews>
    <sheetView zoomScaleNormal="100" workbookViewId="0" xr3:uid="{51F8DEE0-4D01-5F28-A812-FC0BD7CAC4A5}">
      <selection activeCell="C85" sqref="C85"/>
    </sheetView>
  </sheetViews>
  <sheetFormatPr defaultColWidth="9.140625" defaultRowHeight="12.95"/>
  <cols>
    <col min="1" max="2" width="1.7109375" style="1334" customWidth="1"/>
    <col min="3" max="3" width="29.140625" style="1334" bestFit="1" customWidth="1"/>
    <col min="4" max="4" width="68.85546875" style="1334" bestFit="1" customWidth="1"/>
    <col min="5" max="5" width="6.42578125" style="1334" bestFit="1" customWidth="1"/>
    <col min="6" max="6" width="1.7109375" style="1334" customWidth="1"/>
    <col min="7" max="16384" width="9.140625" style="1334"/>
  </cols>
  <sheetData>
    <row r="2" spans="2:6" ht="9" customHeight="1" thickBot="1"/>
    <row r="3" spans="2:6" ht="9" customHeight="1" thickBot="1">
      <c r="B3" s="1335"/>
      <c r="C3" s="1336"/>
      <c r="D3" s="1336"/>
      <c r="E3" s="1336"/>
      <c r="F3" s="1337"/>
    </row>
    <row r="4" spans="2:6" ht="13.5" thickBot="1">
      <c r="B4" s="1338"/>
      <c r="C4" s="1339" t="s">
        <v>467</v>
      </c>
      <c r="D4" s="1340"/>
      <c r="E4" s="1341"/>
      <c r="F4" s="1342"/>
    </row>
    <row r="5" spans="2:6" ht="13.5" thickBot="1">
      <c r="B5" s="1338"/>
      <c r="C5" s="1343"/>
      <c r="D5" s="1343"/>
      <c r="E5" s="1343"/>
      <c r="F5" s="1342"/>
    </row>
    <row r="6" spans="2:6" ht="13.5" thickBot="1">
      <c r="B6" s="1338"/>
      <c r="C6" s="1344" t="s">
        <v>468</v>
      </c>
      <c r="D6" s="1345" t="s">
        <v>469</v>
      </c>
      <c r="E6" s="1346"/>
      <c r="F6" s="1342"/>
    </row>
    <row r="7" spans="2:6">
      <c r="B7" s="1338"/>
      <c r="C7" s="1347" t="s">
        <v>470</v>
      </c>
      <c r="D7" s="1347" t="s">
        <v>471</v>
      </c>
      <c r="E7" s="1347" t="b">
        <f>IF((IFERROR(MATCH(D7,'5'!$D$16:$D$78,0),0))&lt;&gt;0,TRUE,FALSE)</f>
        <v>1</v>
      </c>
      <c r="F7" s="1342"/>
    </row>
    <row r="8" spans="2:6">
      <c r="B8" s="1338"/>
      <c r="C8" s="1347" t="s">
        <v>472</v>
      </c>
      <c r="D8" s="1347" t="s">
        <v>473</v>
      </c>
      <c r="E8" s="1347" t="b">
        <f>IF((IFERROR(MATCH(D8,'5'!$D$16:$D$78,0),0))&lt;&gt;0,TRUE,FALSE)</f>
        <v>1</v>
      </c>
      <c r="F8" s="1342"/>
    </row>
    <row r="9" spans="2:6">
      <c r="B9" s="1338"/>
      <c r="C9" s="1347" t="s">
        <v>472</v>
      </c>
      <c r="D9" s="1347" t="s">
        <v>474</v>
      </c>
      <c r="E9" s="1347" t="b">
        <f>IF((IFERROR(MATCH(D9,'5'!$D$16:$D$78,0),0))&lt;&gt;0,TRUE,FALSE)</f>
        <v>1</v>
      </c>
      <c r="F9" s="1342"/>
    </row>
    <row r="10" spans="2:6">
      <c r="B10" s="1338"/>
      <c r="C10" s="1347" t="s">
        <v>475</v>
      </c>
      <c r="D10" s="1347" t="s">
        <v>476</v>
      </c>
      <c r="E10" s="1347" t="b">
        <f>IF((IFERROR(MATCH(D10,'5'!$D$16:$D$78,0),0))&lt;&gt;0,TRUE,FALSE)</f>
        <v>1</v>
      </c>
      <c r="F10" s="1342"/>
    </row>
    <row r="11" spans="2:6">
      <c r="B11" s="1338"/>
      <c r="C11" s="1347" t="s">
        <v>475</v>
      </c>
      <c r="D11" s="1347" t="s">
        <v>477</v>
      </c>
      <c r="E11" s="1347" t="b">
        <f>IF((IFERROR(MATCH(D11,'5'!$D$16:$D$78,0),0))&lt;&gt;0,TRUE,FALSE)</f>
        <v>1</v>
      </c>
      <c r="F11" s="1342"/>
    </row>
    <row r="12" spans="2:6">
      <c r="B12" s="1338"/>
      <c r="C12" s="1347" t="s">
        <v>475</v>
      </c>
      <c r="D12" s="1347" t="s">
        <v>478</v>
      </c>
      <c r="E12" s="1347" t="b">
        <f>IF((IFERROR(MATCH(D12,'5'!$D$16:$D$78,0),0))&lt;&gt;0,TRUE,FALSE)</f>
        <v>1</v>
      </c>
      <c r="F12" s="1342"/>
    </row>
    <row r="13" spans="2:6">
      <c r="B13" s="1338"/>
      <c r="C13" s="1347" t="s">
        <v>475</v>
      </c>
      <c r="D13" s="1347" t="s">
        <v>479</v>
      </c>
      <c r="E13" s="1347" t="b">
        <f>IF((IFERROR(MATCH(D13,'5'!$D$16:$D$78,0),0))&lt;&gt;0,TRUE,FALSE)</f>
        <v>1</v>
      </c>
      <c r="F13" s="1342"/>
    </row>
    <row r="14" spans="2:6">
      <c r="B14" s="1338"/>
      <c r="C14" s="1347" t="s">
        <v>475</v>
      </c>
      <c r="D14" s="1347" t="s">
        <v>480</v>
      </c>
      <c r="E14" s="1347" t="b">
        <f>IF((IFERROR(MATCH(D14,'5'!$D$16:$D$78,0),0))&lt;&gt;0,TRUE,FALSE)</f>
        <v>1</v>
      </c>
      <c r="F14" s="1342"/>
    </row>
    <row r="15" spans="2:6">
      <c r="B15" s="1338"/>
      <c r="C15" s="1347" t="s">
        <v>475</v>
      </c>
      <c r="D15" s="1347" t="s">
        <v>481</v>
      </c>
      <c r="E15" s="1347" t="b">
        <f>IF((IFERROR(MATCH(D15,'5'!$D$16:$D$78,0),0))&lt;&gt;0,TRUE,FALSE)</f>
        <v>1</v>
      </c>
      <c r="F15" s="1342"/>
    </row>
    <row r="16" spans="2:6">
      <c r="B16" s="1338"/>
      <c r="C16" s="1347" t="s">
        <v>475</v>
      </c>
      <c r="D16" s="1347" t="s">
        <v>482</v>
      </c>
      <c r="E16" s="1347" t="b">
        <f>IF((IFERROR(MATCH(D16,'5'!$D$16:$D$78,0),0))&lt;&gt;0,TRUE,FALSE)</f>
        <v>1</v>
      </c>
      <c r="F16" s="1342"/>
    </row>
    <row r="17" spans="2:8">
      <c r="B17" s="1338"/>
      <c r="C17" s="1347" t="s">
        <v>475</v>
      </c>
      <c r="D17" s="1347" t="s">
        <v>483</v>
      </c>
      <c r="E17" s="1347" t="b">
        <f>IF((IFERROR(MATCH(D17,'5'!$D$16:$D$78,0),0))&lt;&gt;0,TRUE,FALSE)</f>
        <v>1</v>
      </c>
      <c r="F17" s="1342"/>
    </row>
    <row r="18" spans="2:8">
      <c r="B18" s="1338"/>
      <c r="C18" s="1347" t="s">
        <v>475</v>
      </c>
      <c r="D18" s="1347" t="s">
        <v>484</v>
      </c>
      <c r="E18" s="1347" t="b">
        <f>IF((IFERROR(MATCH(D18,'5'!$D$16:$D$78,0),0))&lt;&gt;0,TRUE,FALSE)</f>
        <v>1</v>
      </c>
      <c r="F18" s="1342"/>
    </row>
    <row r="19" spans="2:8">
      <c r="B19" s="1338"/>
      <c r="C19" s="1347" t="s">
        <v>475</v>
      </c>
      <c r="D19" s="1347" t="s">
        <v>485</v>
      </c>
      <c r="E19" s="1347" t="b">
        <f>IF((IFERROR(MATCH(D19,'5'!$D$16:$D$78,0),0))&lt;&gt;0,TRUE,FALSE)</f>
        <v>1</v>
      </c>
      <c r="F19" s="1342"/>
    </row>
    <row r="20" spans="2:8">
      <c r="B20" s="1338"/>
      <c r="C20" s="1347" t="s">
        <v>486</v>
      </c>
      <c r="D20" s="1347" t="s">
        <v>487</v>
      </c>
      <c r="E20" s="1347" t="b">
        <f>IF((IFERROR(MATCH(D20,'5'!$D$16:$D$78,0),0))&lt;&gt;0,TRUE,FALSE)</f>
        <v>1</v>
      </c>
      <c r="F20" s="1342"/>
    </row>
    <row r="21" spans="2:8">
      <c r="B21" s="1338"/>
      <c r="C21" s="1347" t="s">
        <v>486</v>
      </c>
      <c r="D21" s="1347" t="s">
        <v>488</v>
      </c>
      <c r="E21" s="1347" t="b">
        <f>IF((IFERROR(MATCH(D21,'5'!$D$16:$D$78,0),0))&lt;&gt;0,TRUE,FALSE)</f>
        <v>1</v>
      </c>
      <c r="F21" s="1342"/>
    </row>
    <row r="22" spans="2:8">
      <c r="B22" s="1338"/>
      <c r="C22" s="1347" t="s">
        <v>486</v>
      </c>
      <c r="D22" s="1347" t="s">
        <v>489</v>
      </c>
      <c r="E22" s="1347" t="b">
        <f>IF((IFERROR(MATCH(D22,'5'!$D$16:$D$78,0),0))&lt;&gt;0,TRUE,FALSE)</f>
        <v>1</v>
      </c>
      <c r="F22" s="1342"/>
      <c r="H22" s="1348"/>
    </row>
    <row r="23" spans="2:8">
      <c r="B23" s="1338"/>
      <c r="C23" s="1347" t="s">
        <v>486</v>
      </c>
      <c r="D23" s="1347" t="s">
        <v>490</v>
      </c>
      <c r="E23" s="1347" t="b">
        <f>IF((IFERROR(MATCH(D23,'5'!$D$16:$D$78,0),0))&lt;&gt;0,TRUE,FALSE)</f>
        <v>1</v>
      </c>
      <c r="F23" s="1342"/>
    </row>
    <row r="24" spans="2:8">
      <c r="B24" s="1338"/>
      <c r="C24" s="1347" t="s">
        <v>486</v>
      </c>
      <c r="D24" s="1347" t="s">
        <v>491</v>
      </c>
      <c r="E24" s="1347" t="b">
        <f>IF((IFERROR(MATCH(D24,'5'!$D$16:$D$78,0),0))&lt;&gt;0,TRUE,FALSE)</f>
        <v>1</v>
      </c>
      <c r="F24" s="1342"/>
    </row>
    <row r="25" spans="2:8">
      <c r="B25" s="1338"/>
      <c r="C25" s="1347" t="s">
        <v>486</v>
      </c>
      <c r="D25" s="1347" t="s">
        <v>492</v>
      </c>
      <c r="E25" s="1347" t="b">
        <f>IF((IFERROR(MATCH(D25,'5'!$D$16:$D$78,0),0))&lt;&gt;0,TRUE,FALSE)</f>
        <v>1</v>
      </c>
      <c r="F25" s="1342"/>
    </row>
    <row r="26" spans="2:8">
      <c r="B26" s="1338"/>
      <c r="C26" s="1347" t="s">
        <v>486</v>
      </c>
      <c r="D26" s="1347" t="s">
        <v>493</v>
      </c>
      <c r="E26" s="1347" t="b">
        <f>IF((IFERROR(MATCH(D26,'5'!$D$16:$D$78,0),0))&lt;&gt;0,TRUE,FALSE)</f>
        <v>1</v>
      </c>
      <c r="F26" s="1342"/>
    </row>
    <row r="27" spans="2:8">
      <c r="B27" s="1338"/>
      <c r="C27" s="1347" t="s">
        <v>486</v>
      </c>
      <c r="D27" s="1347" t="s">
        <v>494</v>
      </c>
      <c r="E27" s="1347" t="b">
        <f>IF((IFERROR(MATCH(D27,'5'!$D$16:$D$78,0),0))&lt;&gt;0,TRUE,FALSE)</f>
        <v>1</v>
      </c>
      <c r="F27" s="1342"/>
    </row>
    <row r="28" spans="2:8">
      <c r="B28" s="1338"/>
      <c r="C28" s="1347" t="s">
        <v>495</v>
      </c>
      <c r="D28" s="1347" t="s">
        <v>496</v>
      </c>
      <c r="E28" s="1347" t="b">
        <f>IF((IFERROR(MATCH(D28,'5'!$D$16:$D$78,0),0))&lt;&gt;0,TRUE,FALSE)</f>
        <v>1</v>
      </c>
      <c r="F28" s="1342"/>
    </row>
    <row r="29" spans="2:8">
      <c r="B29" s="1338"/>
      <c r="C29" s="1347" t="s">
        <v>497</v>
      </c>
      <c r="D29" s="1347" t="s">
        <v>498</v>
      </c>
      <c r="E29" s="1347" t="b">
        <f>IF((IFERROR(MATCH(D29,'5'!$D$16:$D$78,0),0))&lt;&gt;0,TRUE,FALSE)</f>
        <v>1</v>
      </c>
      <c r="F29" s="1342"/>
    </row>
    <row r="30" spans="2:8">
      <c r="B30" s="1338"/>
      <c r="C30" s="1347" t="s">
        <v>495</v>
      </c>
      <c r="D30" s="1347" t="s">
        <v>499</v>
      </c>
      <c r="E30" s="1347" t="b">
        <f>IF((IFERROR(MATCH(D30,'5'!$D$16:$D$78,0),0))&lt;&gt;0,TRUE,FALSE)</f>
        <v>0</v>
      </c>
      <c r="F30" s="1342"/>
    </row>
    <row r="31" spans="2:8">
      <c r="B31" s="1338"/>
      <c r="C31" s="1347" t="s">
        <v>495</v>
      </c>
      <c r="D31" s="1347" t="s">
        <v>499</v>
      </c>
      <c r="E31" s="1347" t="b">
        <f>IF((IFERROR(MATCH(D31,'5'!$D$16:$D$78,0),0))&lt;&gt;0,TRUE,FALSE)</f>
        <v>0</v>
      </c>
      <c r="F31" s="1342"/>
    </row>
    <row r="32" spans="2:8">
      <c r="B32" s="1338"/>
      <c r="C32" s="1347" t="s">
        <v>495</v>
      </c>
      <c r="D32" s="1347" t="s">
        <v>499</v>
      </c>
      <c r="E32" s="1347" t="b">
        <f>IF((IFERROR(MATCH(D32,'5'!$D$16:$D$78,0),0))&lt;&gt;0,TRUE,FALSE)</f>
        <v>0</v>
      </c>
      <c r="F32" s="1342"/>
    </row>
    <row r="33" spans="2:6">
      <c r="B33" s="1338"/>
      <c r="C33" s="1347" t="s">
        <v>497</v>
      </c>
      <c r="D33" s="1347" t="s">
        <v>500</v>
      </c>
      <c r="E33" s="1347" t="b">
        <f>IF((IFERROR(MATCH(D33,'5'!$D$16:$D$78,0),0))&lt;&gt;0,TRUE,FALSE)</f>
        <v>1</v>
      </c>
      <c r="F33" s="1342"/>
    </row>
    <row r="34" spans="2:6">
      <c r="B34" s="1338"/>
      <c r="C34" s="1347" t="s">
        <v>495</v>
      </c>
      <c r="D34" s="1347" t="s">
        <v>501</v>
      </c>
      <c r="E34" s="1347" t="b">
        <f>IF((IFERROR(MATCH(D34,'5'!$D$16:$D$78,0),0))&lt;&gt;0,TRUE,FALSE)</f>
        <v>1</v>
      </c>
      <c r="F34" s="1342"/>
    </row>
    <row r="35" spans="2:6">
      <c r="B35" s="1338"/>
      <c r="C35" s="1347" t="s">
        <v>495</v>
      </c>
      <c r="D35" s="1347" t="s">
        <v>502</v>
      </c>
      <c r="E35" s="1347" t="b">
        <f>IF((IFERROR(MATCH(D35,'5'!$D$16:$D$78,0),0))&lt;&gt;0,TRUE,FALSE)</f>
        <v>1</v>
      </c>
      <c r="F35" s="1342"/>
    </row>
    <row r="36" spans="2:6">
      <c r="B36" s="1338"/>
      <c r="C36" s="1347" t="s">
        <v>497</v>
      </c>
      <c r="D36" s="1347" t="s">
        <v>503</v>
      </c>
      <c r="E36" s="1347" t="b">
        <f>IF((IFERROR(MATCH(D36,'5'!$D$16:$D$78,0),0))&lt;&gt;0,TRUE,FALSE)</f>
        <v>1</v>
      </c>
      <c r="F36" s="1342"/>
    </row>
    <row r="37" spans="2:6">
      <c r="B37" s="1338"/>
      <c r="C37" s="1347" t="s">
        <v>495</v>
      </c>
      <c r="D37" s="1347" t="s">
        <v>504</v>
      </c>
      <c r="E37" s="1347" t="b">
        <f>IF((IFERROR(MATCH(D37,'5'!$D$16:$D$78,0),0))&lt;&gt;0,TRUE,FALSE)</f>
        <v>0</v>
      </c>
      <c r="F37" s="1342"/>
    </row>
    <row r="38" spans="2:6">
      <c r="B38" s="1338"/>
      <c r="C38" s="1347" t="s">
        <v>495</v>
      </c>
      <c r="D38" s="1347" t="s">
        <v>504</v>
      </c>
      <c r="E38" s="1347" t="b">
        <f>IF((IFERROR(MATCH(D38,'5'!$D$16:$D$78,0),0))&lt;&gt;0,TRUE,FALSE)</f>
        <v>0</v>
      </c>
      <c r="F38" s="1342"/>
    </row>
    <row r="39" spans="2:6">
      <c r="B39" s="1338"/>
      <c r="C39" s="1347" t="s">
        <v>495</v>
      </c>
      <c r="D39" s="1347" t="s">
        <v>504</v>
      </c>
      <c r="E39" s="1347" t="b">
        <f>IF((IFERROR(MATCH(D39,'5'!$D$16:$D$78,0),0))&lt;&gt;0,TRUE,FALSE)</f>
        <v>0</v>
      </c>
      <c r="F39" s="1342"/>
    </row>
    <row r="40" spans="2:6">
      <c r="B40" s="1338"/>
      <c r="C40" s="1347" t="s">
        <v>495</v>
      </c>
      <c r="D40" s="1347" t="s">
        <v>505</v>
      </c>
      <c r="E40" s="1347" t="b">
        <f>IF((IFERROR(MATCH(D40,'5'!$D$16:$D$78,0),0))&lt;&gt;0,TRUE,FALSE)</f>
        <v>1</v>
      </c>
      <c r="F40" s="1342"/>
    </row>
    <row r="41" spans="2:6">
      <c r="B41" s="1338"/>
      <c r="C41" s="1347" t="s">
        <v>495</v>
      </c>
      <c r="D41" s="1347" t="s">
        <v>506</v>
      </c>
      <c r="E41" s="1347" t="b">
        <f>IF((IFERROR(MATCH(D41,'5'!$D$16:$D$78,0),0))&lt;&gt;0,TRUE,FALSE)</f>
        <v>1</v>
      </c>
      <c r="F41" s="1342"/>
    </row>
    <row r="42" spans="2:6">
      <c r="B42" s="1338"/>
      <c r="C42" s="1347" t="s">
        <v>507</v>
      </c>
      <c r="D42" s="1347" t="s">
        <v>508</v>
      </c>
      <c r="E42" s="1347" t="b">
        <f>IF((IFERROR(MATCH(D42,'5'!$D$16:$D$78,0),0))&lt;&gt;0,TRUE,FALSE)</f>
        <v>1</v>
      </c>
      <c r="F42" s="1342"/>
    </row>
    <row r="43" spans="2:6">
      <c r="B43" s="1338"/>
      <c r="C43" s="1347" t="s">
        <v>507</v>
      </c>
      <c r="D43" s="1347" t="s">
        <v>509</v>
      </c>
      <c r="E43" s="1347" t="b">
        <f>IF((IFERROR(MATCH(D43,'5'!$D$16:$D$78,0),0))&lt;&gt;0,TRUE,FALSE)</f>
        <v>1</v>
      </c>
      <c r="F43" s="1342"/>
    </row>
    <row r="44" spans="2:6">
      <c r="B44" s="1338"/>
      <c r="C44" s="1347" t="s">
        <v>507</v>
      </c>
      <c r="D44" s="1347" t="s">
        <v>510</v>
      </c>
      <c r="E44" s="1347" t="b">
        <f>IF((IFERROR(MATCH(D44,'5'!$D$16:$D$78,0),0))&lt;&gt;0,TRUE,FALSE)</f>
        <v>1</v>
      </c>
      <c r="F44" s="1342"/>
    </row>
    <row r="45" spans="2:6">
      <c r="B45" s="1338"/>
      <c r="C45" s="1347" t="s">
        <v>507</v>
      </c>
      <c r="D45" s="1347" t="s">
        <v>511</v>
      </c>
      <c r="E45" s="1347" t="b">
        <f>IF((IFERROR(MATCH(D45,'5'!$D$16:$D$78,0),0))&lt;&gt;0,TRUE,FALSE)</f>
        <v>1</v>
      </c>
      <c r="F45" s="1342"/>
    </row>
    <row r="46" spans="2:6">
      <c r="B46" s="1338"/>
      <c r="C46" s="1347" t="s">
        <v>507</v>
      </c>
      <c r="D46" s="1347" t="s">
        <v>512</v>
      </c>
      <c r="E46" s="1347" t="b">
        <f>IF((IFERROR(MATCH(D46,'5'!$D$16:$D$78,0),0))&lt;&gt;0,TRUE,FALSE)</f>
        <v>1</v>
      </c>
      <c r="F46" s="1342"/>
    </row>
    <row r="47" spans="2:6" ht="15" customHeight="1">
      <c r="B47" s="1338"/>
      <c r="C47" s="1347" t="s">
        <v>507</v>
      </c>
      <c r="D47" s="1347" t="s">
        <v>513</v>
      </c>
      <c r="E47" s="1347" t="b">
        <f>IF((IFERROR(MATCH(D47,'5'!$D$16:$D$78,0),0))&lt;&gt;0,TRUE,FALSE)</f>
        <v>1</v>
      </c>
      <c r="F47" s="1342"/>
    </row>
    <row r="48" spans="2:6" ht="15.75" customHeight="1">
      <c r="B48" s="1338"/>
      <c r="C48" s="1347" t="s">
        <v>507</v>
      </c>
      <c r="D48" s="1347" t="s">
        <v>514</v>
      </c>
      <c r="E48" s="1347" t="b">
        <f>IF((IFERROR(MATCH(D48,'5'!$D$16:$D$78,0),0))&lt;&gt;0,TRUE,FALSE)</f>
        <v>1</v>
      </c>
      <c r="F48" s="1342"/>
    </row>
    <row r="49" spans="2:6">
      <c r="B49" s="1338"/>
      <c r="C49" s="1347" t="s">
        <v>515</v>
      </c>
      <c r="D49" s="1347" t="s">
        <v>516</v>
      </c>
      <c r="E49" s="1347" t="b">
        <f>IF((IFERROR(MATCH(D49,'5'!$D$16:$D$78,0),0))&lt;&gt;0,TRUE,FALSE)</f>
        <v>1</v>
      </c>
      <c r="F49" s="1342"/>
    </row>
    <row r="50" spans="2:6">
      <c r="B50" s="1338"/>
      <c r="C50" s="1347" t="s">
        <v>515</v>
      </c>
      <c r="D50" s="1347" t="s">
        <v>517</v>
      </c>
      <c r="E50" s="1347" t="b">
        <f>IF((IFERROR(MATCH(D50,'5'!$D$16:$D$78,0),0))&lt;&gt;0,TRUE,FALSE)</f>
        <v>1</v>
      </c>
      <c r="F50" s="1342"/>
    </row>
    <row r="51" spans="2:6">
      <c r="B51" s="1338"/>
      <c r="C51" s="1347" t="s">
        <v>515</v>
      </c>
      <c r="D51" s="1347" t="s">
        <v>518</v>
      </c>
      <c r="E51" s="1347" t="b">
        <f>IF((IFERROR(MATCH(D51,'5'!$D$16:$D$78,0),0))&lt;&gt;0,TRUE,FALSE)</f>
        <v>1</v>
      </c>
      <c r="F51" s="1342"/>
    </row>
    <row r="52" spans="2:6">
      <c r="B52" s="1338"/>
      <c r="C52" s="1347" t="s">
        <v>519</v>
      </c>
      <c r="D52" s="1347" t="s">
        <v>520</v>
      </c>
      <c r="E52" s="1347" t="b">
        <f>IF((IFERROR(MATCH(D52,'5'!$D$16:$D$78,0),0))&lt;&gt;0,TRUE,FALSE)</f>
        <v>1</v>
      </c>
      <c r="F52" s="1342"/>
    </row>
    <row r="53" spans="2:6">
      <c r="B53" s="1338"/>
      <c r="C53" s="1347" t="s">
        <v>519</v>
      </c>
      <c r="D53" s="1347" t="s">
        <v>521</v>
      </c>
      <c r="E53" s="1347" t="b">
        <f>IF((IFERROR(MATCH(D53,'5'!$D$16:$D$78,0),0))&lt;&gt;0,TRUE,FALSE)</f>
        <v>1</v>
      </c>
      <c r="F53" s="1342"/>
    </row>
    <row r="54" spans="2:6">
      <c r="B54" s="1338"/>
      <c r="C54" s="1347" t="s">
        <v>519</v>
      </c>
      <c r="D54" s="1347" t="s">
        <v>522</v>
      </c>
      <c r="E54" s="1347" t="b">
        <f>IF((IFERROR(MATCH(D54,'5'!$D$16:$D$78,0),0))&lt;&gt;0,TRUE,FALSE)</f>
        <v>1</v>
      </c>
      <c r="F54" s="1342"/>
    </row>
    <row r="55" spans="2:6">
      <c r="B55" s="1338"/>
      <c r="C55" s="1347" t="s">
        <v>519</v>
      </c>
      <c r="D55" s="1347" t="s">
        <v>523</v>
      </c>
      <c r="E55" s="1347" t="b">
        <f>IF((IFERROR(MATCH(D55,'5'!$D$16:$D$78,0),0))&lt;&gt;0,TRUE,FALSE)</f>
        <v>1</v>
      </c>
      <c r="F55" s="1342"/>
    </row>
    <row r="56" spans="2:6">
      <c r="B56" s="1338"/>
      <c r="C56" s="1347" t="s">
        <v>519</v>
      </c>
      <c r="D56" s="1347" t="s">
        <v>524</v>
      </c>
      <c r="E56" s="1347" t="b">
        <f>IF((IFERROR(MATCH(D56,'5'!$D$16:$D$78,0),0))&lt;&gt;0,TRUE,FALSE)</f>
        <v>1</v>
      </c>
      <c r="F56" s="1342"/>
    </row>
    <row r="57" spans="2:6">
      <c r="B57" s="1338"/>
      <c r="C57" s="1347" t="s">
        <v>519</v>
      </c>
      <c r="D57" s="1347" t="s">
        <v>525</v>
      </c>
      <c r="E57" s="1347" t="b">
        <f>IF((IFERROR(MATCH(D57,'5'!$D$16:$D$78,0),0))&lt;&gt;0,TRUE,FALSE)</f>
        <v>1</v>
      </c>
      <c r="F57" s="1342"/>
    </row>
    <row r="58" spans="2:6">
      <c r="B58" s="1338"/>
      <c r="C58" s="1347" t="s">
        <v>519</v>
      </c>
      <c r="D58" s="1347" t="s">
        <v>526</v>
      </c>
      <c r="E58" s="1347" t="b">
        <f>IF((IFERROR(MATCH(D58,'5'!$D$16:$D$78,0),0))&lt;&gt;0,TRUE,FALSE)</f>
        <v>1</v>
      </c>
      <c r="F58" s="1342"/>
    </row>
    <row r="59" spans="2:6">
      <c r="B59" s="1338"/>
      <c r="C59" s="1347" t="s">
        <v>519</v>
      </c>
      <c r="D59" s="1347" t="s">
        <v>527</v>
      </c>
      <c r="E59" s="1347" t="b">
        <f>IF((IFERROR(MATCH(D59,'5'!$D$16:$D$78,0),0))&lt;&gt;0,TRUE,FALSE)</f>
        <v>1</v>
      </c>
      <c r="F59" s="1342"/>
    </row>
    <row r="60" spans="2:6">
      <c r="B60" s="1338"/>
      <c r="C60" s="1347" t="s">
        <v>519</v>
      </c>
      <c r="D60" s="1347" t="s">
        <v>528</v>
      </c>
      <c r="E60" s="1347" t="b">
        <f>IF((IFERROR(MATCH(D60,'5'!$D$16:$D$78,0),0))&lt;&gt;0,TRUE,FALSE)</f>
        <v>1</v>
      </c>
      <c r="F60" s="1342"/>
    </row>
    <row r="61" spans="2:6" ht="13.5" thickBot="1">
      <c r="B61" s="1349"/>
      <c r="C61" s="2349"/>
      <c r="D61" s="2349"/>
      <c r="E61" s="2349"/>
      <c r="F61" s="1350"/>
    </row>
    <row r="62" spans="2:6" ht="9" customHeight="1"/>
    <row r="64" spans="2:6" ht="13.5" thickBot="1"/>
    <row r="65" spans="5:5" ht="13.5" thickBot="1">
      <c r="E65" s="1351">
        <f>COUNTIF(E7:E60,TRUE)</f>
        <v>48</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
  <sheetViews>
    <sheetView showGridLines="0" zoomScaleNormal="100" workbookViewId="0" xr3:uid="{F9CF3CF3-643B-5BE6-8B46-32C596A47465}">
      <selection activeCell="N18" sqref="N18"/>
    </sheetView>
  </sheetViews>
  <sheetFormatPr defaultRowHeight="14.4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workbookViewId="0" xr3:uid="{78B4E459-6924-5F8B-B7BA-2DD04133E49E}">
      <selection activeCell="J23" sqref="J23"/>
    </sheetView>
  </sheetViews>
  <sheetFormatPr defaultRowHeight="14.4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7:L26"/>
  <sheetViews>
    <sheetView showGridLines="0" topLeftCell="A9" workbookViewId="0" xr3:uid="{9B253EF2-77E0-53E3-AE26-4D66ECD923F3}">
      <selection activeCell="H17" sqref="H17"/>
    </sheetView>
  </sheetViews>
  <sheetFormatPr defaultColWidth="9.140625" defaultRowHeight="14.45"/>
  <cols>
    <col min="1" max="2" width="1.7109375" style="335" customWidth="1"/>
    <col min="3" max="3" width="6" style="1487" bestFit="1" customWidth="1"/>
    <col min="4" max="4" width="29" style="1488" bestFit="1" customWidth="1"/>
    <col min="5" max="5" width="21.7109375" style="335" bestFit="1" customWidth="1"/>
    <col min="6" max="6" width="21.7109375" style="335" customWidth="1"/>
    <col min="7" max="7" width="9.7109375" style="335" bestFit="1" customWidth="1"/>
    <col min="8" max="8" width="26.28515625" style="335" customWidth="1"/>
    <col min="9" max="16384" width="9.140625" style="335"/>
  </cols>
  <sheetData>
    <row r="7" spans="2:12" ht="21.6" thickBot="1">
      <c r="B7" s="1489" t="s">
        <v>529</v>
      </c>
    </row>
    <row r="8" spans="2:12">
      <c r="B8" s="1496"/>
      <c r="C8" s="1497"/>
      <c r="D8" s="1498"/>
      <c r="E8" s="1411"/>
      <c r="F8" s="1411"/>
      <c r="G8" s="1411"/>
      <c r="H8" s="1411"/>
      <c r="I8" s="1412"/>
      <c r="J8" s="963"/>
      <c r="K8" s="963"/>
      <c r="L8" s="963"/>
    </row>
    <row r="9" spans="2:12" ht="29.45" thickBot="1">
      <c r="B9" s="1369"/>
      <c r="C9" s="965" t="s">
        <v>530</v>
      </c>
      <c r="D9" s="1499" t="s">
        <v>531</v>
      </c>
      <c r="E9" s="965"/>
      <c r="F9" s="965"/>
      <c r="G9" s="1500" t="s">
        <v>532</v>
      </c>
      <c r="H9" s="2350" t="s">
        <v>533</v>
      </c>
      <c r="I9" s="1413"/>
      <c r="J9" s="963"/>
      <c r="K9" s="963"/>
      <c r="L9" s="963"/>
    </row>
    <row r="10" spans="2:12" s="1490" customFormat="1">
      <c r="B10" s="1501"/>
      <c r="C10" s="1502">
        <v>3</v>
      </c>
      <c r="D10" s="1978" t="s">
        <v>534</v>
      </c>
      <c r="E10" s="1978"/>
      <c r="F10" s="1978"/>
      <c r="G10" s="1503" t="str">
        <f>IF((COUNTA(Table5[Population Type]))&lt;1,"Concern","OK")</f>
        <v>OK</v>
      </c>
      <c r="H10" s="1491"/>
      <c r="I10" s="1504"/>
      <c r="J10" s="1492"/>
      <c r="K10" s="1492"/>
      <c r="L10" s="1492"/>
    </row>
    <row r="11" spans="2:12" s="1490" customFormat="1">
      <c r="B11" s="1501"/>
      <c r="C11" s="1505"/>
      <c r="D11" s="1979" t="s">
        <v>535</v>
      </c>
      <c r="E11" s="1979"/>
      <c r="F11" s="1979"/>
      <c r="G11" s="1506" t="str">
        <f>IF((COUNTA(Table5[Homeless at Entry?]))&lt;&gt;(COUNTA(Table5[Population Type])),"Concern","OK")</f>
        <v>OK</v>
      </c>
      <c r="H11" s="1493"/>
      <c r="I11" s="1504"/>
      <c r="J11" s="1492"/>
      <c r="K11" s="1492"/>
      <c r="L11" s="1492"/>
    </row>
    <row r="12" spans="2:12" s="1490" customFormat="1">
      <c r="B12" s="1501"/>
      <c r="C12" s="1505"/>
      <c r="D12" s="1979" t="s">
        <v>536</v>
      </c>
      <c r="E12" s="1979"/>
      <c r="F12" s="1979"/>
      <c r="G12" s="1506" t="str">
        <f>IF((COUNTA(Table5[Residency Type]))&lt;&gt;(COUNTA(Table5[Population Type])),"Concern","OK")</f>
        <v>OK</v>
      </c>
      <c r="H12" s="1493"/>
      <c r="I12" s="1504"/>
      <c r="J12" s="1492"/>
      <c r="K12" s="1492"/>
      <c r="L12" s="1492"/>
    </row>
    <row r="13" spans="2:12" s="1490" customFormat="1">
      <c r="B13" s="1501"/>
      <c r="C13" s="1505"/>
      <c r="D13" s="1979" t="s">
        <v>537</v>
      </c>
      <c r="E13" s="1979"/>
      <c r="F13" s="1979"/>
      <c r="G13" s="1506" t="str">
        <f>IF((COUNTA(Table5[Unit 
or Bed]))&lt;1,"Concern","OK")</f>
        <v>OK</v>
      </c>
      <c r="H13" s="1493"/>
      <c r="I13" s="1504"/>
      <c r="J13" s="1492"/>
      <c r="K13" s="1492"/>
      <c r="L13" s="1492"/>
    </row>
    <row r="14" spans="2:12" s="1490" customFormat="1" ht="15" thickBot="1">
      <c r="B14" s="1501"/>
      <c r="C14" s="2351"/>
      <c r="D14" s="2352" t="s">
        <v>538</v>
      </c>
      <c r="E14" s="2352"/>
      <c r="F14" s="2352"/>
      <c r="G14" s="1507" t="str">
        <f>IF((COUNTA(Table5[Unit 
or Bed]))&lt;1,"Concern","OK")</f>
        <v>OK</v>
      </c>
      <c r="H14" s="1494"/>
      <c r="I14" s="1504"/>
      <c r="J14" s="1492"/>
      <c r="K14" s="1492"/>
      <c r="L14" s="1492"/>
    </row>
    <row r="15" spans="2:12" s="1490" customFormat="1" ht="15" thickBot="1">
      <c r="B15" s="1501"/>
      <c r="C15" s="1505"/>
      <c r="D15" s="1981"/>
      <c r="E15" s="1981"/>
      <c r="F15" s="1981"/>
      <c r="G15" s="1508"/>
      <c r="H15" s="1508"/>
      <c r="I15" s="1504"/>
      <c r="J15" s="1492"/>
      <c r="K15" s="1492"/>
      <c r="L15" s="1492"/>
    </row>
    <row r="16" spans="2:12">
      <c r="B16" s="1369"/>
      <c r="C16" s="1502">
        <v>5</v>
      </c>
      <c r="D16" s="1978" t="s">
        <v>539</v>
      </c>
      <c r="E16" s="1978"/>
      <c r="F16" s="1978"/>
      <c r="G16" s="1503" t="str">
        <f>IF((IFERROR(MATCH("Begin Construction",'5'!D16:D78,0),0))&lt;&gt;0,"OK","Concern")</f>
        <v>OK</v>
      </c>
      <c r="H16" s="1491"/>
      <c r="I16" s="1413"/>
      <c r="J16" s="963"/>
      <c r="K16" s="963"/>
      <c r="L16" s="963"/>
    </row>
    <row r="17" spans="2:12" ht="26.45" thickBot="1">
      <c r="B17" s="1369"/>
      <c r="C17" s="2351"/>
      <c r="D17" s="2352" t="s">
        <v>540</v>
      </c>
      <c r="E17" s="2352"/>
      <c r="F17" s="2352"/>
      <c r="G17" s="1507" t="str">
        <f>IF('5 Default Check'!E65&gt;=54,"OK","Concern")</f>
        <v>Concern</v>
      </c>
      <c r="H17" s="1494" t="s">
        <v>541</v>
      </c>
      <c r="I17" s="1413"/>
      <c r="J17" s="963"/>
      <c r="K17" s="963"/>
      <c r="L17" s="963"/>
    </row>
    <row r="18" spans="2:12" ht="15" thickBot="1">
      <c r="B18" s="1369"/>
      <c r="C18" s="1505"/>
      <c r="D18" s="1981"/>
      <c r="E18" s="1981"/>
      <c r="F18" s="1981"/>
      <c r="G18" s="1509"/>
      <c r="H18" s="1509"/>
      <c r="I18" s="1413"/>
      <c r="J18" s="963"/>
      <c r="K18" s="963"/>
      <c r="L18" s="963"/>
    </row>
    <row r="19" spans="2:12" ht="15" thickBot="1">
      <c r="B19" s="1369"/>
      <c r="C19" s="1510" t="s">
        <v>542</v>
      </c>
      <c r="D19" s="1981" t="s">
        <v>543</v>
      </c>
      <c r="E19" s="1981"/>
      <c r="F19" s="1981"/>
      <c r="G19" s="1511" t="str">
        <f ca="1">IF('6A'!J120&lt;&gt;'6A'!J121,"Concern","OK")</f>
        <v>OK</v>
      </c>
      <c r="H19" s="1495"/>
      <c r="I19" s="1413"/>
      <c r="J19" s="963"/>
      <c r="K19" s="963"/>
      <c r="L19" s="963"/>
    </row>
    <row r="20" spans="2:12" ht="15" thickBot="1">
      <c r="B20" s="1369"/>
      <c r="C20" s="1505"/>
      <c r="D20" s="1980"/>
      <c r="E20" s="1980"/>
      <c r="F20" s="1980"/>
      <c r="G20" s="1509"/>
      <c r="H20" s="1509"/>
      <c r="I20" s="1413"/>
      <c r="J20" s="963"/>
      <c r="K20" s="963"/>
      <c r="L20" s="963"/>
    </row>
    <row r="21" spans="2:12">
      <c r="B21" s="1369"/>
      <c r="C21" s="1502" t="s">
        <v>544</v>
      </c>
      <c r="D21" s="1980" t="s">
        <v>545</v>
      </c>
      <c r="E21" s="1980"/>
      <c r="F21" s="1980"/>
      <c r="G21" s="1512" t="str">
        <f>IF((COUNTA(#REF!,#REF!))&gt;(COUNTA(#REF!,#REF!)),"Concern","OK")</f>
        <v>OK</v>
      </c>
      <c r="H21" s="1491"/>
      <c r="I21" s="1413"/>
      <c r="J21" s="963"/>
      <c r="K21" s="963"/>
      <c r="L21" s="963"/>
    </row>
    <row r="22" spans="2:12">
      <c r="B22" s="1369"/>
      <c r="C22" s="1505"/>
      <c r="D22" s="1979" t="s">
        <v>546</v>
      </c>
      <c r="E22" s="1979"/>
      <c r="F22" s="1979"/>
      <c r="G22" s="1506" t="str">
        <f>IF((COUNTA(#REF!,#REF!))&gt;(COUNTA(#REF!,#REF!)),"Concern","OK")</f>
        <v>OK</v>
      </c>
      <c r="H22" s="1493"/>
      <c r="I22" s="1413"/>
      <c r="J22" s="963"/>
      <c r="K22" s="963"/>
      <c r="L22" s="963"/>
    </row>
    <row r="23" spans="2:12">
      <c r="B23" s="1369"/>
      <c r="C23" s="1505"/>
      <c r="D23" s="1942" t="s">
        <v>547</v>
      </c>
      <c r="E23" s="1942"/>
      <c r="F23" s="1942"/>
      <c r="G23" s="1506" t="str">
        <f>IF(((COUNTIF('7A'!J26:J32,"Loan"))+(COUNTIF('7A'!J43:J45,"Loan")))&gt;(COUNTA('7A'!M26:M32)+COUNTA('7A'!M43:M45)),"Concern","OK")</f>
        <v>OK</v>
      </c>
      <c r="H23" s="1493"/>
      <c r="I23" s="1413"/>
      <c r="J23" s="963"/>
      <c r="K23" s="963"/>
      <c r="L23" s="963"/>
    </row>
    <row r="24" spans="2:12">
      <c r="B24" s="1369"/>
      <c r="C24" s="1513"/>
      <c r="D24" s="1979" t="s">
        <v>548</v>
      </c>
      <c r="E24" s="1979"/>
      <c r="F24" s="1979"/>
      <c r="G24" s="1506" t="str">
        <f>IF((COUNTA(#REF!,#REF!))&gt;(COUNTA(#REF!,#REF!)),"Concern","OK")</f>
        <v>OK</v>
      </c>
      <c r="H24" s="1493"/>
      <c r="I24" s="1413"/>
      <c r="J24" s="963"/>
      <c r="K24" s="963"/>
      <c r="L24" s="963"/>
    </row>
    <row r="25" spans="2:12" ht="91.5" thickBot="1">
      <c r="B25" s="1369"/>
      <c r="C25" s="2353"/>
      <c r="D25" s="2354" t="s">
        <v>549</v>
      </c>
      <c r="E25" s="2354"/>
      <c r="F25" s="2354"/>
      <c r="G25" s="1507" t="str">
        <f ca="1">IF('6A'!K121&lt;&gt;'7A'!F50,"Concern","OK")</f>
        <v>Concern</v>
      </c>
      <c r="H25" s="1494" t="s">
        <v>550</v>
      </c>
      <c r="I25" s="1413"/>
      <c r="J25" s="963"/>
      <c r="K25" s="963"/>
      <c r="L25" s="963"/>
    </row>
    <row r="26" spans="2:12" ht="15" thickBot="1">
      <c r="B26" s="1373"/>
      <c r="C26" s="1514"/>
      <c r="D26" s="1515"/>
      <c r="E26" s="1416"/>
      <c r="F26" s="1416"/>
      <c r="G26" s="1416"/>
      <c r="H26" s="1416"/>
      <c r="I26" s="1374"/>
      <c r="J26" s="963"/>
      <c r="K26" s="963"/>
      <c r="L26" s="963"/>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6" priority="17" operator="equal">
      <formula>"OK"</formula>
    </cfRule>
    <cfRule type="cellIs" dxfId="155" priority="18" operator="equal">
      <formula>"FAIL"</formula>
    </cfRule>
  </conditionalFormatting>
  <conditionalFormatting sqref="H24">
    <cfRule type="cellIs" dxfId="154" priority="15" operator="equal">
      <formula>"OK"</formula>
    </cfRule>
    <cfRule type="cellIs" dxfId="153" priority="16" operator="equal">
      <formula>"FAIL"</formula>
    </cfRule>
  </conditionalFormatting>
  <conditionalFormatting sqref="H25">
    <cfRule type="cellIs" dxfId="152" priority="13" operator="equal">
      <formula>"OK"</formula>
    </cfRule>
    <cfRule type="cellIs" dxfId="151" priority="14" operator="equal">
      <formula>"FAIL"</formula>
    </cfRule>
  </conditionalFormatting>
  <conditionalFormatting sqref="H21">
    <cfRule type="cellIs" dxfId="150" priority="11" operator="equal">
      <formula>"OK"</formula>
    </cfRule>
    <cfRule type="cellIs" dxfId="149" priority="12" operator="equal">
      <formula>"FAIL"</formula>
    </cfRule>
  </conditionalFormatting>
  <conditionalFormatting sqref="H19">
    <cfRule type="cellIs" dxfId="148" priority="9" operator="equal">
      <formula>"OK"</formula>
    </cfRule>
    <cfRule type="cellIs" dxfId="147" priority="10" operator="equal">
      <formula>"FAIL"</formula>
    </cfRule>
  </conditionalFormatting>
  <conditionalFormatting sqref="G10:G15 G18:G22 G24:G25">
    <cfRule type="containsText" dxfId="146" priority="7" operator="containsText" text="Concern">
      <formula>NOT(ISERROR(SEARCH("Concern",G10)))</formula>
    </cfRule>
    <cfRule type="containsText" dxfId="145" priority="8" operator="containsText" text="OK">
      <formula>NOT(ISERROR(SEARCH("OK",G10)))</formula>
    </cfRule>
  </conditionalFormatting>
  <conditionalFormatting sqref="G17">
    <cfRule type="containsText" dxfId="144" priority="5" operator="containsText" text="Concern">
      <formula>NOT(ISERROR(SEARCH("Concern",G17)))</formula>
    </cfRule>
    <cfRule type="containsText" dxfId="143" priority="6" operator="containsText" text="OK">
      <formula>NOT(ISERROR(SEARCH("OK",G17)))</formula>
    </cfRule>
  </conditionalFormatting>
  <conditionalFormatting sqref="G16">
    <cfRule type="containsText" dxfId="142" priority="3" operator="containsText" text="Concern">
      <formula>NOT(ISERROR(SEARCH("Concern",G16)))</formula>
    </cfRule>
    <cfRule type="containsText" dxfId="141" priority="4" operator="containsText" text="OK">
      <formula>NOT(ISERROR(SEARCH("OK",G16)))</formula>
    </cfRule>
  </conditionalFormatting>
  <conditionalFormatting sqref="G23">
    <cfRule type="containsText" dxfId="140" priority="1" operator="containsText" text="Concern">
      <formula>NOT(ISERROR(SEARCH("Concern",G23)))</formula>
    </cfRule>
    <cfRule type="containsText" dxfId="139"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Y14"/>
  <sheetViews>
    <sheetView workbookViewId="0" xr3:uid="{85D5C41F-068E-5C55-9968-509E7C2A5619}">
      <selection activeCell="L23" sqref="L23"/>
    </sheetView>
  </sheetViews>
  <sheetFormatPr defaultRowHeight="14.45"/>
  <cols>
    <col min="1" max="73" width="4.28515625" customWidth="1"/>
    <col min="74" max="76" width="4.28515625" style="615" customWidth="1"/>
    <col min="77" max="82" width="4.28515625" customWidth="1"/>
    <col min="83" max="83" width="4.28515625" style="615" customWidth="1"/>
    <col min="84" max="84" width="4.28515625" customWidth="1"/>
    <col min="85" max="85" width="4.28515625" style="615" customWidth="1"/>
    <col min="86" max="86" width="4.28515625" customWidth="1"/>
    <col min="87" max="87" width="4.28515625" style="615" customWidth="1"/>
    <col min="88" max="88" width="4.28515625" customWidth="1"/>
    <col min="89" max="89" width="4.28515625" style="615" customWidth="1"/>
    <col min="90" max="102" width="4.28515625" customWidth="1"/>
  </cols>
  <sheetData>
    <row r="1" spans="1:103">
      <c r="A1" s="1592" t="s">
        <v>551</v>
      </c>
      <c r="B1" s="1592" t="s">
        <v>552</v>
      </c>
      <c r="C1" s="1592" t="s">
        <v>553</v>
      </c>
      <c r="D1" s="1592" t="s">
        <v>554</v>
      </c>
      <c r="E1" s="1592" t="s">
        <v>555</v>
      </c>
      <c r="F1" s="1592" t="s">
        <v>556</v>
      </c>
      <c r="G1" s="1592" t="s">
        <v>557</v>
      </c>
      <c r="H1" s="1592" t="s">
        <v>111</v>
      </c>
      <c r="I1" s="1592" t="s">
        <v>558</v>
      </c>
      <c r="J1" s="1592" t="s">
        <v>559</v>
      </c>
      <c r="K1" s="1592" t="s">
        <v>560</v>
      </c>
      <c r="L1" s="1593">
        <v>0.3</v>
      </c>
      <c r="M1" s="1593">
        <v>0.4</v>
      </c>
      <c r="N1" s="1593">
        <v>0.5</v>
      </c>
      <c r="O1" s="1593">
        <v>0.6</v>
      </c>
      <c r="P1" s="1592" t="s">
        <v>561</v>
      </c>
      <c r="Q1" s="1592" t="s">
        <v>562</v>
      </c>
      <c r="R1" s="1592" t="s">
        <v>563</v>
      </c>
      <c r="S1" s="1592" t="s">
        <v>564</v>
      </c>
      <c r="T1" s="1592" t="s">
        <v>565</v>
      </c>
      <c r="U1" s="1592" t="s">
        <v>61</v>
      </c>
      <c r="V1" s="1592" t="s">
        <v>62</v>
      </c>
      <c r="W1" s="1592" t="s">
        <v>63</v>
      </c>
      <c r="X1" s="1592" t="s">
        <v>64</v>
      </c>
      <c r="Y1" s="1592" t="s">
        <v>566</v>
      </c>
      <c r="Z1" s="1592" t="s">
        <v>35</v>
      </c>
      <c r="AA1" s="1592" t="s">
        <v>567</v>
      </c>
      <c r="AB1" s="1592" t="s">
        <v>568</v>
      </c>
      <c r="AC1" s="1592" t="s">
        <v>61</v>
      </c>
      <c r="AD1" s="1592" t="s">
        <v>62</v>
      </c>
      <c r="AE1" s="1592" t="s">
        <v>63</v>
      </c>
      <c r="AF1" s="1592" t="s">
        <v>64</v>
      </c>
      <c r="AG1" s="1592" t="s">
        <v>566</v>
      </c>
      <c r="AH1" s="1592" t="s">
        <v>35</v>
      </c>
      <c r="AI1" s="1592" t="s">
        <v>569</v>
      </c>
      <c r="AJ1" s="1592" t="s">
        <v>570</v>
      </c>
      <c r="AK1" s="1592" t="s">
        <v>571</v>
      </c>
      <c r="AL1" s="1592" t="s">
        <v>572</v>
      </c>
      <c r="AM1" s="1592" t="s">
        <v>573</v>
      </c>
      <c r="AN1" s="1592" t="s">
        <v>574</v>
      </c>
      <c r="AO1" s="1592" t="s">
        <v>575</v>
      </c>
      <c r="AP1" s="1592" t="s">
        <v>576</v>
      </c>
      <c r="AQ1" s="1592" t="s">
        <v>577</v>
      </c>
      <c r="AR1" s="1592" t="s">
        <v>578</v>
      </c>
      <c r="AS1" s="1592" t="s">
        <v>579</v>
      </c>
      <c r="AT1" s="1592" t="s">
        <v>580</v>
      </c>
      <c r="AU1" s="1592" t="s">
        <v>581</v>
      </c>
      <c r="AV1" s="1592" t="s">
        <v>582</v>
      </c>
      <c r="AW1" s="1592" t="s">
        <v>583</v>
      </c>
      <c r="AX1" s="1592" t="s">
        <v>584</v>
      </c>
      <c r="AY1" s="1592" t="s">
        <v>585</v>
      </c>
      <c r="AZ1" s="1592" t="s">
        <v>586</v>
      </c>
      <c r="BA1" s="1592" t="s">
        <v>587</v>
      </c>
      <c r="BB1" s="1592" t="s">
        <v>588</v>
      </c>
      <c r="BC1" s="1592" t="s">
        <v>589</v>
      </c>
      <c r="BD1" s="1592" t="s">
        <v>590</v>
      </c>
      <c r="BE1" s="1592" t="s">
        <v>591</v>
      </c>
      <c r="BF1" s="1592" t="s">
        <v>592</v>
      </c>
      <c r="BG1" s="1592" t="s">
        <v>593</v>
      </c>
      <c r="BH1" s="1592" t="s">
        <v>594</v>
      </c>
      <c r="BI1" s="1592" t="s">
        <v>595</v>
      </c>
      <c r="BJ1" s="1592" t="s">
        <v>596</v>
      </c>
      <c r="BK1" s="1592" t="s">
        <v>597</v>
      </c>
      <c r="BL1" s="1592" t="s">
        <v>598</v>
      </c>
      <c r="BM1" s="1592" t="s">
        <v>599</v>
      </c>
      <c r="BN1" s="1592" t="s">
        <v>600</v>
      </c>
      <c r="BO1" s="1592" t="s">
        <v>601</v>
      </c>
      <c r="BP1" s="1592" t="s">
        <v>602</v>
      </c>
      <c r="BQ1" s="1592" t="s">
        <v>603</v>
      </c>
      <c r="BR1" s="1592" t="s">
        <v>604</v>
      </c>
      <c r="BS1" s="1592" t="s">
        <v>605</v>
      </c>
      <c r="BT1" s="1592" t="s">
        <v>606</v>
      </c>
      <c r="BU1" s="1592" t="s">
        <v>607</v>
      </c>
      <c r="BV1" s="1592" t="s">
        <v>608</v>
      </c>
      <c r="BW1" s="1592" t="s">
        <v>609</v>
      </c>
      <c r="BX1" s="1592" t="s">
        <v>610</v>
      </c>
      <c r="BY1" s="1592" t="s">
        <v>611</v>
      </c>
      <c r="BZ1" s="1592" t="s">
        <v>612</v>
      </c>
      <c r="CA1" s="1592" t="s">
        <v>613</v>
      </c>
      <c r="CB1" s="1592" t="s">
        <v>614</v>
      </c>
      <c r="CC1" s="1592" t="s">
        <v>615</v>
      </c>
      <c r="CD1" s="1592" t="s">
        <v>616</v>
      </c>
      <c r="CE1" s="1592" t="s">
        <v>617</v>
      </c>
      <c r="CF1" s="1592" t="s">
        <v>618</v>
      </c>
      <c r="CG1" s="1592" t="s">
        <v>619</v>
      </c>
      <c r="CH1" s="1592" t="s">
        <v>620</v>
      </c>
      <c r="CI1" s="1592" t="s">
        <v>621</v>
      </c>
      <c r="CJ1" s="1592" t="s">
        <v>622</v>
      </c>
      <c r="CK1" s="1592" t="s">
        <v>623</v>
      </c>
      <c r="CL1" s="1592" t="s">
        <v>624</v>
      </c>
      <c r="CM1" s="1592" t="s">
        <v>625</v>
      </c>
      <c r="CN1" s="1592" t="s">
        <v>626</v>
      </c>
      <c r="CO1" s="1592" t="s">
        <v>627</v>
      </c>
      <c r="CP1" s="1592" t="s">
        <v>628</v>
      </c>
      <c r="CQ1" s="1592" t="s">
        <v>629</v>
      </c>
      <c r="CR1" s="1592" t="s">
        <v>630</v>
      </c>
      <c r="CS1" s="1592" t="s">
        <v>631</v>
      </c>
      <c r="CT1" s="1592" t="s">
        <v>632</v>
      </c>
      <c r="CU1" s="1592" t="s">
        <v>633</v>
      </c>
      <c r="CV1" s="1592" t="s">
        <v>634</v>
      </c>
      <c r="CW1" s="1592" t="s">
        <v>635</v>
      </c>
      <c r="CX1" s="1592" t="s">
        <v>636</v>
      </c>
      <c r="CY1" s="1591"/>
    </row>
    <row r="2" spans="1:103">
      <c r="A2" s="1971" t="str">
        <f>'1'!G8</f>
        <v>DESC</v>
      </c>
      <c r="B2" s="1971" t="str">
        <f>'1'!G15</f>
        <v>Lotus Development Partners LLC</v>
      </c>
      <c r="C2" s="1971" t="str">
        <f>'9A'!D16</f>
        <v>dmalone@desc.org</v>
      </c>
      <c r="D2" s="1971" t="str">
        <f>'1'!G10</f>
        <v>Jessica Adams, Sr. Property Developer</v>
      </c>
      <c r="E2" s="1971" t="str">
        <f>'1'!J19</f>
        <v>michelle@lotusdevpartners.com</v>
      </c>
      <c r="F2" s="1971" t="str">
        <f>'1'!G5</f>
        <v>DESC 22nd Avenue PSH</v>
      </c>
      <c r="G2" s="1971" t="str">
        <f>'1'!G29</f>
        <v>Seattle</v>
      </c>
      <c r="H2" s="1971" t="str">
        <f>'1'!J29</f>
        <v>King</v>
      </c>
      <c r="I2" s="1971">
        <f>'1'!G31</f>
        <v>37</v>
      </c>
      <c r="J2" s="1971" t="str">
        <f>CONCATENATE((IF('1'!F39="X",'1'!E39,"")),", ",(IF('1'!F41="X",'1'!E41,"")),", ",(IF('1'!F43="X",'1'!E43,"")),", ",(IF('1'!F45="X",'1'!E45,"")),", ",(IF('1'!J39="X",'1'!G39,"")),", ",(IF('1'!J41="X",'1'!G41,"")),", ",(IF('1'!J43="X",'1'!G43,"")),", ",(IF('1'!J45="X",'1'!G45,"")),", ",(IF('1'!M39="X",'1'!L39,"")),", ",(IF('1'!M41="X",'1'!L41,"")))</f>
        <v xml:space="preserve">Acquisition, , New Construction, , , , , , , </v>
      </c>
      <c r="K2" s="1971">
        <f>SUM(L2:R2)</f>
        <v>90</v>
      </c>
      <c r="L2" s="1971">
        <f>'8A'!L35+'8A'!L36</f>
        <v>90</v>
      </c>
      <c r="M2" s="1971">
        <f>'8A'!L37+'8A'!L38</f>
        <v>0</v>
      </c>
      <c r="N2" s="1971">
        <f>'8A'!L39+'8A'!L40</f>
        <v>0</v>
      </c>
      <c r="O2" s="1971">
        <f>'8A'!L41+'8A'!L42</f>
        <v>0</v>
      </c>
      <c r="P2" s="1971">
        <f>'8A'!L43+'8A'!L44</f>
        <v>0</v>
      </c>
      <c r="Q2" s="1971">
        <f>'8A'!L47</f>
        <v>0</v>
      </c>
      <c r="R2" s="1971">
        <f>'8A'!L46</f>
        <v>0</v>
      </c>
      <c r="S2" s="1971"/>
      <c r="T2" s="1971">
        <f>'8A'!E48+'8A'!F48</f>
        <v>90</v>
      </c>
      <c r="U2" s="1971">
        <f>'8A'!G48</f>
        <v>0</v>
      </c>
      <c r="V2" s="1971">
        <f>'8A'!H48</f>
        <v>0</v>
      </c>
      <c r="W2" s="1971">
        <f>'8A'!I48</f>
        <v>0</v>
      </c>
      <c r="X2" s="1971">
        <f>'8A'!J48</f>
        <v>0</v>
      </c>
      <c r="Y2" s="1971">
        <f>'8A'!K48</f>
        <v>0</v>
      </c>
      <c r="Z2" s="1971">
        <f>'8A'!D48</f>
        <v>0</v>
      </c>
      <c r="AA2" s="1971"/>
      <c r="AB2" s="1971">
        <f>AVERAGE('8A'!E51+'8A'!F51)</f>
        <v>344</v>
      </c>
      <c r="AC2" s="1971">
        <f>'8A'!G51</f>
        <v>0</v>
      </c>
      <c r="AD2" s="1971">
        <f>'8A'!H51</f>
        <v>0</v>
      </c>
      <c r="AE2" s="1971">
        <f>'8A'!I51</f>
        <v>0</v>
      </c>
      <c r="AF2" s="1971">
        <f>'8A'!J51</f>
        <v>0</v>
      </c>
      <c r="AG2" s="1971">
        <f>'8A'!K51</f>
        <v>0</v>
      </c>
      <c r="AH2" s="1971">
        <f>AVERAGE('8A'!D51+'8A'!E51)</f>
        <v>0</v>
      </c>
      <c r="AI2" s="1585">
        <f>'2B'!K34</f>
        <v>53020</v>
      </c>
      <c r="AJ2" s="1585">
        <f>'2B'!O34</f>
        <v>53020</v>
      </c>
      <c r="AK2" s="1971">
        <f>'2C'!J142</f>
        <v>6</v>
      </c>
      <c r="AL2" s="1971">
        <f>'2C'!J143</f>
        <v>17</v>
      </c>
      <c r="AM2" s="1971">
        <f>'2C'!J144</f>
        <v>5</v>
      </c>
      <c r="AN2" s="1971">
        <f>'2C'!J145</f>
        <v>9</v>
      </c>
      <c r="AO2" s="1971">
        <f>'2C'!J146</f>
        <v>3</v>
      </c>
      <c r="AP2" s="1971">
        <f>'2C'!J147</f>
        <v>9</v>
      </c>
      <c r="AQ2" s="1971">
        <f>'2C'!J148</f>
        <v>0</v>
      </c>
      <c r="AR2" s="1971">
        <f>'2C'!J149</f>
        <v>7</v>
      </c>
      <c r="AS2" s="1971"/>
      <c r="AT2" s="1586">
        <f>INDEX(Schedule_Dates,MATCH("building permits issued",'5'!D17:D77,0))</f>
        <v>43446</v>
      </c>
      <c r="AU2" s="1586">
        <f>INDEX(Schedule_Dates,MATCH("begin construction",'5'!D17:D77,0))</f>
        <v>43449</v>
      </c>
      <c r="AV2" s="1586">
        <f>INDEX(Schedule_Dates,MATCH("issued certificate of occupancy",'5'!D17:D77,0))</f>
        <v>43881</v>
      </c>
      <c r="AW2" s="1587">
        <f>'6A'!J22</f>
        <v>3250000</v>
      </c>
      <c r="AX2" s="1587">
        <f>'6A'!K22</f>
        <v>1950000</v>
      </c>
      <c r="AY2" s="1587">
        <f>'6A'!J36</f>
        <v>1657895.9000000001</v>
      </c>
      <c r="AZ2" s="1587">
        <f>'6A'!J37</f>
        <v>0</v>
      </c>
      <c r="BA2" s="1587">
        <f>'6A'!J32</f>
        <v>16578959</v>
      </c>
      <c r="BB2" s="1587">
        <f>'6A'!J33</f>
        <v>0</v>
      </c>
      <c r="BC2" s="1587">
        <f>'6A'!J47</f>
        <v>20349329.759</v>
      </c>
      <c r="BD2" s="1587">
        <f ca="1">'6A'!K47</f>
        <v>20349329.759</v>
      </c>
      <c r="BE2" s="1587">
        <f ca="1">'6A'!J58</f>
        <v>2092434.0688246025</v>
      </c>
      <c r="BF2" s="1587">
        <f>'6A'!J59</f>
        <v>0</v>
      </c>
      <c r="BG2" s="1594">
        <f ca="1">SUMIF('6A'!L19:Q20,"*htf*",'6A'!L58:Q58)+SUMIF('6A'!L19:Q20,"*housing trust fund*",'6A'!L58:Q58)</f>
        <v>0</v>
      </c>
      <c r="BH2" s="1594">
        <f ca="1">SUMIF('6A'!L19:Q20,"*htf*",'6A'!L59:Q59)+SUMIF('6A'!L19:Q20,"*housing trust fund*",'6A'!L59:Q59)</f>
        <v>0</v>
      </c>
      <c r="BI2" s="1587">
        <f>'6A'!J90</f>
        <v>754709</v>
      </c>
      <c r="BJ2" s="1587">
        <f>'6A'!K90</f>
        <v>754709</v>
      </c>
      <c r="BK2" s="1587">
        <f>'6A'!J91</f>
        <v>300000</v>
      </c>
      <c r="BL2" s="1587">
        <f>'6A'!K91</f>
        <v>300000</v>
      </c>
      <c r="BM2" s="1587">
        <f>'6A'!J118</f>
        <v>0</v>
      </c>
      <c r="BN2" s="1587">
        <f>'6A'!K118</f>
        <v>0</v>
      </c>
      <c r="BO2" s="1971" t="e">
        <f>IF(BP2&gt;0,"9%",(IF(AND(BP2=0,BQ2&gt;0),"4%",(IF(AND(BP2=0,BQ2=0),"n/a")))))</f>
        <v>#REF!</v>
      </c>
      <c r="BP2" s="1971" t="e">
        <f>#REF!</f>
        <v>#REF!</v>
      </c>
      <c r="BQ2" s="1971" t="e">
        <f>#REF!</f>
        <v>#REF!</v>
      </c>
      <c r="BR2" s="1971">
        <f>'6D'!G40</f>
        <v>0.93</v>
      </c>
      <c r="BS2" s="1971" t="str">
        <f>IF('7A'!F22&gt;0,"Y","N")</f>
        <v>Y</v>
      </c>
      <c r="BT2" s="1588">
        <f>SUMIF('7A'!D26:D32,"State - Housing Trust Fund",'7A'!E26:E32)+SUMIF('7A'!D26:D32,"State - Housing Trust Fund",'7A'!F26:F32)</f>
        <v>3000000</v>
      </c>
      <c r="BU2" s="1589">
        <f>SUMIF('7A'!$D26:$D32,"City",'7A'!E26:E32)</f>
        <v>9520742</v>
      </c>
      <c r="BV2" s="1589">
        <f>SUMIF('7A'!$D26:$D32,"City",'7A'!F26:F32)</f>
        <v>0</v>
      </c>
      <c r="BW2" s="1589">
        <f>SUMIF('7A'!$D26:$D32,"County",'7A'!E26:E32)</f>
        <v>1000000</v>
      </c>
      <c r="BX2" s="1589">
        <f>SUMIF('7A'!$D26:$D32,"County",'7A'!F26:F32)</f>
        <v>0</v>
      </c>
      <c r="BY2" s="1589">
        <f ca="1">'7A'!F37</f>
        <v>15881826.929132136</v>
      </c>
      <c r="BZ2" s="1588">
        <f>SUMIFS('7A'!E26:E32,'7A'!C26:C32,"*cdbg*",'7A'!D26:D32,"State - Other")+SUMIFS('7A'!F26:F32,'7A'!C26:C32,"*cdbg*",'7A'!D26:D32,"State - Other")</f>
        <v>0</v>
      </c>
      <c r="CA2" s="1588">
        <f ca="1">'7A'!F39</f>
        <v>29402568.929132134</v>
      </c>
      <c r="CB2" s="1588">
        <f>'7A'!F48</f>
        <v>1365000</v>
      </c>
      <c r="CC2" s="1588">
        <f>'7A'!E33+'7A'!E46</f>
        <v>14885742</v>
      </c>
      <c r="CD2" s="1588">
        <f>'7A'!F33+'7A'!F46</f>
        <v>0</v>
      </c>
      <c r="CE2" s="1588">
        <f ca="1">((((SUMIFS('7A'!$E26:$E32,'7A'!$D26:$D32,"Bank",'7A'!$D26:$D32,"City",'7A'!$D26:$D32,"County",'7A'!$D26:$D32,"federal",'7A'!$D26:$D32,"GSE*",'7A'!$D26:$D32,"Private",'7A'!$D26:$D32,"Public*",'7A'!$D26:$D32,"Sponsor",'7A'!$D26:$D32,"State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15881826.929132136</v>
      </c>
      <c r="CF2" s="1587">
        <f>'8B'!D30</f>
        <v>331671.32659999997</v>
      </c>
      <c r="CG2" s="1587">
        <f>'8B'!E30</f>
        <v>0</v>
      </c>
      <c r="CH2" s="1587">
        <f>'8B'!D21</f>
        <v>0</v>
      </c>
      <c r="CI2" s="1587">
        <f>'8B'!E21</f>
        <v>0</v>
      </c>
      <c r="CJ2" s="1587">
        <f>'8B'!D39</f>
        <v>956339.14</v>
      </c>
      <c r="CK2" s="1587">
        <f>'8B'!E39</f>
        <v>0</v>
      </c>
      <c r="CL2" s="1588">
        <f ca="1">'8D'!H36</f>
        <v>1133451.3266</v>
      </c>
      <c r="CM2" s="1588">
        <f>'8D'!H70</f>
        <v>299958.47659999999</v>
      </c>
      <c r="CN2" s="1588">
        <f>'8D'!H71</f>
        <v>31712.85</v>
      </c>
      <c r="CO2" s="1588">
        <f>'8D'!H93</f>
        <v>1098451.3266</v>
      </c>
      <c r="CP2" s="1588">
        <f>'8D'!H95</f>
        <v>35000</v>
      </c>
      <c r="CQ2" s="1588">
        <f>'8D'!H96</f>
        <v>0</v>
      </c>
      <c r="CR2" s="1588">
        <f>'8D'!I96</f>
        <v>0</v>
      </c>
      <c r="CS2" s="1588">
        <f>'8D'!H99</f>
        <v>956339.14</v>
      </c>
      <c r="CT2" s="1590" t="str">
        <f ca="1">'8D'!H49</f>
        <v xml:space="preserve">0 </v>
      </c>
      <c r="CU2" s="1588">
        <f ca="1">'8D'!H60</f>
        <v>0</v>
      </c>
      <c r="CV2" s="1588">
        <f ca="1">'8D'!I60</f>
        <v>0</v>
      </c>
      <c r="CW2" s="1588">
        <f ca="1">'8D'!J60</f>
        <v>0</v>
      </c>
      <c r="CX2" s="1971" t="str">
        <f>IF(CS2=0,"No","Yes")</f>
        <v>Yes</v>
      </c>
      <c r="CY2" s="1591"/>
    </row>
    <row r="3" spans="1:103">
      <c r="A3" s="1591"/>
      <c r="B3" s="1591"/>
      <c r="C3" s="1591"/>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c r="AB3" s="1591"/>
      <c r="AC3" s="1591"/>
      <c r="AD3" s="1591"/>
      <c r="AE3" s="1591"/>
      <c r="AF3" s="1591"/>
      <c r="AG3" s="1591"/>
      <c r="AH3" s="1591"/>
      <c r="AI3" s="1591"/>
      <c r="AJ3" s="1591"/>
      <c r="AK3" s="1591"/>
      <c r="AL3" s="1591"/>
      <c r="AM3" s="1591"/>
      <c r="AN3" s="1591"/>
      <c r="AO3" s="1591"/>
      <c r="AP3" s="1591"/>
      <c r="AQ3" s="1591"/>
      <c r="AR3" s="1591"/>
      <c r="AS3" s="1591"/>
      <c r="AT3" s="1591"/>
      <c r="AU3" s="1591"/>
      <c r="AV3" s="1591"/>
      <c r="AW3" s="1591"/>
      <c r="AX3" s="1591"/>
      <c r="AY3" s="1591"/>
      <c r="AZ3" s="1591"/>
      <c r="BA3" s="1591"/>
      <c r="BB3" s="1591"/>
      <c r="BC3" s="1591"/>
      <c r="BD3" s="1591"/>
      <c r="BE3" s="1591"/>
      <c r="BF3" s="1591"/>
      <c r="BG3" s="1591"/>
      <c r="BH3" s="1591"/>
      <c r="BI3" s="1591"/>
      <c r="BJ3" s="1591"/>
      <c r="BK3" s="1591"/>
      <c r="BL3" s="1591"/>
      <c r="BM3" s="1591"/>
      <c r="BN3" s="1591"/>
      <c r="BO3" s="1591"/>
      <c r="BP3" s="1591"/>
      <c r="BQ3" s="1591"/>
      <c r="BR3" s="1591"/>
      <c r="BS3" s="1591"/>
      <c r="BT3" s="1591"/>
      <c r="BU3" s="1591"/>
      <c r="BV3" s="1591"/>
      <c r="BW3" s="1591"/>
      <c r="BX3" s="1591"/>
      <c r="BY3" s="1591"/>
      <c r="BZ3" s="1591"/>
      <c r="CA3" s="1591"/>
      <c r="CB3" s="1591"/>
      <c r="CC3" s="1591"/>
      <c r="CD3" s="1591"/>
      <c r="CE3" s="1591"/>
      <c r="CF3" s="1591"/>
      <c r="CG3" s="1591"/>
      <c r="CH3" s="1591"/>
      <c r="CI3" s="1591"/>
      <c r="CJ3" s="1591"/>
      <c r="CK3" s="1591"/>
      <c r="CL3" s="1591"/>
      <c r="CM3" s="1591"/>
      <c r="CN3" s="1591"/>
      <c r="CO3" s="1591"/>
      <c r="CP3" s="1591"/>
      <c r="CQ3" s="1591"/>
      <c r="CR3" s="1591"/>
      <c r="CS3" s="1591"/>
      <c r="CT3" s="1591"/>
      <c r="CU3" s="1591"/>
      <c r="CV3" s="1591"/>
      <c r="CW3" s="1591"/>
      <c r="CX3" s="1591"/>
      <c r="CY3" s="1591"/>
    </row>
    <row r="4" spans="1:103">
      <c r="A4" s="1971"/>
      <c r="B4" s="1971"/>
      <c r="C4" s="1971"/>
      <c r="D4" s="1971"/>
      <c r="E4" s="1971"/>
      <c r="F4" s="1971"/>
      <c r="G4" s="1971"/>
      <c r="H4" s="1971"/>
      <c r="I4" s="1971"/>
      <c r="J4" s="1971"/>
      <c r="K4" s="1971"/>
      <c r="L4" s="1971"/>
      <c r="M4" s="1971"/>
      <c r="N4" s="1971"/>
      <c r="O4" s="1971"/>
      <c r="P4" s="1971"/>
      <c r="Q4" s="1971"/>
      <c r="R4" s="1971"/>
      <c r="S4" s="1971"/>
      <c r="T4" s="1971"/>
      <c r="U4" s="1971"/>
      <c r="V4" s="1971"/>
      <c r="W4" s="1971"/>
      <c r="X4" s="1971"/>
      <c r="Y4" s="1971"/>
      <c r="Z4" s="1971"/>
      <c r="AA4" s="1971"/>
      <c r="AB4" s="1971"/>
      <c r="AC4" s="1971"/>
      <c r="AD4" s="1971"/>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1"/>
      <c r="BC4" s="1971"/>
      <c r="BD4" s="1971"/>
      <c r="BE4" s="1971"/>
      <c r="BF4" s="1971"/>
      <c r="BG4" s="1971"/>
      <c r="BH4" s="1971"/>
      <c r="BI4" s="1971"/>
      <c r="BJ4" s="1971"/>
      <c r="BK4" s="1971"/>
      <c r="BL4" s="1971"/>
      <c r="BM4" s="1971"/>
      <c r="BN4" s="1971"/>
      <c r="BO4" s="1971"/>
      <c r="BP4" s="1971"/>
      <c r="BQ4" s="1971"/>
      <c r="BR4" s="1971"/>
      <c r="BS4" s="1971"/>
      <c r="BT4" s="1971"/>
      <c r="BU4" s="1971"/>
      <c r="BV4" s="1971"/>
      <c r="BW4" s="1971"/>
      <c r="BX4" s="1971"/>
      <c r="BY4" s="1971"/>
      <c r="BZ4" s="1971"/>
      <c r="CA4" s="1971"/>
      <c r="CB4" s="1971"/>
      <c r="CC4" s="1971"/>
      <c r="CD4" s="1971"/>
      <c r="CE4" s="1971"/>
      <c r="CF4" s="1971"/>
      <c r="CG4" s="1971"/>
      <c r="CH4" s="1971"/>
      <c r="CI4" s="1971"/>
      <c r="CJ4" s="1971"/>
      <c r="CK4" s="1971"/>
      <c r="CL4" s="1971"/>
      <c r="CM4" s="1971"/>
      <c r="CN4" s="1971"/>
      <c r="CO4" s="1971"/>
      <c r="CP4" s="1971"/>
      <c r="CQ4" s="1971"/>
      <c r="CR4" s="1971"/>
      <c r="CS4" s="1971"/>
      <c r="CT4" s="1971"/>
      <c r="CU4" s="1971"/>
      <c r="CV4" s="1971"/>
      <c r="CW4" s="1971"/>
      <c r="CX4" s="1971"/>
      <c r="CY4" s="1971"/>
    </row>
    <row r="5" spans="1:103">
      <c r="A5" s="1971"/>
      <c r="B5" s="1971"/>
      <c r="C5" s="1971"/>
      <c r="D5" s="1971"/>
      <c r="E5" s="1971"/>
      <c r="F5" s="1971"/>
      <c r="G5" s="1971"/>
      <c r="H5" s="1971"/>
      <c r="I5" s="1971"/>
      <c r="J5" s="1971"/>
      <c r="K5" s="1971" t="str">
        <f>IF('1'!I39="X",'1'!H39,"")</f>
        <v/>
      </c>
      <c r="L5" s="1971"/>
      <c r="M5" s="1971" t="str">
        <f>IF('1'!K39="X",'1'!J39,"")</f>
        <v/>
      </c>
      <c r="N5" s="1971" t="str">
        <f>IF('1'!L39="X",'1'!K39,"")</f>
        <v/>
      </c>
      <c r="O5" s="1971"/>
      <c r="P5" s="1971"/>
      <c r="Q5" s="1971"/>
      <c r="R5" s="1971"/>
      <c r="S5" s="1971"/>
      <c r="T5" s="1971"/>
      <c r="U5" s="1971"/>
      <c r="V5" s="1971"/>
      <c r="W5" s="1971"/>
      <c r="X5" s="1971"/>
      <c r="Y5" s="1971"/>
      <c r="Z5" s="1971"/>
      <c r="AA5" s="1971"/>
      <c r="AB5" s="1971"/>
      <c r="AC5" s="1971"/>
      <c r="AD5" s="1971"/>
      <c r="AE5" s="1971"/>
      <c r="AF5" s="1971"/>
      <c r="AG5" s="1971"/>
      <c r="AH5" s="1971"/>
      <c r="AI5" s="1971"/>
      <c r="AJ5" s="1971"/>
      <c r="AK5" s="1971"/>
      <c r="AL5" s="1971"/>
      <c r="AM5" s="1971"/>
      <c r="AN5" s="1971"/>
      <c r="AO5" s="1971"/>
      <c r="AP5" s="1971"/>
      <c r="AQ5" s="1971"/>
      <c r="AR5" s="1971"/>
      <c r="AS5" s="1971"/>
      <c r="AT5" s="1971"/>
      <c r="AU5" s="1971"/>
      <c r="AV5" s="1971"/>
      <c r="AW5" s="1971"/>
      <c r="AX5" s="1971"/>
      <c r="AY5" s="1971"/>
      <c r="AZ5" s="1971"/>
      <c r="BA5" s="1971"/>
      <c r="BB5" s="1971"/>
      <c r="BC5" s="1971"/>
      <c r="BD5" s="1971"/>
      <c r="BE5" s="1971"/>
      <c r="BF5" s="1971"/>
      <c r="BG5" s="1971"/>
      <c r="BH5" s="1971"/>
      <c r="BI5" s="1971"/>
      <c r="BJ5" s="1971"/>
      <c r="BK5" s="1971"/>
      <c r="BL5" s="1971"/>
      <c r="BM5" s="1971"/>
      <c r="BN5" s="1971"/>
      <c r="BO5" s="1971"/>
      <c r="BP5" s="1971"/>
      <c r="BQ5" s="1971"/>
      <c r="BR5" s="1971"/>
      <c r="BS5" s="1971"/>
      <c r="BT5" s="1971"/>
      <c r="BU5" s="1971"/>
      <c r="BV5" s="1971"/>
      <c r="BW5" s="1971"/>
      <c r="BX5" s="1971"/>
      <c r="BY5" s="1971"/>
      <c r="BZ5" s="1971"/>
      <c r="CA5" s="1971"/>
      <c r="CB5" s="1971"/>
      <c r="CC5" s="1971"/>
      <c r="CD5" s="1971"/>
      <c r="CE5" s="1971"/>
      <c r="CF5" s="1971"/>
      <c r="CG5" s="1971"/>
      <c r="CH5" s="1971"/>
      <c r="CI5" s="1971"/>
      <c r="CJ5" s="1971"/>
      <c r="CK5" s="1971"/>
      <c r="CL5" s="1971"/>
      <c r="CM5" s="1971"/>
      <c r="CN5" s="1971"/>
      <c r="CO5" s="1971"/>
      <c r="CP5" s="1971"/>
      <c r="CQ5" s="1971"/>
      <c r="CR5" s="1971"/>
      <c r="CS5" s="1971"/>
      <c r="CT5" s="1971"/>
      <c r="CU5" s="1971"/>
      <c r="CV5" s="1971"/>
      <c r="CW5" s="1971"/>
      <c r="CX5" s="1971"/>
      <c r="CY5" s="1971"/>
    </row>
    <row r="6" spans="1:103">
      <c r="A6" s="1971"/>
      <c r="B6" s="1971"/>
      <c r="C6" s="1971"/>
      <c r="D6" s="1971"/>
      <c r="E6" s="1971"/>
      <c r="F6" s="1971"/>
      <c r="G6" s="1971"/>
      <c r="H6" s="1971"/>
      <c r="I6" s="1971"/>
      <c r="J6" s="1971"/>
      <c r="K6" s="1971"/>
      <c r="L6" s="1971"/>
      <c r="M6" s="1971"/>
      <c r="N6" s="1971"/>
      <c r="O6" s="1971"/>
      <c r="P6" s="1971"/>
      <c r="Q6" s="1971"/>
      <c r="R6" s="1971"/>
      <c r="S6" s="1971"/>
      <c r="T6" s="1971"/>
      <c r="U6" s="1971"/>
      <c r="V6" s="1971"/>
      <c r="W6" s="1971"/>
      <c r="X6" s="1971"/>
      <c r="Y6" s="1971"/>
      <c r="Z6" s="1971"/>
      <c r="AA6" s="1971"/>
      <c r="AB6" s="1971"/>
      <c r="AC6" s="1971"/>
      <c r="AD6" s="1971"/>
      <c r="AE6" s="1971"/>
      <c r="AF6" s="1971"/>
      <c r="AG6" s="1971"/>
      <c r="AH6" s="1971"/>
      <c r="AI6" s="1971"/>
      <c r="AJ6" s="1971"/>
      <c r="AK6" s="1971"/>
      <c r="AL6" s="1971"/>
      <c r="AM6" s="1971"/>
      <c r="AN6" s="1971"/>
      <c r="AO6" s="1971"/>
      <c r="AP6" s="1971"/>
      <c r="AQ6" s="1971"/>
      <c r="AR6" s="1971"/>
      <c r="AS6" s="1971"/>
      <c r="AT6" s="1971"/>
      <c r="AU6" s="1971"/>
      <c r="AV6" s="1971"/>
      <c r="AW6" s="1971"/>
      <c r="AX6" s="1971"/>
      <c r="AY6" s="1971"/>
      <c r="AZ6" s="1971"/>
      <c r="BA6" s="1971"/>
      <c r="BB6" s="1971"/>
      <c r="BC6" s="1971"/>
      <c r="BD6" s="1971"/>
      <c r="BE6" s="1971"/>
      <c r="BF6" s="1971"/>
      <c r="BG6" s="1971"/>
      <c r="BH6" s="1971"/>
      <c r="BI6" s="1971"/>
      <c r="BJ6" s="1971"/>
      <c r="BK6" s="1971"/>
      <c r="BL6" s="1971"/>
      <c r="BM6" s="1971"/>
      <c r="BN6" s="1971"/>
      <c r="BO6" s="1971"/>
      <c r="BP6" s="1971"/>
      <c r="BQ6" s="1971"/>
      <c r="BR6" s="1971"/>
      <c r="BS6" s="1971"/>
      <c r="BT6" s="1971"/>
      <c r="BU6" s="1971"/>
      <c r="BV6" s="1971"/>
      <c r="BW6" s="1971"/>
      <c r="BX6" s="1971"/>
      <c r="BY6" s="1971"/>
      <c r="BZ6" s="1971"/>
      <c r="CA6" s="1971"/>
      <c r="CB6" s="1971"/>
      <c r="CC6" s="1971"/>
      <c r="CD6" s="1971"/>
      <c r="CE6" s="1971"/>
      <c r="CF6" s="1971"/>
      <c r="CG6" s="1971"/>
      <c r="CH6" s="1971"/>
      <c r="CI6" s="1971"/>
      <c r="CJ6" s="1971"/>
      <c r="CK6" s="1971"/>
      <c r="CL6" s="1971"/>
      <c r="CM6" s="1971"/>
      <c r="CN6" s="1971"/>
      <c r="CO6" s="1971"/>
      <c r="CP6" s="1971"/>
      <c r="CQ6" s="1971"/>
      <c r="CR6" s="1971"/>
      <c r="CS6" s="1971"/>
      <c r="CT6" s="1971"/>
      <c r="CU6" s="1971"/>
      <c r="CV6" s="1971"/>
      <c r="CW6" s="1971"/>
      <c r="CX6" s="1971"/>
      <c r="CY6" s="1971"/>
    </row>
    <row r="7" spans="1:103">
      <c r="A7" s="1971"/>
      <c r="B7" s="1971"/>
      <c r="C7" s="1971"/>
      <c r="D7" s="1971"/>
      <c r="E7" s="1971"/>
      <c r="F7" s="1971"/>
      <c r="G7" s="1971"/>
      <c r="H7" s="1971"/>
      <c r="I7" s="1971"/>
      <c r="J7" s="1971"/>
      <c r="K7" s="1971"/>
      <c r="L7" s="1971"/>
      <c r="M7" s="1971"/>
      <c r="N7" s="1971"/>
      <c r="O7" s="1971"/>
      <c r="P7" s="1971"/>
      <c r="Q7" s="1971"/>
      <c r="R7" s="1971"/>
      <c r="S7" s="1971"/>
      <c r="T7" s="1971"/>
      <c r="U7" s="1971"/>
      <c r="V7" s="1971"/>
      <c r="W7" s="1971"/>
      <c r="X7" s="1971"/>
      <c r="Y7" s="1971"/>
      <c r="Z7" s="1971"/>
      <c r="AA7" s="1971"/>
      <c r="AB7" s="1971"/>
      <c r="AC7" s="1971"/>
      <c r="AD7" s="1971"/>
      <c r="AE7" s="1971"/>
      <c r="AF7" s="1971"/>
      <c r="AG7" s="1971"/>
      <c r="AH7" s="1971"/>
      <c r="AI7" s="1971"/>
      <c r="AJ7" s="1971"/>
      <c r="AK7" s="1971"/>
      <c r="AL7" s="1971"/>
      <c r="AM7" s="1971"/>
      <c r="AN7" s="1971"/>
      <c r="AO7" s="1971"/>
      <c r="AP7" s="1971"/>
      <c r="AQ7" s="1971"/>
      <c r="AR7" s="1971"/>
      <c r="AS7" s="1971"/>
      <c r="AT7" s="1971"/>
      <c r="AU7" s="1971"/>
      <c r="AV7" s="1971"/>
      <c r="AW7" s="1971"/>
      <c r="AX7" s="1971"/>
      <c r="AY7" s="1971"/>
      <c r="AZ7" s="1971"/>
      <c r="BA7" s="1971"/>
      <c r="BB7" s="1971"/>
      <c r="BC7" s="1971"/>
      <c r="BD7" s="1971"/>
      <c r="BE7" s="1971"/>
      <c r="BF7" s="1971"/>
      <c r="BG7" s="1971"/>
      <c r="BH7" s="1971"/>
      <c r="BI7" s="1971"/>
      <c r="BJ7" s="1971"/>
      <c r="BK7" s="1971"/>
      <c r="BL7" s="1971"/>
      <c r="BM7" s="1971"/>
      <c r="BN7" s="1971"/>
      <c r="BO7" s="1971"/>
      <c r="BP7" s="1971"/>
      <c r="BQ7" s="1971"/>
      <c r="BR7" s="1971"/>
      <c r="BS7" s="1971"/>
      <c r="BT7" s="1971"/>
      <c r="BU7" s="1971"/>
      <c r="BV7" s="1971"/>
      <c r="BW7" s="1971"/>
      <c r="BX7" s="1971"/>
      <c r="BY7" s="1971"/>
      <c r="BZ7" s="1971"/>
      <c r="CA7" s="1971"/>
      <c r="CB7" s="1971"/>
      <c r="CC7" s="1971"/>
      <c r="CD7" s="1971"/>
      <c r="CE7" s="1971"/>
      <c r="CF7" s="1971"/>
      <c r="CG7" s="1971"/>
      <c r="CH7" s="1971"/>
      <c r="CI7" s="1971"/>
      <c r="CJ7" s="1971"/>
      <c r="CK7" s="1971"/>
      <c r="CL7" s="1971"/>
      <c r="CM7" s="1971"/>
      <c r="CN7" s="1971"/>
      <c r="CO7" s="1971"/>
      <c r="CP7" s="1971"/>
      <c r="CQ7" s="1971"/>
      <c r="CR7" s="1971"/>
      <c r="CS7" s="1971"/>
      <c r="CT7" s="1971"/>
      <c r="CU7" s="1971"/>
      <c r="CV7" s="1971"/>
      <c r="CW7" s="1971"/>
      <c r="CX7" s="1971"/>
      <c r="CY7" s="1971"/>
    </row>
    <row r="8" spans="1:103">
      <c r="A8" s="1971"/>
      <c r="B8" s="1971"/>
      <c r="C8" s="1971"/>
      <c r="D8" s="1971"/>
      <c r="E8" s="1971"/>
      <c r="F8" s="1971"/>
      <c r="G8" s="1971"/>
      <c r="H8" s="1971"/>
      <c r="I8" s="1971"/>
      <c r="J8" s="1971"/>
      <c r="K8" s="1971"/>
      <c r="L8" s="1971"/>
      <c r="M8" s="1971"/>
      <c r="N8" s="1971"/>
      <c r="O8" s="1971"/>
      <c r="P8" s="1971"/>
      <c r="Q8" s="1971"/>
      <c r="R8" s="1971"/>
      <c r="S8" s="1971"/>
      <c r="T8" s="1971"/>
      <c r="U8" s="1971"/>
      <c r="V8" s="1971"/>
      <c r="W8" s="1971"/>
      <c r="X8" s="1971"/>
      <c r="Y8" s="1971"/>
      <c r="Z8" s="1971"/>
      <c r="AA8" s="1971"/>
      <c r="AB8" s="1971"/>
      <c r="AC8" s="1971"/>
      <c r="AD8" s="1971"/>
      <c r="AE8" s="1971"/>
      <c r="AF8" s="1971"/>
      <c r="AG8" s="1971"/>
      <c r="AH8" s="1971"/>
      <c r="AI8" s="1971"/>
      <c r="AJ8" s="1971"/>
      <c r="AK8" s="1971"/>
      <c r="AL8" s="1971"/>
      <c r="AM8" s="1971"/>
      <c r="AN8" s="1971"/>
      <c r="AO8" s="1971"/>
      <c r="AP8" s="1971"/>
      <c r="AQ8" s="1971"/>
      <c r="AR8" s="1971"/>
      <c r="AS8" s="1971"/>
      <c r="AT8" s="1971"/>
      <c r="AU8" s="1971"/>
      <c r="AV8" s="1971"/>
      <c r="AW8" s="1971"/>
      <c r="AX8" s="1971"/>
      <c r="AY8" s="1971"/>
      <c r="AZ8" s="1971"/>
      <c r="BA8" s="1971"/>
      <c r="BB8" s="1971"/>
      <c r="BC8" s="1971"/>
      <c r="BD8" s="1971"/>
      <c r="BE8" s="1971"/>
      <c r="BF8" s="1971"/>
      <c r="BG8" s="1971"/>
      <c r="BH8" s="1971"/>
      <c r="BI8" s="1971"/>
      <c r="BJ8" s="1971"/>
      <c r="BK8" s="1971"/>
      <c r="BL8" s="1971"/>
      <c r="BM8" s="1971"/>
      <c r="BN8" s="1971"/>
      <c r="BO8" s="1971"/>
      <c r="BP8" s="1971"/>
      <c r="BQ8" s="1971"/>
      <c r="BR8" s="1971"/>
      <c r="BS8" s="1971"/>
      <c r="BT8" s="1971"/>
      <c r="BU8" s="1971"/>
      <c r="BV8" s="1971"/>
      <c r="BW8" s="1971"/>
      <c r="BX8" s="1971"/>
      <c r="BY8" s="1971"/>
      <c r="BZ8" s="1971"/>
      <c r="CA8" s="1971"/>
      <c r="CB8" s="1971"/>
      <c r="CC8" s="1971"/>
      <c r="CD8" s="1971"/>
      <c r="CE8" s="1971"/>
      <c r="CF8" s="1971"/>
      <c r="CG8" s="1971"/>
      <c r="CH8" s="1971"/>
      <c r="CI8" s="1971"/>
      <c r="CJ8" s="1971"/>
      <c r="CK8" s="1971"/>
      <c r="CL8" s="1971"/>
      <c r="CM8" s="1971"/>
      <c r="CN8" s="1971"/>
      <c r="CO8" s="1971"/>
      <c r="CP8" s="1971"/>
      <c r="CQ8" s="1971"/>
      <c r="CR8" s="1971"/>
      <c r="CS8" s="1971"/>
      <c r="CT8" s="1971"/>
      <c r="CU8" s="1971"/>
      <c r="CV8" s="1971"/>
      <c r="CW8" s="1971"/>
      <c r="CX8" s="1971"/>
      <c r="CY8" s="1971"/>
    </row>
    <row r="9" spans="1:103">
      <c r="A9" s="1971"/>
      <c r="B9" s="1971"/>
      <c r="C9" s="1971"/>
      <c r="D9" s="1971"/>
      <c r="E9" s="1971"/>
      <c r="F9" s="1971"/>
      <c r="G9" s="1971"/>
      <c r="H9" s="1971"/>
      <c r="I9" s="1971"/>
      <c r="J9" s="1971"/>
      <c r="K9" s="1971"/>
      <c r="L9" s="1971"/>
      <c r="M9" s="1971"/>
      <c r="N9" s="1971"/>
      <c r="O9" s="1971"/>
      <c r="P9" s="1971"/>
      <c r="Q9" s="1971"/>
      <c r="R9" s="1971"/>
      <c r="S9" s="1971"/>
      <c r="T9" s="1971"/>
      <c r="U9" s="1971"/>
      <c r="V9" s="1971"/>
      <c r="W9" s="1971"/>
      <c r="X9" s="1971"/>
      <c r="Y9" s="1971"/>
      <c r="Z9" s="1971"/>
      <c r="AA9" s="1971"/>
      <c r="AB9" s="1971"/>
      <c r="AC9" s="1971"/>
      <c r="AD9" s="1971"/>
      <c r="AE9" s="1971"/>
      <c r="AF9" s="1971"/>
      <c r="AG9" s="1971"/>
      <c r="AH9" s="1971"/>
      <c r="AI9" s="1971"/>
      <c r="AJ9" s="1971"/>
      <c r="AK9" s="1971"/>
      <c r="AL9" s="1971"/>
      <c r="AM9" s="1971"/>
      <c r="AN9" s="1971"/>
      <c r="AO9" s="1971"/>
      <c r="AP9" s="1971"/>
      <c r="AQ9" s="1971"/>
      <c r="AR9" s="1971"/>
      <c r="AS9" s="1971"/>
      <c r="AT9" s="1971"/>
      <c r="AU9" s="1971"/>
      <c r="AV9" s="1971"/>
      <c r="AW9" s="1971"/>
      <c r="AX9" s="1971"/>
      <c r="AY9" s="1971"/>
      <c r="AZ9" s="1971"/>
      <c r="BA9" s="1971"/>
      <c r="BB9" s="1971"/>
      <c r="BC9" s="1971"/>
      <c r="BD9" s="1971"/>
      <c r="BE9" s="1971"/>
      <c r="BF9" s="1971"/>
      <c r="BG9" s="1971"/>
      <c r="BH9" s="1971"/>
      <c r="BI9" s="1971"/>
      <c r="BJ9" s="1971"/>
      <c r="BK9" s="1971"/>
      <c r="BL9" s="1971"/>
      <c r="BM9" s="1971"/>
      <c r="BN9" s="1971"/>
      <c r="BO9" s="1971"/>
      <c r="BP9" s="1971"/>
      <c r="BQ9" s="1971"/>
      <c r="BR9" s="1971"/>
      <c r="BS9" s="1971"/>
      <c r="BT9" s="1971"/>
      <c r="BU9" s="1971"/>
      <c r="BV9" s="1971"/>
      <c r="BW9" s="1971"/>
      <c r="BX9" s="1971"/>
      <c r="BY9" s="1971"/>
      <c r="BZ9" s="1971"/>
      <c r="CA9" s="1971"/>
      <c r="CB9" s="1971"/>
      <c r="CC9" s="1971"/>
      <c r="CD9" s="1971"/>
      <c r="CE9" s="1971"/>
      <c r="CF9" s="1971"/>
      <c r="CG9" s="1971"/>
      <c r="CH9" s="1971"/>
      <c r="CI9" s="1971"/>
      <c r="CJ9" s="1971"/>
      <c r="CK9" s="1971"/>
      <c r="CL9" s="1971"/>
      <c r="CM9" s="1971"/>
      <c r="CN9" s="1971"/>
      <c r="CO9" s="1971"/>
      <c r="CP9" s="1971"/>
      <c r="CQ9" s="1971"/>
      <c r="CR9" s="1971"/>
      <c r="CS9" s="1971"/>
      <c r="CT9" s="1971"/>
      <c r="CU9" s="1971"/>
      <c r="CV9" s="1971"/>
      <c r="CW9" s="1971"/>
      <c r="CX9" s="1971"/>
      <c r="CY9" s="1971"/>
    </row>
    <row r="10" spans="1:103">
      <c r="A10" s="1971"/>
      <c r="B10" s="1971"/>
      <c r="C10" s="1971"/>
      <c r="D10" s="1971"/>
      <c r="E10" s="1971"/>
      <c r="F10" s="1971"/>
      <c r="G10" s="1971"/>
      <c r="H10" s="1971"/>
      <c r="I10" s="1971"/>
      <c r="J10" s="1971"/>
      <c r="K10" s="1971"/>
      <c r="L10" s="1971"/>
      <c r="M10" s="1971"/>
      <c r="N10" s="1971"/>
      <c r="O10" s="1971"/>
      <c r="P10" s="1971"/>
      <c r="Q10" s="1971"/>
      <c r="R10" s="1971"/>
      <c r="S10" s="1971"/>
      <c r="T10" s="1971"/>
      <c r="U10" s="1971"/>
      <c r="V10" s="1971"/>
      <c r="W10" s="1971"/>
      <c r="X10" s="1971"/>
      <c r="Y10" s="1971"/>
      <c r="Z10" s="1971"/>
      <c r="AA10" s="1971"/>
      <c r="AB10" s="1971"/>
      <c r="AC10" s="1971"/>
      <c r="AD10" s="1971"/>
      <c r="AE10" s="1971"/>
      <c r="AF10" s="1971"/>
      <c r="AG10" s="1971"/>
      <c r="AH10" s="1971"/>
      <c r="AI10" s="1971"/>
      <c r="AJ10" s="1971"/>
      <c r="AK10" s="1971"/>
      <c r="AL10" s="1971"/>
      <c r="AM10" s="1971"/>
      <c r="AN10" s="1971"/>
      <c r="AO10" s="1971"/>
      <c r="AP10" s="1971"/>
      <c r="AQ10" s="1971"/>
      <c r="AR10" s="1971"/>
      <c r="AS10" s="1971"/>
      <c r="AT10" s="1971"/>
      <c r="AU10" s="1971"/>
      <c r="AV10" s="1971"/>
      <c r="AW10" s="1971"/>
      <c r="AX10" s="1971"/>
      <c r="AY10" s="1971"/>
      <c r="AZ10" s="1971"/>
      <c r="BA10" s="1971"/>
      <c r="BB10" s="1971"/>
      <c r="BC10" s="1971"/>
      <c r="BD10" s="1971"/>
      <c r="BE10" s="1971"/>
      <c r="BF10" s="1971"/>
      <c r="BG10" s="1971"/>
      <c r="BH10" s="1971"/>
      <c r="BI10" s="1971"/>
      <c r="BJ10" s="1971"/>
      <c r="BK10" s="1971"/>
      <c r="BL10" s="1971"/>
      <c r="BM10" s="1971"/>
      <c r="BN10" s="1971"/>
      <c r="BO10" s="1971"/>
      <c r="BP10" s="1971"/>
      <c r="BQ10" s="1971"/>
      <c r="BR10" s="1971"/>
      <c r="BS10" s="1971"/>
      <c r="BT10" s="1971"/>
      <c r="BU10" s="1971"/>
      <c r="BV10" s="1971"/>
      <c r="BW10" s="1971"/>
      <c r="BX10" s="1971"/>
      <c r="BY10" s="1971"/>
      <c r="BZ10" s="1971"/>
      <c r="CA10" s="1971"/>
      <c r="CB10" s="1971"/>
      <c r="CC10" s="1971"/>
      <c r="CD10" s="1971"/>
      <c r="CE10" s="1971"/>
      <c r="CF10" s="1971"/>
      <c r="CG10" s="1971"/>
      <c r="CH10" s="1971"/>
      <c r="CI10" s="1971"/>
      <c r="CJ10" s="1971"/>
      <c r="CK10" s="1971"/>
      <c r="CL10" s="1971"/>
      <c r="CM10" s="1971"/>
      <c r="CN10" s="1971"/>
      <c r="CO10" s="1971"/>
      <c r="CP10" s="1971"/>
      <c r="CQ10" s="1971"/>
      <c r="CR10" s="1971"/>
      <c r="CS10" s="1971"/>
      <c r="CT10" s="1971"/>
      <c r="CU10" s="1971"/>
      <c r="CV10" s="1971"/>
      <c r="CW10" s="1971"/>
      <c r="CX10" s="1971"/>
      <c r="CY10" s="1971"/>
    </row>
    <row r="11" spans="1:103">
      <c r="A11" s="1971"/>
      <c r="B11" s="1971"/>
      <c r="C11" s="1971"/>
      <c r="D11" s="1971"/>
      <c r="E11" s="1971"/>
      <c r="F11" s="1971"/>
      <c r="G11" s="1971"/>
      <c r="H11" s="1971"/>
      <c r="I11" s="1971"/>
      <c r="J11" s="1971"/>
      <c r="K11" s="1971"/>
      <c r="L11" s="1971"/>
      <c r="M11" s="1971"/>
      <c r="N11" s="1971"/>
      <c r="O11" s="1971"/>
      <c r="P11" s="1971"/>
      <c r="Q11" s="1971"/>
      <c r="R11" s="1971"/>
      <c r="S11" s="1971"/>
      <c r="T11" s="1971"/>
      <c r="U11" s="1971"/>
      <c r="V11" s="1971"/>
      <c r="W11" s="1971"/>
      <c r="X11" s="1971"/>
      <c r="Y11" s="1971"/>
      <c r="Z11" s="1971"/>
      <c r="AA11" s="1971"/>
      <c r="AB11" s="1971"/>
      <c r="AC11" s="1971"/>
      <c r="AD11" s="1971"/>
      <c r="AE11" s="1971"/>
      <c r="AF11" s="1971"/>
      <c r="AG11" s="1971"/>
      <c r="AH11" s="1971"/>
      <c r="AI11" s="1971"/>
      <c r="AJ11" s="1971"/>
      <c r="AK11" s="1971"/>
      <c r="AL11" s="1971"/>
      <c r="AM11" s="1971"/>
      <c r="AN11" s="1971"/>
      <c r="AO11" s="1971"/>
      <c r="AP11" s="1971"/>
      <c r="AQ11" s="1971"/>
      <c r="AR11" s="1971"/>
      <c r="AS11" s="1971"/>
      <c r="AT11" s="1971"/>
      <c r="AU11" s="1971"/>
      <c r="AV11" s="1971"/>
      <c r="AW11" s="1971"/>
      <c r="AX11" s="1971"/>
      <c r="AY11" s="1971"/>
      <c r="AZ11" s="1971"/>
      <c r="BA11" s="1971"/>
      <c r="BB11" s="1971"/>
      <c r="BC11" s="1971"/>
      <c r="BD11" s="1971"/>
      <c r="BE11" s="1971"/>
      <c r="BF11" s="1971"/>
      <c r="BG11" s="1971"/>
      <c r="BH11" s="1971"/>
      <c r="BI11" s="1971"/>
      <c r="BJ11" s="1971"/>
      <c r="BK11" s="1971"/>
      <c r="BL11" s="1971"/>
      <c r="BM11" s="1971"/>
      <c r="BN11" s="1971"/>
      <c r="BO11" s="1971"/>
      <c r="BP11" s="1971"/>
      <c r="BQ11" s="1971"/>
      <c r="BR11" s="1971"/>
      <c r="BS11" s="1971"/>
      <c r="BT11" s="1971"/>
      <c r="BU11" s="1971"/>
      <c r="BV11" s="1971"/>
      <c r="BW11" s="1971"/>
      <c r="BX11" s="1971"/>
      <c r="BY11" s="1971"/>
      <c r="BZ11" s="1971"/>
      <c r="CA11" s="1971"/>
      <c r="CB11" s="1971"/>
      <c r="CC11" s="1971"/>
      <c r="CD11" s="1971"/>
      <c r="CE11" s="1971"/>
      <c r="CF11" s="1971"/>
      <c r="CG11" s="1971"/>
      <c r="CH11" s="1971"/>
      <c r="CI11" s="1971"/>
      <c r="CJ11" s="1971"/>
      <c r="CK11" s="1971"/>
      <c r="CL11" s="1971"/>
      <c r="CM11" s="1971"/>
      <c r="CN11" s="1971"/>
      <c r="CO11" s="1971"/>
      <c r="CP11" s="1971"/>
      <c r="CQ11" s="1971"/>
      <c r="CR11" s="1971"/>
      <c r="CS11" s="1971"/>
      <c r="CT11" s="1971"/>
      <c r="CU11" s="1971"/>
      <c r="CV11" s="1971"/>
      <c r="CW11" s="1971"/>
      <c r="CX11" s="1971"/>
      <c r="CY11" s="1971"/>
    </row>
    <row r="12" spans="1:103">
      <c r="A12" s="1971"/>
      <c r="B12" s="1971"/>
      <c r="C12" s="1971"/>
      <c r="D12" s="1971"/>
      <c r="E12" s="1971"/>
      <c r="F12" s="1971"/>
      <c r="G12" s="1971"/>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1"/>
      <c r="AF12" s="1971"/>
      <c r="AG12" s="1971"/>
      <c r="AH12" s="1971"/>
      <c r="AI12" s="1971"/>
      <c r="AJ12" s="1971"/>
      <c r="AK12" s="1971"/>
      <c r="AL12" s="1971"/>
      <c r="AM12" s="1971"/>
      <c r="AN12" s="1971"/>
      <c r="AO12" s="1971"/>
      <c r="AP12" s="1971"/>
      <c r="AQ12" s="1971"/>
      <c r="AR12" s="1971"/>
      <c r="AS12" s="1971"/>
      <c r="AT12" s="1971"/>
      <c r="AU12" s="1971"/>
      <c r="AV12" s="1971"/>
      <c r="AW12" s="1971"/>
      <c r="AX12" s="1971"/>
      <c r="AY12" s="1971"/>
      <c r="AZ12" s="1971"/>
      <c r="BA12" s="1971"/>
      <c r="BB12" s="1971"/>
      <c r="BC12" s="1971"/>
      <c r="BD12" s="1971"/>
      <c r="BE12" s="1971"/>
      <c r="BF12" s="1971"/>
      <c r="BG12" s="1971"/>
      <c r="BH12" s="1971"/>
      <c r="BI12" s="1971"/>
      <c r="BJ12" s="1971"/>
      <c r="BK12" s="1971"/>
      <c r="BL12" s="1971"/>
      <c r="BM12" s="1971"/>
      <c r="BN12" s="1971"/>
      <c r="BO12" s="1971"/>
      <c r="BP12" s="1971"/>
      <c r="BQ12" s="1971"/>
      <c r="BR12" s="1971"/>
      <c r="BS12" s="1971"/>
      <c r="BT12" s="1971"/>
      <c r="BU12" s="1971"/>
      <c r="BV12" s="1971"/>
      <c r="BW12" s="1971"/>
      <c r="BX12" s="1971"/>
      <c r="BY12" s="1971"/>
      <c r="BZ12" s="1971"/>
      <c r="CA12" s="1971"/>
      <c r="CB12" s="1971"/>
      <c r="CC12" s="1971"/>
      <c r="CD12" s="1971"/>
      <c r="CE12" s="1971"/>
      <c r="CF12" s="1971"/>
      <c r="CG12" s="1971"/>
      <c r="CH12" s="1971"/>
      <c r="CI12" s="1971"/>
      <c r="CJ12" s="1971"/>
      <c r="CK12" s="1971"/>
      <c r="CL12" s="1971"/>
      <c r="CM12" s="1971"/>
      <c r="CN12" s="1971"/>
      <c r="CO12" s="1971"/>
      <c r="CP12" s="1971"/>
      <c r="CQ12" s="1971"/>
      <c r="CR12" s="1971"/>
      <c r="CS12" s="1971"/>
      <c r="CT12" s="1971"/>
      <c r="CU12" s="1971"/>
      <c r="CV12" s="1971"/>
      <c r="CW12" s="1971"/>
      <c r="CX12" s="1971"/>
      <c r="CY12" s="1971"/>
    </row>
    <row r="13" spans="1:103">
      <c r="A13" s="1971"/>
      <c r="B13" s="1971"/>
      <c r="C13" s="1971"/>
      <c r="D13" s="1971"/>
      <c r="E13" s="1971"/>
      <c r="F13" s="1971"/>
      <c r="G13" s="1971"/>
      <c r="H13" s="1971"/>
      <c r="I13" s="1971"/>
      <c r="J13" s="1971"/>
      <c r="K13" s="1971"/>
      <c r="L13" s="1971"/>
      <c r="M13" s="1971"/>
      <c r="N13" s="1971"/>
      <c r="O13" s="1971"/>
      <c r="P13" s="1971"/>
      <c r="Q13" s="1971"/>
      <c r="R13" s="1971"/>
      <c r="S13" s="1971"/>
      <c r="T13" s="1971"/>
      <c r="U13" s="1971"/>
      <c r="V13" s="1971"/>
      <c r="W13" s="1971"/>
      <c r="X13" s="1971"/>
      <c r="Y13" s="1971"/>
      <c r="Z13" s="1971"/>
      <c r="AA13" s="1971"/>
      <c r="AB13" s="1971"/>
      <c r="AC13" s="1971"/>
      <c r="AD13" s="1971"/>
      <c r="AE13" s="1971"/>
      <c r="AF13" s="1971"/>
      <c r="AG13" s="1971"/>
      <c r="AH13" s="1971"/>
      <c r="AI13" s="1971"/>
      <c r="AJ13" s="1971"/>
      <c r="AK13" s="1971"/>
      <c r="AL13" s="1971"/>
      <c r="AM13" s="1971"/>
      <c r="AN13" s="1971"/>
      <c r="AO13" s="1971"/>
      <c r="AP13" s="1971"/>
      <c r="AQ13" s="1971"/>
      <c r="AR13" s="1971"/>
      <c r="AS13" s="1971"/>
      <c r="AT13" s="1971"/>
      <c r="AU13" s="1971"/>
      <c r="AV13" s="1971"/>
      <c r="AW13" s="1971"/>
      <c r="AX13" s="1971"/>
      <c r="AY13" s="1971"/>
      <c r="AZ13" s="1971"/>
      <c r="BA13" s="1971"/>
      <c r="BB13" s="1971"/>
      <c r="BC13" s="1971"/>
      <c r="BD13" s="1971"/>
      <c r="BE13" s="1971"/>
      <c r="BF13" s="1971"/>
      <c r="BG13" s="1971"/>
      <c r="BH13" s="1971"/>
      <c r="BI13" s="1971"/>
      <c r="BJ13" s="1971"/>
      <c r="BK13" s="1971"/>
      <c r="BL13" s="1971"/>
      <c r="BM13" s="1971"/>
      <c r="BN13" s="1971"/>
      <c r="BO13" s="1971"/>
      <c r="BP13" s="1971"/>
      <c r="BQ13" s="1971"/>
      <c r="BR13" s="1971"/>
      <c r="BS13" s="1971"/>
      <c r="BT13" s="1971"/>
      <c r="BU13" s="1971"/>
      <c r="BV13" s="1971"/>
      <c r="BW13" s="1971"/>
      <c r="BX13" s="1971"/>
      <c r="BY13" s="1971"/>
      <c r="BZ13" s="1971"/>
      <c r="CA13" s="1971"/>
      <c r="CB13" s="1971"/>
      <c r="CC13" s="1971"/>
      <c r="CD13" s="1971"/>
      <c r="CE13" s="1971"/>
      <c r="CF13" s="1971"/>
      <c r="CG13" s="1971"/>
      <c r="CH13" s="1971"/>
      <c r="CI13" s="1971"/>
      <c r="CJ13" s="1971"/>
      <c r="CK13" s="1971"/>
      <c r="CL13" s="1971"/>
      <c r="CM13" s="1971"/>
      <c r="CN13" s="1971"/>
      <c r="CO13" s="1971"/>
      <c r="CP13" s="1971"/>
      <c r="CQ13" s="1971"/>
      <c r="CR13" s="1971"/>
      <c r="CS13" s="1971"/>
      <c r="CT13" s="1971"/>
      <c r="CU13" s="1971"/>
      <c r="CV13" s="1971"/>
      <c r="CW13" s="1971"/>
      <c r="CX13" s="1971"/>
      <c r="CY13" s="1971"/>
    </row>
    <row r="14" spans="1:103">
      <c r="A14" s="1971"/>
      <c r="B14" s="1971"/>
      <c r="C14" s="1971"/>
      <c r="D14" s="1971"/>
      <c r="E14" s="1971"/>
      <c r="F14" s="1971"/>
      <c r="G14" s="1971"/>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1"/>
      <c r="BD14" s="1971"/>
      <c r="BE14" s="1971"/>
      <c r="BF14" s="1971"/>
      <c r="BG14" s="1971"/>
      <c r="BH14" s="1971"/>
      <c r="BI14" s="1971"/>
      <c r="BJ14" s="1971"/>
      <c r="BK14" s="1971"/>
      <c r="BL14" s="1971"/>
      <c r="BM14" s="1971"/>
      <c r="BN14" s="1971"/>
      <c r="BO14" s="1971"/>
      <c r="BP14" s="1971"/>
      <c r="BQ14" s="1971"/>
      <c r="BR14" s="1971"/>
      <c r="BS14" s="1971"/>
      <c r="BT14" s="1971"/>
      <c r="BU14" s="1971"/>
      <c r="BV14" s="1971"/>
      <c r="BW14" s="1971"/>
      <c r="BX14" s="1971"/>
      <c r="BY14" s="1971"/>
      <c r="BZ14" s="1971"/>
      <c r="CA14" s="1971"/>
      <c r="CB14" s="1971"/>
      <c r="CC14" s="1971"/>
      <c r="CD14" s="1971"/>
      <c r="CE14" s="1971"/>
      <c r="CF14" s="1971"/>
      <c r="CG14" s="1971"/>
      <c r="CH14" s="1971"/>
      <c r="CI14" s="1971"/>
      <c r="CJ14" s="1971"/>
      <c r="CK14" s="1971"/>
      <c r="CL14" s="1971"/>
      <c r="CM14" s="1971"/>
      <c r="CN14" s="1971"/>
      <c r="CO14" s="1971"/>
      <c r="CP14" s="1971"/>
      <c r="CQ14" s="1971"/>
      <c r="CR14" s="1971"/>
      <c r="CS14" s="1971"/>
      <c r="CT14" s="1971"/>
      <c r="CU14" s="1971"/>
      <c r="CV14" s="1971"/>
      <c r="CW14" s="1971"/>
      <c r="CX14" s="1971"/>
      <c r="CY14" s="197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60"/>
  <sheetViews>
    <sheetView showGridLines="0" tabSelected="1" topLeftCell="A50" zoomScaleNormal="100" workbookViewId="0" xr3:uid="{44B22561-5205-5C8A-B808-2C70100D228F}">
      <selection activeCell="S73" sqref="S73"/>
    </sheetView>
  </sheetViews>
  <sheetFormatPr defaultColWidth="9.140625" defaultRowHeight="14.45"/>
  <cols>
    <col min="1" max="1" width="2.85546875" style="335" customWidth="1"/>
    <col min="2" max="3" width="1.42578125" style="335" customWidth="1"/>
    <col min="4" max="4" width="11" style="335" customWidth="1"/>
    <col min="5" max="5" width="9.140625" style="335"/>
    <col min="6" max="6" width="4" style="335" customWidth="1"/>
    <col min="7" max="7" width="13.140625" style="335" bestFit="1" customWidth="1"/>
    <col min="8" max="9" width="9.140625" style="335"/>
    <col min="10" max="10" width="4" style="335" customWidth="1"/>
    <col min="11" max="12" width="9.140625" style="335"/>
    <col min="13" max="13" width="4" style="335" bestFit="1" customWidth="1"/>
    <col min="14" max="14" width="6" style="335" customWidth="1"/>
    <col min="15" max="15" width="9.140625" style="335"/>
    <col min="16" max="17" width="1.42578125" style="335" customWidth="1"/>
    <col min="18" max="16384" width="9.140625" style="335"/>
  </cols>
  <sheetData>
    <row r="1" spans="2:17" ht="15" thickBot="1"/>
    <row r="2" spans="2:17" ht="7.5" customHeight="1">
      <c r="B2" s="305"/>
      <c r="C2" s="306"/>
      <c r="D2" s="306"/>
      <c r="E2" s="306"/>
      <c r="F2" s="306"/>
      <c r="G2" s="306"/>
      <c r="H2" s="306"/>
      <c r="I2" s="306"/>
      <c r="J2" s="306"/>
      <c r="K2" s="306"/>
      <c r="L2" s="306"/>
      <c r="M2" s="306"/>
      <c r="N2" s="306"/>
      <c r="O2" s="306"/>
      <c r="P2" s="306"/>
      <c r="Q2" s="337"/>
    </row>
    <row r="3" spans="2:17" ht="18.600000000000001">
      <c r="B3" s="307"/>
      <c r="C3" s="2057" t="s">
        <v>637</v>
      </c>
      <c r="D3" s="2057"/>
      <c r="E3" s="2057"/>
      <c r="F3" s="2057"/>
      <c r="G3" s="2057"/>
      <c r="H3" s="2057"/>
      <c r="I3" s="2057"/>
      <c r="J3" s="2057"/>
      <c r="K3" s="2057"/>
      <c r="L3" s="2057"/>
      <c r="M3" s="2057"/>
      <c r="N3" s="2057"/>
      <c r="O3" s="2057"/>
      <c r="P3" s="2057"/>
      <c r="Q3" s="338"/>
    </row>
    <row r="4" spans="2:17">
      <c r="B4" s="307"/>
      <c r="C4" s="108"/>
      <c r="D4" s="108"/>
      <c r="E4" s="108"/>
      <c r="F4" s="108"/>
      <c r="G4" s="108"/>
      <c r="H4" s="108"/>
      <c r="I4" s="108"/>
      <c r="J4" s="108"/>
      <c r="K4" s="108"/>
      <c r="L4" s="108"/>
      <c r="M4" s="108"/>
      <c r="N4" s="108"/>
      <c r="O4" s="108"/>
      <c r="P4" s="108"/>
      <c r="Q4" s="338"/>
    </row>
    <row r="5" spans="2:17" ht="18.600000000000001">
      <c r="B5" s="307"/>
      <c r="C5" s="131" t="s">
        <v>638</v>
      </c>
      <c r="D5" s="17"/>
      <c r="E5" s="362"/>
      <c r="F5" s="362"/>
      <c r="G5" s="1999" t="s">
        <v>639</v>
      </c>
      <c r="H5" s="1999"/>
      <c r="I5" s="1999"/>
      <c r="J5" s="1999"/>
      <c r="K5" s="1999"/>
      <c r="L5" s="1999"/>
      <c r="M5" s="1999"/>
      <c r="N5" s="1999"/>
      <c r="O5" s="1999"/>
      <c r="P5" s="108"/>
      <c r="Q5" s="338"/>
    </row>
    <row r="6" spans="2:17" ht="3.75" customHeight="1">
      <c r="B6" s="307"/>
      <c r="C6" s="112"/>
      <c r="D6" s="362"/>
      <c r="E6" s="362"/>
      <c r="F6" s="362"/>
      <c r="G6" s="308"/>
      <c r="H6" s="308"/>
      <c r="I6" s="308"/>
      <c r="J6" s="308"/>
      <c r="K6" s="308"/>
      <c r="L6" s="308"/>
      <c r="M6" s="308"/>
      <c r="N6" s="308"/>
      <c r="O6" s="308"/>
      <c r="P6" s="108"/>
      <c r="Q6" s="338"/>
    </row>
    <row r="7" spans="2:17">
      <c r="B7" s="307"/>
      <c r="C7" s="309" t="s">
        <v>640</v>
      </c>
      <c r="D7" s="362"/>
      <c r="E7" s="362"/>
      <c r="F7" s="362"/>
      <c r="G7" s="308"/>
      <c r="H7" s="308"/>
      <c r="I7" s="308"/>
      <c r="J7" s="308"/>
      <c r="K7" s="308"/>
      <c r="L7" s="308"/>
      <c r="M7" s="308"/>
      <c r="N7" s="308"/>
      <c r="O7" s="308"/>
      <c r="P7" s="108"/>
      <c r="Q7" s="338"/>
    </row>
    <row r="8" spans="2:17">
      <c r="B8" s="307"/>
      <c r="C8" s="310" t="s">
        <v>641</v>
      </c>
      <c r="D8" s="362"/>
      <c r="E8" s="362"/>
      <c r="F8" s="362"/>
      <c r="G8" s="2000" t="s">
        <v>642</v>
      </c>
      <c r="H8" s="2000"/>
      <c r="I8" s="2000"/>
      <c r="J8" s="2000"/>
      <c r="K8" s="2000"/>
      <c r="L8" s="2000"/>
      <c r="M8" s="2000"/>
      <c r="N8" s="2000"/>
      <c r="O8" s="2000"/>
      <c r="P8" s="108"/>
      <c r="Q8" s="338"/>
    </row>
    <row r="9" spans="2:17" ht="3.75" customHeight="1">
      <c r="B9" s="307"/>
      <c r="C9" s="310"/>
      <c r="D9" s="362"/>
      <c r="E9" s="362"/>
      <c r="F9" s="362"/>
      <c r="G9" s="308"/>
      <c r="H9" s="308"/>
      <c r="I9" s="308"/>
      <c r="J9" s="308"/>
      <c r="K9" s="308"/>
      <c r="L9" s="308"/>
      <c r="M9" s="308"/>
      <c r="N9" s="308"/>
      <c r="O9" s="308"/>
      <c r="P9" s="108"/>
      <c r="Q9" s="338"/>
    </row>
    <row r="10" spans="2:17">
      <c r="B10" s="307"/>
      <c r="C10" s="310" t="s">
        <v>643</v>
      </c>
      <c r="D10" s="362"/>
      <c r="E10" s="362"/>
      <c r="F10" s="362"/>
      <c r="G10" s="1995" t="s">
        <v>644</v>
      </c>
      <c r="H10" s="1995"/>
      <c r="I10" s="1995"/>
      <c r="J10" s="1995"/>
      <c r="K10" s="1995"/>
      <c r="L10" s="1995"/>
      <c r="M10" s="1995"/>
      <c r="N10" s="1995"/>
      <c r="O10" s="1995"/>
      <c r="P10" s="108"/>
      <c r="Q10" s="338"/>
    </row>
    <row r="11" spans="2:17" ht="3.75" customHeight="1">
      <c r="B11" s="307"/>
      <c r="C11" s="311"/>
      <c r="D11" s="362"/>
      <c r="E11" s="362"/>
      <c r="F11" s="362"/>
      <c r="G11" s="308"/>
      <c r="H11" s="308"/>
      <c r="I11" s="308"/>
      <c r="J11" s="308"/>
      <c r="K11" s="308"/>
      <c r="L11" s="308"/>
      <c r="M11" s="308"/>
      <c r="N11" s="308"/>
      <c r="O11" s="308"/>
      <c r="P11" s="108"/>
      <c r="Q11" s="338"/>
    </row>
    <row r="12" spans="2:17">
      <c r="B12" s="307"/>
      <c r="C12" s="310" t="s">
        <v>645</v>
      </c>
      <c r="D12" s="362"/>
      <c r="E12" s="362"/>
      <c r="F12" s="362"/>
      <c r="G12" s="1995" t="s">
        <v>646</v>
      </c>
      <c r="H12" s="1995"/>
      <c r="I12" s="312" t="s">
        <v>647</v>
      </c>
      <c r="J12" s="2216" t="s">
        <v>648</v>
      </c>
      <c r="K12" s="2216"/>
      <c r="L12" s="2216"/>
      <c r="M12" s="2216"/>
      <c r="N12" s="2216"/>
      <c r="O12" s="2216"/>
      <c r="P12" s="108"/>
      <c r="Q12" s="338"/>
    </row>
    <row r="13" spans="2:17" ht="3.75" customHeight="1">
      <c r="B13" s="307"/>
      <c r="C13" s="310"/>
      <c r="D13" s="362"/>
      <c r="E13" s="362"/>
      <c r="F13" s="362"/>
      <c r="G13" s="308"/>
      <c r="H13" s="308"/>
      <c r="I13" s="308"/>
      <c r="J13" s="308"/>
      <c r="K13" s="308"/>
      <c r="L13" s="308"/>
      <c r="M13" s="308"/>
      <c r="N13" s="308"/>
      <c r="O13" s="308"/>
      <c r="P13" s="108"/>
      <c r="Q13" s="338"/>
    </row>
    <row r="14" spans="2:17">
      <c r="B14" s="307"/>
      <c r="C14" s="309" t="s">
        <v>649</v>
      </c>
      <c r="D14" s="362"/>
      <c r="E14" s="362"/>
      <c r="F14" s="362"/>
      <c r="G14" s="308"/>
      <c r="H14" s="308"/>
      <c r="I14" s="308"/>
      <c r="J14" s="308"/>
      <c r="K14" s="308"/>
      <c r="L14" s="308"/>
      <c r="M14" s="308"/>
      <c r="N14" s="308"/>
      <c r="O14" s="308"/>
      <c r="P14" s="108"/>
      <c r="Q14" s="338"/>
    </row>
    <row r="15" spans="2:17">
      <c r="B15" s="307"/>
      <c r="C15" s="310" t="s">
        <v>650</v>
      </c>
      <c r="D15" s="362"/>
      <c r="E15" s="362"/>
      <c r="F15" s="362"/>
      <c r="G15" s="2000" t="s">
        <v>651</v>
      </c>
      <c r="H15" s="2000"/>
      <c r="I15" s="2000"/>
      <c r="J15" s="2000"/>
      <c r="K15" s="2000"/>
      <c r="L15" s="2000"/>
      <c r="M15" s="2000"/>
      <c r="N15" s="2000"/>
      <c r="O15" s="2000"/>
      <c r="P15" s="108"/>
      <c r="Q15" s="338"/>
    </row>
    <row r="16" spans="2:17" ht="3.75" customHeight="1">
      <c r="B16" s="307"/>
      <c r="C16" s="310"/>
      <c r="D16" s="362"/>
      <c r="E16" s="362"/>
      <c r="F16" s="362"/>
      <c r="G16" s="314"/>
      <c r="H16" s="314"/>
      <c r="I16" s="308"/>
      <c r="J16" s="314"/>
      <c r="K16" s="308"/>
      <c r="L16" s="308"/>
      <c r="M16" s="308"/>
      <c r="N16" s="308"/>
      <c r="O16" s="308"/>
      <c r="P16" s="108"/>
      <c r="Q16" s="338"/>
    </row>
    <row r="17" spans="2:17">
      <c r="B17" s="307"/>
      <c r="C17" s="310" t="s">
        <v>652</v>
      </c>
      <c r="D17" s="362"/>
      <c r="E17" s="362"/>
      <c r="F17" s="362"/>
      <c r="G17" s="1995" t="s">
        <v>653</v>
      </c>
      <c r="H17" s="1995"/>
      <c r="I17" s="1995"/>
      <c r="J17" s="1995"/>
      <c r="K17" s="1995"/>
      <c r="L17" s="1995"/>
      <c r="M17" s="1995"/>
      <c r="N17" s="1995"/>
      <c r="O17" s="1995"/>
      <c r="P17" s="108"/>
      <c r="Q17" s="338"/>
    </row>
    <row r="18" spans="2:17" ht="3.75" customHeight="1">
      <c r="B18" s="307"/>
      <c r="C18" s="311"/>
      <c r="D18" s="362"/>
      <c r="E18" s="362"/>
      <c r="F18" s="362"/>
      <c r="G18" s="314"/>
      <c r="H18" s="314"/>
      <c r="I18" s="308"/>
      <c r="J18" s="314"/>
      <c r="K18" s="308"/>
      <c r="L18" s="308"/>
      <c r="M18" s="308"/>
      <c r="N18" s="308"/>
      <c r="O18" s="308"/>
      <c r="P18" s="108"/>
      <c r="Q18" s="338"/>
    </row>
    <row r="19" spans="2:17">
      <c r="B19" s="307"/>
      <c r="C19" s="310" t="s">
        <v>645</v>
      </c>
      <c r="D19" s="362"/>
      <c r="E19" s="362"/>
      <c r="F19" s="362"/>
      <c r="G19" s="1995" t="s">
        <v>654</v>
      </c>
      <c r="H19" s="1995"/>
      <c r="I19" s="312" t="s">
        <v>647</v>
      </c>
      <c r="J19" s="2216" t="s">
        <v>655</v>
      </c>
      <c r="K19" s="2216"/>
      <c r="L19" s="2216"/>
      <c r="M19" s="2216"/>
      <c r="N19" s="2216"/>
      <c r="O19" s="2216"/>
      <c r="P19" s="108"/>
      <c r="Q19" s="338"/>
    </row>
    <row r="20" spans="2:17" ht="3.75" customHeight="1">
      <c r="B20" s="307"/>
      <c r="C20" s="310"/>
      <c r="D20" s="362"/>
      <c r="E20" s="362"/>
      <c r="F20" s="362"/>
      <c r="G20" s="308"/>
      <c r="H20" s="308"/>
      <c r="I20" s="308"/>
      <c r="J20" s="308"/>
      <c r="K20" s="308"/>
      <c r="L20" s="308"/>
      <c r="M20" s="308"/>
      <c r="N20" s="308"/>
      <c r="O20" s="308"/>
      <c r="P20" s="108"/>
      <c r="Q20" s="338"/>
    </row>
    <row r="21" spans="2:17">
      <c r="B21" s="307"/>
      <c r="C21" s="108"/>
      <c r="D21" s="362" t="s">
        <v>656</v>
      </c>
      <c r="E21" s="362"/>
      <c r="F21" s="362"/>
      <c r="G21" s="362"/>
      <c r="H21" s="362"/>
      <c r="I21" s="362"/>
      <c r="J21" s="362"/>
      <c r="K21" s="362"/>
      <c r="L21" s="2355" t="s">
        <v>23</v>
      </c>
      <c r="M21" s="1973"/>
      <c r="N21" s="362"/>
      <c r="O21" s="362"/>
      <c r="P21" s="108"/>
      <c r="Q21" s="338"/>
    </row>
    <row r="22" spans="2:17" ht="7.5" customHeight="1">
      <c r="B22" s="307"/>
      <c r="C22" s="108"/>
      <c r="D22" s="362"/>
      <c r="E22" s="362"/>
      <c r="F22" s="362"/>
      <c r="G22" s="362"/>
      <c r="H22" s="362"/>
      <c r="I22" s="362"/>
      <c r="J22" s="362"/>
      <c r="K22" s="362"/>
      <c r="L22" s="316"/>
      <c r="M22" s="362"/>
      <c r="N22" s="316"/>
      <c r="O22" s="362"/>
      <c r="P22" s="108"/>
      <c r="Q22" s="338"/>
    </row>
    <row r="23" spans="2:17">
      <c r="B23" s="307"/>
      <c r="C23" s="131" t="s">
        <v>657</v>
      </c>
      <c r="D23" s="362"/>
      <c r="E23" s="362"/>
      <c r="F23" s="362"/>
      <c r="G23" s="1995" t="s">
        <v>658</v>
      </c>
      <c r="H23" s="1995"/>
      <c r="I23" s="1995"/>
      <c r="J23" s="1995"/>
      <c r="K23" s="1995"/>
      <c r="L23" s="1995"/>
      <c r="M23" s="1995"/>
      <c r="N23" s="1995"/>
      <c r="O23" s="1995"/>
      <c r="P23" s="108"/>
      <c r="Q23" s="338"/>
    </row>
    <row r="24" spans="2:17">
      <c r="B24" s="307"/>
      <c r="C24" s="108"/>
      <c r="D24" s="362"/>
      <c r="E24" s="362"/>
      <c r="F24" s="362"/>
      <c r="G24" s="314"/>
      <c r="H24" s="314"/>
      <c r="I24" s="314"/>
      <c r="J24" s="314"/>
      <c r="K24" s="314"/>
      <c r="L24" s="314"/>
      <c r="M24" s="314"/>
      <c r="N24" s="314"/>
      <c r="O24" s="314"/>
      <c r="P24" s="108"/>
      <c r="Q24" s="338"/>
    </row>
    <row r="25" spans="2:17" ht="15" thickBot="1">
      <c r="B25" s="307"/>
      <c r="C25" s="317" t="s">
        <v>659</v>
      </c>
      <c r="D25" s="318"/>
      <c r="E25" s="318"/>
      <c r="F25" s="318"/>
      <c r="G25" s="318"/>
      <c r="H25" s="318"/>
      <c r="I25" s="318"/>
      <c r="J25" s="318"/>
      <c r="K25" s="318"/>
      <c r="L25" s="318"/>
      <c r="M25" s="318"/>
      <c r="N25" s="318"/>
      <c r="O25" s="318"/>
      <c r="P25" s="108"/>
      <c r="Q25" s="338"/>
    </row>
    <row r="26" spans="2:17" ht="3.75" customHeight="1">
      <c r="B26" s="307"/>
      <c r="C26" s="319"/>
      <c r="D26" s="320"/>
      <c r="E26" s="362"/>
      <c r="F26" s="362"/>
      <c r="G26" s="308"/>
      <c r="H26" s="308"/>
      <c r="I26" s="308"/>
      <c r="J26" s="308"/>
      <c r="K26" s="308"/>
      <c r="L26" s="308"/>
      <c r="M26" s="308"/>
      <c r="N26" s="308"/>
      <c r="O26" s="308"/>
      <c r="P26" s="108"/>
      <c r="Q26" s="338"/>
    </row>
    <row r="27" spans="2:17">
      <c r="B27" s="307"/>
      <c r="C27" s="319"/>
      <c r="D27" s="1982" t="s">
        <v>660</v>
      </c>
      <c r="E27" s="1982"/>
      <c r="F27" s="362"/>
      <c r="G27" s="1995" t="s">
        <v>661</v>
      </c>
      <c r="H27" s="1995"/>
      <c r="I27" s="1995"/>
      <c r="J27" s="1995"/>
      <c r="K27" s="1995"/>
      <c r="L27" s="1995"/>
      <c r="M27" s="1995"/>
      <c r="N27" s="1995"/>
      <c r="O27" s="1995"/>
      <c r="P27" s="108"/>
      <c r="Q27" s="338"/>
    </row>
    <row r="28" spans="2:17" ht="3.75" customHeight="1">
      <c r="B28" s="307"/>
      <c r="C28" s="310"/>
      <c r="D28" s="1945"/>
      <c r="E28" s="362"/>
      <c r="F28" s="362"/>
      <c r="G28" s="314"/>
      <c r="H28" s="314"/>
      <c r="I28" s="314"/>
      <c r="J28" s="314"/>
      <c r="K28" s="314"/>
      <c r="L28" s="314"/>
      <c r="M28" s="314"/>
      <c r="N28" s="314"/>
      <c r="O28" s="314"/>
      <c r="P28" s="108"/>
      <c r="Q28" s="338"/>
    </row>
    <row r="29" spans="2:17">
      <c r="B29" s="307"/>
      <c r="C29" s="310"/>
      <c r="D29" s="1945" t="s">
        <v>662</v>
      </c>
      <c r="E29" s="362"/>
      <c r="F29" s="362"/>
      <c r="G29" s="2216" t="s">
        <v>663</v>
      </c>
      <c r="H29" s="2216"/>
      <c r="I29" s="312" t="s">
        <v>664</v>
      </c>
      <c r="J29" s="1995" t="s">
        <v>665</v>
      </c>
      <c r="K29" s="1995"/>
      <c r="L29" s="312" t="s">
        <v>666</v>
      </c>
      <c r="M29" s="1995">
        <v>98144</v>
      </c>
      <c r="N29" s="1995"/>
      <c r="O29" s="1995"/>
      <c r="P29" s="108"/>
      <c r="Q29" s="338"/>
    </row>
    <row r="30" spans="2:17" ht="3.75" customHeight="1">
      <c r="B30" s="307"/>
      <c r="C30" s="319"/>
      <c r="D30" s="1945"/>
      <c r="E30" s="362"/>
      <c r="F30" s="362"/>
      <c r="G30" s="308"/>
      <c r="H30" s="308"/>
      <c r="I30" s="308"/>
      <c r="J30" s="308"/>
      <c r="K30" s="308"/>
      <c r="L30" s="308"/>
      <c r="M30" s="308"/>
      <c r="N30" s="308"/>
      <c r="O30" s="308"/>
      <c r="P30" s="108"/>
      <c r="Q30" s="338"/>
    </row>
    <row r="31" spans="2:17">
      <c r="B31" s="307"/>
      <c r="C31" s="319"/>
      <c r="D31" s="1945" t="s">
        <v>667</v>
      </c>
      <c r="E31" s="362"/>
      <c r="F31" s="362"/>
      <c r="G31" s="1995">
        <v>37</v>
      </c>
      <c r="H31" s="1995"/>
      <c r="I31" s="362"/>
      <c r="J31" s="362"/>
      <c r="K31" s="312" t="s">
        <v>668</v>
      </c>
      <c r="L31" s="1995">
        <v>7</v>
      </c>
      <c r="M31" s="1995"/>
      <c r="N31" s="1995"/>
      <c r="O31" s="1995"/>
      <c r="P31" s="108"/>
      <c r="Q31" s="338"/>
    </row>
    <row r="32" spans="2:17" ht="3.75" customHeight="1">
      <c r="B32" s="307"/>
      <c r="C32" s="319"/>
      <c r="D32" s="1945"/>
      <c r="E32" s="362"/>
      <c r="F32" s="362"/>
      <c r="G32" s="308"/>
      <c r="H32" s="308"/>
      <c r="I32" s="308"/>
      <c r="J32" s="308"/>
      <c r="K32" s="308"/>
      <c r="L32" s="308"/>
      <c r="M32" s="308"/>
      <c r="N32" s="308"/>
      <c r="O32" s="308"/>
      <c r="P32" s="108"/>
      <c r="Q32" s="338"/>
    </row>
    <row r="33" spans="2:17">
      <c r="B33" s="307"/>
      <c r="C33" s="319"/>
      <c r="D33" s="1945" t="s">
        <v>669</v>
      </c>
      <c r="E33" s="362"/>
      <c r="F33" s="362"/>
      <c r="G33" s="1943">
        <v>53033009499</v>
      </c>
      <c r="H33" s="312" t="s">
        <v>670</v>
      </c>
      <c r="I33" s="1944">
        <v>47.585917999999999</v>
      </c>
      <c r="J33" s="362"/>
      <c r="K33" s="312" t="s">
        <v>671</v>
      </c>
      <c r="L33" s="1996">
        <v>-122.304547</v>
      </c>
      <c r="M33" s="1995"/>
      <c r="N33" s="1995"/>
      <c r="O33" s="1995"/>
      <c r="P33" s="108"/>
      <c r="Q33" s="338"/>
    </row>
    <row r="34" spans="2:17" ht="3.75" customHeight="1">
      <c r="B34" s="307"/>
      <c r="C34" s="273"/>
      <c r="D34" s="1945"/>
      <c r="E34" s="362"/>
      <c r="F34" s="362"/>
      <c r="G34" s="308"/>
      <c r="H34" s="308"/>
      <c r="I34" s="308"/>
      <c r="J34" s="308"/>
      <c r="K34" s="308"/>
      <c r="L34" s="308"/>
      <c r="M34" s="308"/>
      <c r="N34" s="308"/>
      <c r="O34" s="308"/>
      <c r="P34" s="108"/>
      <c r="Q34" s="338"/>
    </row>
    <row r="35" spans="2:17">
      <c r="B35" s="307"/>
      <c r="C35" s="319"/>
      <c r="D35" s="1945" t="s">
        <v>672</v>
      </c>
      <c r="E35" s="362"/>
      <c r="F35" s="362"/>
      <c r="G35" s="1997">
        <v>149830234501</v>
      </c>
      <c r="H35" s="1997"/>
      <c r="I35" s="1997"/>
      <c r="J35" s="1997"/>
      <c r="K35" s="1997"/>
      <c r="L35" s="1997"/>
      <c r="M35" s="1997"/>
      <c r="N35" s="1997"/>
      <c r="O35" s="1997"/>
      <c r="P35" s="108"/>
      <c r="Q35" s="338"/>
    </row>
    <row r="36" spans="2:17" ht="7.5" customHeight="1">
      <c r="B36" s="307"/>
      <c r="C36" s="273"/>
      <c r="D36" s="362"/>
      <c r="E36" s="362"/>
      <c r="F36" s="362"/>
      <c r="G36" s="308"/>
      <c r="H36" s="308"/>
      <c r="I36" s="308"/>
      <c r="J36" s="308"/>
      <c r="K36" s="308"/>
      <c r="L36" s="308"/>
      <c r="M36" s="308"/>
      <c r="N36" s="308"/>
      <c r="O36" s="308"/>
      <c r="P36" s="108"/>
      <c r="Q36" s="338"/>
    </row>
    <row r="37" spans="2:17" ht="15" thickBot="1">
      <c r="B37" s="307"/>
      <c r="C37" s="317" t="s">
        <v>673</v>
      </c>
      <c r="D37" s="318"/>
      <c r="E37" s="318"/>
      <c r="F37" s="318"/>
      <c r="G37" s="318"/>
      <c r="H37" s="318"/>
      <c r="I37" s="318"/>
      <c r="J37" s="318"/>
      <c r="K37" s="318"/>
      <c r="L37" s="318"/>
      <c r="M37" s="318"/>
      <c r="N37" s="318"/>
      <c r="O37" s="318"/>
      <c r="P37" s="108"/>
      <c r="Q37" s="338"/>
    </row>
    <row r="38" spans="2:17" ht="3.75" customHeight="1">
      <c r="B38" s="307"/>
      <c r="C38" s="108"/>
      <c r="D38" s="362"/>
      <c r="E38" s="1945"/>
      <c r="F38" s="1945"/>
      <c r="G38" s="1945"/>
      <c r="H38" s="1945"/>
      <c r="I38" s="1945"/>
      <c r="J38" s="1945"/>
      <c r="K38" s="1945"/>
      <c r="L38" s="362"/>
      <c r="M38" s="362"/>
      <c r="N38" s="362"/>
      <c r="O38" s="362"/>
      <c r="P38" s="108"/>
      <c r="Q38" s="338"/>
    </row>
    <row r="39" spans="2:17">
      <c r="B39" s="307"/>
      <c r="C39" s="108"/>
      <c r="D39" s="362"/>
      <c r="E39" s="1946" t="s">
        <v>89</v>
      </c>
      <c r="F39" s="2356" t="s">
        <v>76</v>
      </c>
      <c r="G39" s="1993" t="s">
        <v>674</v>
      </c>
      <c r="H39" s="1983"/>
      <c r="I39" s="1994"/>
      <c r="J39" s="2356"/>
      <c r="K39" s="316"/>
      <c r="L39" s="1946" t="s">
        <v>675</v>
      </c>
      <c r="M39" s="2356"/>
      <c r="N39" s="321"/>
      <c r="O39" s="362"/>
      <c r="P39" s="108"/>
      <c r="Q39" s="338"/>
    </row>
    <row r="40" spans="2:17" ht="3.75" customHeight="1">
      <c r="B40" s="307"/>
      <c r="C40" s="108"/>
      <c r="D40" s="362"/>
      <c r="E40" s="1946"/>
      <c r="F40" s="322"/>
      <c r="G40" s="1983"/>
      <c r="H40" s="1983"/>
      <c r="I40" s="1983"/>
      <c r="J40" s="2357"/>
      <c r="K40" s="322"/>
      <c r="L40" s="1945"/>
      <c r="M40" s="1945"/>
      <c r="N40" s="321"/>
      <c r="O40" s="362"/>
      <c r="P40" s="108"/>
      <c r="Q40" s="338"/>
    </row>
    <row r="41" spans="2:17">
      <c r="B41" s="307"/>
      <c r="C41" s="108"/>
      <c r="D41" s="362"/>
      <c r="E41" s="1946" t="s">
        <v>88</v>
      </c>
      <c r="F41" s="2356"/>
      <c r="G41" s="1993" t="s">
        <v>676</v>
      </c>
      <c r="H41" s="1983"/>
      <c r="I41" s="1994"/>
      <c r="J41" s="2356"/>
      <c r="K41" s="323"/>
      <c r="L41" s="1946" t="s">
        <v>677</v>
      </c>
      <c r="M41" s="2356"/>
      <c r="N41" s="321"/>
      <c r="O41" s="362"/>
      <c r="P41" s="108"/>
      <c r="Q41" s="338"/>
    </row>
    <row r="42" spans="2:17" ht="3.75" customHeight="1">
      <c r="B42" s="307"/>
      <c r="C42" s="108"/>
      <c r="D42" s="362"/>
      <c r="E42" s="1946"/>
      <c r="F42" s="322"/>
      <c r="G42" s="1983"/>
      <c r="H42" s="1983"/>
      <c r="I42" s="1983"/>
      <c r="J42" s="2357"/>
      <c r="K42" s="322"/>
      <c r="L42" s="362"/>
      <c r="M42" s="362"/>
      <c r="N42" s="362"/>
      <c r="O42" s="362"/>
      <c r="P42" s="108"/>
      <c r="Q42" s="338"/>
    </row>
    <row r="43" spans="2:17">
      <c r="B43" s="307"/>
      <c r="C43" s="108"/>
      <c r="D43" s="362"/>
      <c r="E43" s="1946" t="s">
        <v>87</v>
      </c>
      <c r="F43" s="2356" t="s">
        <v>76</v>
      </c>
      <c r="G43" s="1993" t="s">
        <v>678</v>
      </c>
      <c r="H43" s="1983"/>
      <c r="I43" s="1994"/>
      <c r="J43" s="2356"/>
      <c r="K43" s="316"/>
      <c r="L43" s="322"/>
      <c r="M43" s="322"/>
      <c r="N43" s="362"/>
      <c r="O43" s="362"/>
      <c r="P43" s="108"/>
      <c r="Q43" s="338"/>
    </row>
    <row r="44" spans="2:17" ht="3.75" customHeight="1">
      <c r="B44" s="307"/>
      <c r="C44" s="108"/>
      <c r="D44" s="362"/>
      <c r="E44" s="322"/>
      <c r="F44" s="322"/>
      <c r="G44" s="322"/>
      <c r="H44" s="322"/>
      <c r="I44" s="322"/>
      <c r="J44" s="322"/>
      <c r="K44" s="322"/>
      <c r="L44" s="362"/>
      <c r="M44" s="362"/>
      <c r="N44" s="362"/>
      <c r="O44" s="362"/>
      <c r="P44" s="108"/>
      <c r="Q44" s="338"/>
    </row>
    <row r="45" spans="2:17">
      <c r="B45" s="307"/>
      <c r="C45" s="108"/>
      <c r="D45" s="362"/>
      <c r="E45" s="1947" t="s">
        <v>679</v>
      </c>
      <c r="F45" s="2356"/>
      <c r="G45" s="1993" t="s">
        <v>680</v>
      </c>
      <c r="H45" s="1983"/>
      <c r="I45" s="1994"/>
      <c r="J45" s="2356"/>
      <c r="K45" s="324"/>
      <c r="L45" s="362"/>
      <c r="M45" s="362"/>
      <c r="N45" s="362"/>
      <c r="O45" s="362"/>
      <c r="P45" s="108"/>
      <c r="Q45" s="338"/>
    </row>
    <row r="46" spans="2:17" ht="3.75" customHeight="1">
      <c r="B46" s="307"/>
      <c r="C46" s="108"/>
      <c r="D46" s="362"/>
      <c r="E46" s="1946"/>
      <c r="F46" s="316"/>
      <c r="G46" s="1946"/>
      <c r="H46" s="1946"/>
      <c r="I46" s="1946"/>
      <c r="J46" s="324"/>
      <c r="K46" s="324"/>
      <c r="L46" s="362"/>
      <c r="M46" s="362"/>
      <c r="N46" s="362"/>
      <c r="O46" s="362"/>
      <c r="P46" s="108"/>
      <c r="Q46" s="338"/>
    </row>
    <row r="47" spans="2:17">
      <c r="B47" s="307"/>
      <c r="C47" s="108"/>
      <c r="D47" s="362" t="s">
        <v>681</v>
      </c>
      <c r="E47" s="362"/>
      <c r="F47" s="362"/>
      <c r="G47" s="322"/>
      <c r="H47" s="362"/>
      <c r="I47" s="325"/>
      <c r="J47" s="324"/>
      <c r="K47" s="324"/>
      <c r="L47" s="362"/>
      <c r="M47" s="362"/>
      <c r="N47" s="362"/>
      <c r="O47" s="362"/>
      <c r="P47" s="108"/>
      <c r="Q47" s="338"/>
    </row>
    <row r="48" spans="2:17" ht="3.75" customHeight="1">
      <c r="B48" s="307"/>
      <c r="C48" s="108"/>
      <c r="D48" s="362"/>
      <c r="E48" s="1945"/>
      <c r="F48" s="322"/>
      <c r="G48" s="322"/>
      <c r="H48" s="362"/>
      <c r="I48" s="325"/>
      <c r="J48" s="324"/>
      <c r="K48" s="324"/>
      <c r="L48" s="362"/>
      <c r="M48" s="362"/>
      <c r="N48" s="362"/>
      <c r="O48" s="362"/>
      <c r="P48" s="108"/>
      <c r="Q48" s="338"/>
    </row>
    <row r="49" spans="2:17">
      <c r="B49" s="307"/>
      <c r="C49" s="108"/>
      <c r="D49" s="1984"/>
      <c r="E49" s="1985"/>
      <c r="F49" s="1985"/>
      <c r="G49" s="1985"/>
      <c r="H49" s="1985"/>
      <c r="I49" s="1985"/>
      <c r="J49" s="1985"/>
      <c r="K49" s="1985"/>
      <c r="L49" s="1985"/>
      <c r="M49" s="1985"/>
      <c r="N49" s="1985"/>
      <c r="O49" s="1986"/>
      <c r="P49" s="108"/>
      <c r="Q49" s="338"/>
    </row>
    <row r="50" spans="2:17">
      <c r="B50" s="307"/>
      <c r="C50" s="108"/>
      <c r="D50" s="1987"/>
      <c r="E50" s="1988"/>
      <c r="F50" s="1988"/>
      <c r="G50" s="1988"/>
      <c r="H50" s="1988"/>
      <c r="I50" s="1988"/>
      <c r="J50" s="1988"/>
      <c r="K50" s="1988"/>
      <c r="L50" s="1988"/>
      <c r="M50" s="1988"/>
      <c r="N50" s="1988"/>
      <c r="O50" s="1989"/>
      <c r="P50" s="108"/>
      <c r="Q50" s="338"/>
    </row>
    <row r="51" spans="2:17">
      <c r="B51" s="307"/>
      <c r="C51" s="108"/>
      <c r="D51" s="1987"/>
      <c r="E51" s="1988"/>
      <c r="F51" s="1988"/>
      <c r="G51" s="1988"/>
      <c r="H51" s="1988"/>
      <c r="I51" s="1988"/>
      <c r="J51" s="1988"/>
      <c r="K51" s="1988"/>
      <c r="L51" s="1988"/>
      <c r="M51" s="1988"/>
      <c r="N51" s="1988"/>
      <c r="O51" s="1989"/>
      <c r="P51" s="108"/>
      <c r="Q51" s="338"/>
    </row>
    <row r="52" spans="2:17">
      <c r="B52" s="307"/>
      <c r="C52" s="108"/>
      <c r="D52" s="1987"/>
      <c r="E52" s="1988"/>
      <c r="F52" s="1988"/>
      <c r="G52" s="1988"/>
      <c r="H52" s="1988"/>
      <c r="I52" s="1988"/>
      <c r="J52" s="1988"/>
      <c r="K52" s="1988"/>
      <c r="L52" s="1988"/>
      <c r="M52" s="1988"/>
      <c r="N52" s="1988"/>
      <c r="O52" s="1989"/>
      <c r="P52" s="108"/>
      <c r="Q52" s="338"/>
    </row>
    <row r="53" spans="2:17">
      <c r="B53" s="307"/>
      <c r="C53" s="108"/>
      <c r="D53" s="1990"/>
      <c r="E53" s="1991"/>
      <c r="F53" s="1991"/>
      <c r="G53" s="1991"/>
      <c r="H53" s="1991"/>
      <c r="I53" s="1991"/>
      <c r="J53" s="1991"/>
      <c r="K53" s="1991"/>
      <c r="L53" s="1991"/>
      <c r="M53" s="1991"/>
      <c r="N53" s="1991"/>
      <c r="O53" s="1992"/>
      <c r="P53" s="108"/>
      <c r="Q53" s="338"/>
    </row>
    <row r="54" spans="2:17" ht="15" customHeight="1" thickBot="1">
      <c r="B54" s="307"/>
      <c r="C54" s="108"/>
      <c r="D54" s="326"/>
      <c r="E54" s="326"/>
      <c r="F54" s="327"/>
      <c r="G54" s="326"/>
      <c r="H54" s="327"/>
      <c r="I54" s="327"/>
      <c r="J54" s="327"/>
      <c r="K54" s="327"/>
      <c r="L54" s="327"/>
      <c r="M54" s="327"/>
      <c r="N54" s="327"/>
      <c r="O54" s="327"/>
      <c r="P54" s="108"/>
      <c r="Q54" s="338"/>
    </row>
    <row r="55" spans="2:17" ht="15" customHeight="1" thickBot="1">
      <c r="B55" s="307"/>
      <c r="C55" s="108"/>
      <c r="D55" s="328" t="s">
        <v>682</v>
      </c>
      <c r="E55" s="326"/>
      <c r="F55" s="2358">
        <v>1</v>
      </c>
      <c r="G55" s="2359" t="str">
        <f>IF(F55&gt;1,"STOP!","")</f>
        <v/>
      </c>
      <c r="H55" s="1998" t="str">
        <f>IF(G55="STOP!","Projects incorporating more than one Site must submit a multiple-Site set of Forms. Please contact Sean Harrington via email at sean.harrington@commerce.wa.gov to request a set tailored for your Project","")</f>
        <v/>
      </c>
      <c r="I55" s="1998"/>
      <c r="J55" s="1998"/>
      <c r="K55" s="1998"/>
      <c r="L55" s="1998"/>
      <c r="M55" s="1998"/>
      <c r="N55" s="1998"/>
      <c r="O55" s="329"/>
      <c r="P55" s="108"/>
      <c r="Q55" s="338"/>
    </row>
    <row r="56" spans="2:17" ht="15" customHeight="1" thickBot="1">
      <c r="B56" s="307"/>
      <c r="C56" s="108"/>
      <c r="D56" s="326"/>
      <c r="E56" s="326"/>
      <c r="F56" s="327"/>
      <c r="G56" s="326"/>
      <c r="H56" s="1998"/>
      <c r="I56" s="1998"/>
      <c r="J56" s="1998"/>
      <c r="K56" s="1998"/>
      <c r="L56" s="1998"/>
      <c r="M56" s="1998"/>
      <c r="N56" s="1998"/>
      <c r="O56" s="329"/>
      <c r="P56" s="108"/>
      <c r="Q56" s="338"/>
    </row>
    <row r="57" spans="2:17" ht="15" customHeight="1" thickTop="1" thickBot="1">
      <c r="B57" s="307"/>
      <c r="C57" s="108"/>
      <c r="D57" s="131" t="s">
        <v>683</v>
      </c>
      <c r="E57" s="362"/>
      <c r="F57" s="330">
        <f>'2A'!L22</f>
        <v>90</v>
      </c>
      <c r="G57" s="362"/>
      <c r="H57" s="1998"/>
      <c r="I57" s="1998"/>
      <c r="J57" s="1998"/>
      <c r="K57" s="1998"/>
      <c r="L57" s="1998"/>
      <c r="M57" s="1998"/>
      <c r="N57" s="1998"/>
      <c r="O57" s="329"/>
      <c r="P57" s="108"/>
      <c r="Q57" s="338"/>
    </row>
    <row r="58" spans="2:17" ht="15" customHeight="1" thickTop="1">
      <c r="B58" s="307"/>
      <c r="C58" s="108"/>
      <c r="D58" s="331"/>
      <c r="E58" s="108"/>
      <c r="F58" s="362"/>
      <c r="G58" s="362"/>
      <c r="H58" s="1998"/>
      <c r="I58" s="1998"/>
      <c r="J58" s="1998"/>
      <c r="K58" s="1998"/>
      <c r="L58" s="1998"/>
      <c r="M58" s="1998"/>
      <c r="N58" s="1998"/>
      <c r="O58" s="329"/>
      <c r="P58" s="108"/>
      <c r="Q58" s="338"/>
    </row>
    <row r="59" spans="2:17" ht="15" customHeight="1">
      <c r="B59" s="307"/>
      <c r="C59" s="108"/>
      <c r="D59" s="108"/>
      <c r="E59" s="332"/>
      <c r="F59" s="333"/>
      <c r="G59" s="332"/>
      <c r="H59" s="332"/>
      <c r="I59" s="332"/>
      <c r="J59" s="334"/>
      <c r="K59" s="334"/>
      <c r="L59" s="108"/>
      <c r="M59" s="108"/>
      <c r="N59" s="108"/>
      <c r="O59" s="108"/>
      <c r="P59" s="108"/>
      <c r="Q59" s="338"/>
    </row>
    <row r="60" spans="2:17" ht="3.75" customHeight="1" thickBot="1">
      <c r="B60" s="1762"/>
      <c r="C60" s="1763"/>
      <c r="D60" s="1763"/>
      <c r="E60" s="1763"/>
      <c r="F60" s="1764"/>
      <c r="G60" s="1763"/>
      <c r="H60" s="1763"/>
      <c r="I60" s="1763"/>
      <c r="J60" s="1763"/>
      <c r="K60" s="1765"/>
      <c r="L60" s="1764"/>
      <c r="M60" s="1764"/>
      <c r="N60" s="1764"/>
      <c r="O60" s="1763"/>
      <c r="P60" s="1763"/>
      <c r="Q60" s="1766"/>
    </row>
  </sheetData>
  <sheetProtection algorithmName="SHA-512" hashValue="48vD18/c2GQZJgqIpS+AT7Jdlp8oI8xdN+NlA7eMjpG70ov32TNTWQpHG27h4laknMir8xMsv5Z+vN/o6OZeLg==" saltValue="YoigJSoEXjAfr86XDfeFlA=="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38" priority="1" operator="equal">
      <formula>"X"</formula>
    </cfRule>
  </conditionalFormatting>
  <dataValidations count="2">
    <dataValidation type="list" allowBlank="1" showInputMessage="1" showErrorMessage="1" sqref="L21" xr:uid="{00000000-0002-0000-0800-000000000000}">
      <formula1>Yes_or_No</formula1>
    </dataValidation>
    <dataValidation type="list" allowBlank="1" showInputMessage="1" showErrorMessage="1" sqref="F39 F41 F43 F45 J39 J41 J43 J45 M39 M41" xr:uid="{00000000-0002-0000-0800-000001000000}">
      <formula1>Enable</formula1>
    </dataValidation>
  </dataValidations>
  <pageMargins left="0.7" right="0.7" top="0.75" bottom="0.75" header="0.3" footer="0.3"/>
  <pageSetup scale="87"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O23"/>
  <sheetViews>
    <sheetView showGridLines="0" zoomScaleNormal="100" workbookViewId="0" xr3:uid="{7BE570AB-09E9-518F-B8F7-3F91B7162CA9}">
      <selection activeCell="S73" sqref="S73"/>
    </sheetView>
  </sheetViews>
  <sheetFormatPr defaultColWidth="9.140625" defaultRowHeight="14.45"/>
  <cols>
    <col min="1" max="2" width="1.7109375" style="335" customWidth="1"/>
    <col min="3" max="3" width="11" style="335" customWidth="1"/>
    <col min="4" max="5" width="14" style="335" bestFit="1" customWidth="1"/>
    <col min="6" max="6" width="17.7109375" style="335" customWidth="1"/>
    <col min="7" max="7" width="14.7109375" style="335" bestFit="1" customWidth="1"/>
    <col min="8" max="8" width="11.5703125" style="335" customWidth="1"/>
    <col min="9" max="11" width="10.140625" style="335" customWidth="1"/>
    <col min="12" max="13" width="12.140625" style="335" customWidth="1"/>
    <col min="14" max="14" width="13.42578125" style="335" customWidth="1"/>
    <col min="15" max="16" width="1.7109375" style="335" customWidth="1"/>
    <col min="17" max="16384" width="9.140625" style="335"/>
  </cols>
  <sheetData>
    <row r="1" spans="2:15" ht="9" customHeight="1" thickBot="1"/>
    <row r="2" spans="2:15" ht="9" customHeight="1">
      <c r="B2" s="340"/>
      <c r="C2" s="341"/>
      <c r="D2" s="341"/>
      <c r="E2" s="341"/>
      <c r="F2" s="341"/>
      <c r="G2" s="341"/>
      <c r="H2" s="342"/>
      <c r="I2" s="341"/>
      <c r="J2" s="341"/>
      <c r="K2" s="341"/>
      <c r="L2" s="341"/>
      <c r="M2" s="341"/>
      <c r="N2" s="341"/>
      <c r="O2" s="343"/>
    </row>
    <row r="3" spans="2:15" ht="18.600000000000001">
      <c r="B3" s="344"/>
      <c r="C3" s="2057" t="s">
        <v>684</v>
      </c>
      <c r="D3" s="2057"/>
      <c r="E3" s="2057"/>
      <c r="F3" s="2057"/>
      <c r="G3" s="2057"/>
      <c r="H3" s="2057"/>
      <c r="I3" s="2057"/>
      <c r="J3" s="2057"/>
      <c r="K3" s="2057"/>
      <c r="L3" s="2057"/>
      <c r="M3" s="2057"/>
      <c r="N3" s="2057"/>
      <c r="O3" s="345"/>
    </row>
    <row r="4" spans="2:15">
      <c r="B4" s="344"/>
      <c r="C4" s="346"/>
      <c r="D4" s="346"/>
      <c r="E4" s="346"/>
      <c r="F4" s="346"/>
      <c r="G4" s="346"/>
      <c r="H4" s="121"/>
      <c r="I4" s="346"/>
      <c r="J4" s="346"/>
      <c r="K4" s="346"/>
      <c r="L4" s="346"/>
      <c r="M4" s="346"/>
      <c r="N4" s="346"/>
      <c r="O4" s="345"/>
    </row>
    <row r="5" spans="2:15" ht="15" thickBot="1">
      <c r="B5" s="344"/>
      <c r="C5" s="2360" t="str">
        <f>IF('1'!G5="","Enter Project Name on Form 1",(CONCATENATE("Project Name: ",'1'!G5)))</f>
        <v>Project Name: DESC 22nd Avenue PSH</v>
      </c>
      <c r="D5" s="2360"/>
      <c r="E5" s="2360"/>
      <c r="F5" s="2360"/>
      <c r="G5" s="2360"/>
      <c r="H5" s="2360"/>
      <c r="I5" s="2360"/>
      <c r="J5" s="2360"/>
      <c r="K5" s="1973"/>
      <c r="L5" s="346"/>
      <c r="M5" s="346"/>
      <c r="N5" s="346"/>
      <c r="O5" s="345"/>
    </row>
    <row r="6" spans="2:15" ht="15" thickBot="1">
      <c r="B6" s="344"/>
      <c r="C6" s="346"/>
      <c r="D6" s="346"/>
      <c r="E6" s="346"/>
      <c r="F6" s="346"/>
      <c r="G6" s="346"/>
      <c r="H6" s="121"/>
      <c r="I6" s="346"/>
      <c r="J6" s="346"/>
      <c r="K6" s="346"/>
      <c r="L6" s="346"/>
      <c r="M6" s="346"/>
      <c r="N6" s="346"/>
      <c r="O6" s="345"/>
    </row>
    <row r="7" spans="2:15" ht="48">
      <c r="B7" s="344"/>
      <c r="C7" s="914" t="s">
        <v>685</v>
      </c>
      <c r="D7" s="1364" t="s">
        <v>686</v>
      </c>
      <c r="E7" s="1364" t="s">
        <v>687</v>
      </c>
      <c r="F7" s="2361" t="s">
        <v>688</v>
      </c>
      <c r="G7" s="915" t="s">
        <v>689</v>
      </c>
      <c r="H7" s="916" t="s">
        <v>690</v>
      </c>
      <c r="I7" s="915" t="s">
        <v>691</v>
      </c>
      <c r="J7" s="915" t="s">
        <v>692</v>
      </c>
      <c r="K7" s="2362" t="s">
        <v>693</v>
      </c>
      <c r="L7" s="917" t="s">
        <v>694</v>
      </c>
      <c r="M7" s="916" t="s">
        <v>695</v>
      </c>
      <c r="N7" s="2363" t="s">
        <v>696</v>
      </c>
      <c r="O7" s="345"/>
    </row>
    <row r="8" spans="2:15" ht="24.6">
      <c r="B8" s="344"/>
      <c r="C8" s="909">
        <v>1</v>
      </c>
      <c r="D8" s="955" t="s">
        <v>661</v>
      </c>
      <c r="E8" s="955" t="s">
        <v>697</v>
      </c>
      <c r="F8" s="693" t="s">
        <v>82</v>
      </c>
      <c r="G8" s="694" t="s">
        <v>87</v>
      </c>
      <c r="H8" s="695" t="s">
        <v>23</v>
      </c>
      <c r="I8" s="695">
        <v>90</v>
      </c>
      <c r="J8" s="695"/>
      <c r="K8" s="696"/>
      <c r="L8" s="697">
        <f>SUM(I8:K8)</f>
        <v>90</v>
      </c>
      <c r="M8" s="1516" t="s">
        <v>698</v>
      </c>
      <c r="N8" s="911">
        <f>'5'!E73</f>
        <v>43881</v>
      </c>
      <c r="O8" s="345"/>
    </row>
    <row r="9" spans="2:15">
      <c r="B9" s="344"/>
      <c r="C9" s="910"/>
      <c r="D9" s="956"/>
      <c r="E9" s="956"/>
      <c r="F9" s="698"/>
      <c r="G9" s="699"/>
      <c r="H9" s="700"/>
      <c r="I9" s="700"/>
      <c r="J9" s="700"/>
      <c r="K9" s="701"/>
      <c r="L9" s="702">
        <f t="shared" ref="L9:L21" si="0">SUM(I9:K9)</f>
        <v>0</v>
      </c>
      <c r="M9" s="1517"/>
      <c r="N9" s="912"/>
      <c r="O9" s="345"/>
    </row>
    <row r="10" spans="2:15">
      <c r="B10" s="344"/>
      <c r="C10" s="910"/>
      <c r="D10" s="956"/>
      <c r="E10" s="956"/>
      <c r="F10" s="698"/>
      <c r="G10" s="699"/>
      <c r="H10" s="700"/>
      <c r="I10" s="700"/>
      <c r="J10" s="700"/>
      <c r="K10" s="701"/>
      <c r="L10" s="702">
        <f t="shared" si="0"/>
        <v>0</v>
      </c>
      <c r="M10" s="1517"/>
      <c r="N10" s="912"/>
      <c r="O10" s="345"/>
    </row>
    <row r="11" spans="2:15">
      <c r="B11" s="344"/>
      <c r="C11" s="910"/>
      <c r="D11" s="956"/>
      <c r="E11" s="956"/>
      <c r="F11" s="698"/>
      <c r="G11" s="699"/>
      <c r="H11" s="700"/>
      <c r="I11" s="700"/>
      <c r="J11" s="700"/>
      <c r="K11" s="701"/>
      <c r="L11" s="702">
        <f t="shared" si="0"/>
        <v>0</v>
      </c>
      <c r="M11" s="1517"/>
      <c r="N11" s="912"/>
      <c r="O11" s="345"/>
    </row>
    <row r="12" spans="2:15">
      <c r="B12" s="344"/>
      <c r="C12" s="910"/>
      <c r="D12" s="956"/>
      <c r="E12" s="956"/>
      <c r="F12" s="698"/>
      <c r="G12" s="699"/>
      <c r="H12" s="700"/>
      <c r="I12" s="700"/>
      <c r="J12" s="700"/>
      <c r="K12" s="701"/>
      <c r="L12" s="702">
        <f t="shared" si="0"/>
        <v>0</v>
      </c>
      <c r="M12" s="1517"/>
      <c r="N12" s="912"/>
      <c r="O12" s="345"/>
    </row>
    <row r="13" spans="2:15">
      <c r="B13" s="344"/>
      <c r="C13" s="910"/>
      <c r="D13" s="956"/>
      <c r="E13" s="956"/>
      <c r="F13" s="698"/>
      <c r="G13" s="699"/>
      <c r="H13" s="700"/>
      <c r="I13" s="700"/>
      <c r="J13" s="700"/>
      <c r="K13" s="701"/>
      <c r="L13" s="703">
        <f t="shared" si="0"/>
        <v>0</v>
      </c>
      <c r="M13" s="1517"/>
      <c r="N13" s="912"/>
      <c r="O13" s="345"/>
    </row>
    <row r="14" spans="2:15">
      <c r="B14" s="344"/>
      <c r="C14" s="1832"/>
      <c r="D14" s="956"/>
      <c r="E14" s="956"/>
      <c r="F14" s="698"/>
      <c r="G14" s="704"/>
      <c r="H14" s="705"/>
      <c r="I14" s="705"/>
      <c r="J14" s="705"/>
      <c r="K14" s="706"/>
      <c r="L14" s="703">
        <f t="shared" si="0"/>
        <v>0</v>
      </c>
      <c r="M14" s="1517"/>
      <c r="N14" s="912"/>
      <c r="O14" s="345"/>
    </row>
    <row r="15" spans="2:15">
      <c r="B15" s="344"/>
      <c r="C15" s="910"/>
      <c r="D15" s="956"/>
      <c r="E15" s="956"/>
      <c r="F15" s="698"/>
      <c r="G15" s="699"/>
      <c r="H15" s="700"/>
      <c r="I15" s="700"/>
      <c r="J15" s="700"/>
      <c r="K15" s="701"/>
      <c r="L15" s="702">
        <f t="shared" si="0"/>
        <v>0</v>
      </c>
      <c r="M15" s="1517"/>
      <c r="N15" s="912"/>
      <c r="O15" s="345"/>
    </row>
    <row r="16" spans="2:15">
      <c r="B16" s="344"/>
      <c r="C16" s="910"/>
      <c r="D16" s="956"/>
      <c r="E16" s="956"/>
      <c r="F16" s="698"/>
      <c r="G16" s="699"/>
      <c r="H16" s="700"/>
      <c r="I16" s="700"/>
      <c r="J16" s="700"/>
      <c r="K16" s="701"/>
      <c r="L16" s="702">
        <f t="shared" si="0"/>
        <v>0</v>
      </c>
      <c r="M16" s="1831"/>
      <c r="N16" s="912"/>
      <c r="O16" s="345"/>
    </row>
    <row r="17" spans="2:15">
      <c r="B17" s="344"/>
      <c r="C17" s="910"/>
      <c r="D17" s="956"/>
      <c r="E17" s="956"/>
      <c r="F17" s="698"/>
      <c r="G17" s="699"/>
      <c r="H17" s="700"/>
      <c r="I17" s="700"/>
      <c r="J17" s="700"/>
      <c r="K17" s="701"/>
      <c r="L17" s="702">
        <f t="shared" si="0"/>
        <v>0</v>
      </c>
      <c r="M17" s="1517"/>
      <c r="N17" s="912"/>
      <c r="O17" s="345"/>
    </row>
    <row r="18" spans="2:15">
      <c r="B18" s="344"/>
      <c r="C18" s="910"/>
      <c r="D18" s="956"/>
      <c r="E18" s="956"/>
      <c r="F18" s="698"/>
      <c r="G18" s="699"/>
      <c r="H18" s="700"/>
      <c r="I18" s="700"/>
      <c r="J18" s="700"/>
      <c r="K18" s="701"/>
      <c r="L18" s="702">
        <f t="shared" si="0"/>
        <v>0</v>
      </c>
      <c r="M18" s="1517"/>
      <c r="N18" s="912"/>
      <c r="O18" s="345"/>
    </row>
    <row r="19" spans="2:15">
      <c r="B19" s="344"/>
      <c r="C19" s="910"/>
      <c r="D19" s="956"/>
      <c r="E19" s="956"/>
      <c r="F19" s="698"/>
      <c r="G19" s="699"/>
      <c r="H19" s="700"/>
      <c r="I19" s="700"/>
      <c r="J19" s="700"/>
      <c r="K19" s="701"/>
      <c r="L19" s="702">
        <f t="shared" si="0"/>
        <v>0</v>
      </c>
      <c r="M19" s="1517"/>
      <c r="N19" s="912"/>
      <c r="O19" s="345"/>
    </row>
    <row r="20" spans="2:15">
      <c r="B20" s="344"/>
      <c r="C20" s="1832"/>
      <c r="D20" s="956"/>
      <c r="E20" s="956"/>
      <c r="F20" s="698"/>
      <c r="G20" s="704"/>
      <c r="H20" s="705"/>
      <c r="I20" s="705"/>
      <c r="J20" s="705"/>
      <c r="K20" s="706"/>
      <c r="L20" s="703">
        <f t="shared" si="0"/>
        <v>0</v>
      </c>
      <c r="M20" s="1517"/>
      <c r="N20" s="912"/>
      <c r="O20" s="345"/>
    </row>
    <row r="21" spans="2:15" ht="15" thickBot="1">
      <c r="B21" s="344"/>
      <c r="C21" s="1833"/>
      <c r="D21" s="957"/>
      <c r="E21" s="957"/>
      <c r="F21" s="707"/>
      <c r="G21" s="708"/>
      <c r="H21" s="709"/>
      <c r="I21" s="709"/>
      <c r="J21" s="709"/>
      <c r="K21" s="711"/>
      <c r="L21" s="710">
        <f t="shared" si="0"/>
        <v>0</v>
      </c>
      <c r="M21" s="1518"/>
      <c r="N21" s="913"/>
      <c r="O21" s="345"/>
    </row>
    <row r="22" spans="2:15" ht="15.6" thickTop="1" thickBot="1">
      <c r="B22" s="1365"/>
      <c r="C22" s="1361" t="s">
        <v>699</v>
      </c>
      <c r="D22" s="619"/>
      <c r="E22" s="619"/>
      <c r="F22" s="619"/>
      <c r="G22" s="620"/>
      <c r="H22" s="618" t="s">
        <v>700</v>
      </c>
      <c r="I22" s="348">
        <f>SUM(I8:I21)</f>
        <v>90</v>
      </c>
      <c r="J22" s="349">
        <f>SUM(J8:J21)</f>
        <v>0</v>
      </c>
      <c r="K22" s="350">
        <f>SUM(K8:K21)</f>
        <v>0</v>
      </c>
      <c r="L22" s="351">
        <f>SUM(L8:L21)</f>
        <v>90</v>
      </c>
      <c r="M22" s="616"/>
      <c r="N22" s="617"/>
      <c r="O22" s="1366"/>
    </row>
    <row r="23" spans="2:15" ht="15" thickBot="1">
      <c r="B23" s="1367"/>
      <c r="C23" s="1368"/>
      <c r="D23" s="1368"/>
      <c r="E23" s="1368"/>
      <c r="F23" s="1368"/>
      <c r="G23" s="1368"/>
      <c r="H23" s="1368"/>
      <c r="I23" s="1368"/>
      <c r="J23" s="1368"/>
      <c r="K23" s="1368"/>
      <c r="L23" s="1368"/>
      <c r="M23" s="1368"/>
      <c r="N23" s="1368"/>
      <c r="O23" s="353"/>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count="3">
    <dataValidation type="list" allowBlank="1" showInputMessage="1" showErrorMessage="1" sqref="F8:F21" xr:uid="{00000000-0002-0000-0900-000000000000}">
      <formula1>Building_Type</formula1>
    </dataValidation>
    <dataValidation type="list" allowBlank="1" showInputMessage="1" showErrorMessage="1" sqref="G8:G21" xr:uid="{00000000-0002-0000-0900-000001000000}">
      <formula1>Activity_Type</formula1>
    </dataValidation>
    <dataValidation type="list" allowBlank="1" showInputMessage="1" showErrorMessage="1" sqref="H8:H21" xr:uid="{00000000-0002-0000-0900-000002000000}">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1:P35"/>
  <sheetViews>
    <sheetView showGridLines="0" topLeftCell="A16" zoomScaleNormal="100" workbookViewId="0" xr3:uid="{65FA3815-DCC1-5481-872F-D2879ED395ED}">
      <selection activeCell="S73" sqref="S73"/>
    </sheetView>
  </sheetViews>
  <sheetFormatPr defaultColWidth="9.140625" defaultRowHeight="14.45"/>
  <cols>
    <col min="1" max="2" width="1.7109375" style="335" customWidth="1"/>
    <col min="3" max="11" width="11" style="335" customWidth="1"/>
    <col min="12" max="12" width="1.140625" style="335" customWidth="1"/>
    <col min="13" max="15" width="12" style="335" customWidth="1"/>
    <col min="16" max="16" width="1.7109375" style="335" customWidth="1"/>
    <col min="17" max="16384" width="9.140625" style="335"/>
  </cols>
  <sheetData>
    <row r="11" spans="2:16" ht="15" thickBot="1"/>
    <row r="12" spans="2:16" ht="9" customHeight="1">
      <c r="B12" s="158"/>
      <c r="C12" s="355"/>
      <c r="D12" s="355"/>
      <c r="E12" s="355"/>
      <c r="F12" s="355"/>
      <c r="G12" s="355"/>
      <c r="H12" s="355"/>
      <c r="I12" s="355"/>
      <c r="J12" s="355"/>
      <c r="K12" s="355"/>
      <c r="L12" s="355"/>
      <c r="M12" s="355"/>
      <c r="N12" s="355"/>
      <c r="O12" s="355"/>
      <c r="P12" s="356"/>
    </row>
    <row r="13" spans="2:16" ht="18.600000000000001">
      <c r="B13" s="4"/>
      <c r="C13" s="2002" t="s">
        <v>701</v>
      </c>
      <c r="D13" s="2002"/>
      <c r="E13" s="2002"/>
      <c r="F13" s="2002"/>
      <c r="G13" s="2002"/>
      <c r="H13" s="2002"/>
      <c r="I13" s="2002"/>
      <c r="J13" s="2002"/>
      <c r="K13" s="2002"/>
      <c r="L13" s="2002"/>
      <c r="M13" s="2002"/>
      <c r="N13" s="2002"/>
      <c r="O13" s="2002"/>
      <c r="P13" s="3"/>
    </row>
    <row r="14" spans="2:16" ht="15" customHeight="1">
      <c r="B14" s="4"/>
      <c r="C14" s="1"/>
      <c r="D14" s="1"/>
      <c r="E14" s="357"/>
      <c r="F14" s="357"/>
      <c r="G14" s="357"/>
      <c r="H14" s="357"/>
      <c r="I14" s="357"/>
      <c r="J14" s="357"/>
      <c r="K14" s="1"/>
      <c r="L14" s="1"/>
      <c r="M14" s="1"/>
      <c r="N14" s="1"/>
      <c r="O14" s="1"/>
      <c r="P14" s="3"/>
    </row>
    <row r="15" spans="2:16" ht="15" thickBot="1">
      <c r="B15" s="120"/>
      <c r="C15" s="2116" t="str">
        <f>IF('1'!G5="","Enter Project Name on Form 1",(CONCATENATE("Project Name: ",'1'!G5)))</f>
        <v>Project Name: DESC 22nd Avenue PSH</v>
      </c>
      <c r="D15" s="2116"/>
      <c r="E15" s="2116"/>
      <c r="F15" s="2116"/>
      <c r="G15" s="2116"/>
      <c r="H15" s="2116"/>
      <c r="I15" s="2116"/>
      <c r="J15" s="2116"/>
      <c r="K15" s="2116"/>
      <c r="L15" s="124"/>
      <c r="M15" s="121"/>
      <c r="N15" s="121"/>
      <c r="O15" s="121"/>
      <c r="P15" s="122"/>
    </row>
    <row r="16" spans="2:16" s="354" customFormat="1" ht="15" thickBot="1">
      <c r="B16" s="120"/>
      <c r="C16" s="358"/>
      <c r="D16" s="358"/>
      <c r="E16" s="358"/>
      <c r="F16" s="358"/>
      <c r="G16" s="358"/>
      <c r="H16" s="358"/>
      <c r="I16" s="358"/>
      <c r="J16" s="358"/>
      <c r="K16" s="358"/>
      <c r="L16" s="358"/>
      <c r="M16" s="121"/>
      <c r="N16" s="121"/>
      <c r="O16" s="121"/>
      <c r="P16" s="122"/>
    </row>
    <row r="17" spans="2:16" ht="15.95" thickBot="1">
      <c r="B17" s="120"/>
      <c r="C17" s="358"/>
      <c r="D17" s="2004" t="s">
        <v>702</v>
      </c>
      <c r="E17" s="2005"/>
      <c r="F17" s="2005"/>
      <c r="G17" s="2005"/>
      <c r="H17" s="2005"/>
      <c r="I17" s="2005"/>
      <c r="J17" s="2005"/>
      <c r="K17" s="2006"/>
      <c r="L17" s="2364"/>
      <c r="M17" s="2365" t="s">
        <v>703</v>
      </c>
      <c r="N17" s="2366"/>
      <c r="O17" s="948" t="s">
        <v>704</v>
      </c>
      <c r="P17" s="949"/>
    </row>
    <row r="18" spans="2:16" ht="39" customHeight="1" thickBot="1">
      <c r="B18" s="1369"/>
      <c r="C18" s="1370"/>
      <c r="D18" s="2007" t="s">
        <v>705</v>
      </c>
      <c r="E18" s="2009" t="s">
        <v>706</v>
      </c>
      <c r="F18" s="2009" t="s">
        <v>707</v>
      </c>
      <c r="G18" s="2009" t="s">
        <v>692</v>
      </c>
      <c r="H18" s="2009" t="s">
        <v>708</v>
      </c>
      <c r="I18" s="2009" t="s">
        <v>709</v>
      </c>
      <c r="J18" s="2009" t="s">
        <v>710</v>
      </c>
      <c r="K18" s="2015" t="s">
        <v>711</v>
      </c>
      <c r="L18" s="2017"/>
      <c r="M18" s="2009" t="s">
        <v>712</v>
      </c>
      <c r="N18" s="2011" t="s">
        <v>713</v>
      </c>
      <c r="O18" s="2013" t="s">
        <v>714</v>
      </c>
      <c r="P18" s="1371"/>
    </row>
    <row r="19" spans="2:16" ht="15" thickBot="1">
      <c r="B19" s="1369"/>
      <c r="C19" s="1372" t="s">
        <v>715</v>
      </c>
      <c r="D19" s="2008"/>
      <c r="E19" s="2010"/>
      <c r="F19" s="2010"/>
      <c r="G19" s="2010"/>
      <c r="H19" s="2010"/>
      <c r="I19" s="2010"/>
      <c r="J19" s="2010"/>
      <c r="K19" s="2016"/>
      <c r="L19" s="2018"/>
      <c r="M19" s="2010"/>
      <c r="N19" s="2012"/>
      <c r="O19" s="2014"/>
      <c r="P19" s="1371"/>
    </row>
    <row r="20" spans="2:16">
      <c r="B20" s="359"/>
      <c r="C20" s="1767">
        <f>'2A'!C8</f>
        <v>1</v>
      </c>
      <c r="D20" s="712">
        <v>6</v>
      </c>
      <c r="E20" s="1849">
        <f t="shared" ref="E20" si="0">344*90</f>
        <v>30960</v>
      </c>
      <c r="F20" s="1850"/>
      <c r="G20" s="1850"/>
      <c r="H20" s="1850">
        <v>10120</v>
      </c>
      <c r="I20" s="1850">
        <f>53020-Table2[[#This Row],[Common Area for Residential Services]]-Table2[[#This Row],[ Low-Income Units]]</f>
        <v>11940</v>
      </c>
      <c r="J20" s="716"/>
      <c r="K20" s="713">
        <f>SUM(E20:J20)</f>
        <v>53020</v>
      </c>
      <c r="L20" s="714"/>
      <c r="M20" s="715"/>
      <c r="N20" s="716"/>
      <c r="O20" s="918">
        <f>K20+N20</f>
        <v>53020</v>
      </c>
      <c r="P20" s="3"/>
    </row>
    <row r="21" spans="2:16">
      <c r="B21" s="359"/>
      <c r="C21" s="1768">
        <f>'2A'!C9</f>
        <v>0</v>
      </c>
      <c r="D21" s="717"/>
      <c r="E21" s="718"/>
      <c r="F21" s="719"/>
      <c r="G21" s="719"/>
      <c r="H21" s="719"/>
      <c r="I21" s="719"/>
      <c r="J21" s="720"/>
      <c r="K21" s="721">
        <f t="shared" ref="K21:K33" si="1">SUM(E21:J21)</f>
        <v>0</v>
      </c>
      <c r="L21" s="722"/>
      <c r="M21" s="723"/>
      <c r="N21" s="724"/>
      <c r="O21" s="919">
        <f t="shared" ref="O21:O33" si="2">K21+N21</f>
        <v>0</v>
      </c>
      <c r="P21" s="3"/>
    </row>
    <row r="22" spans="2:16">
      <c r="B22" s="359"/>
      <c r="C22" s="1768">
        <f>'2A'!C10</f>
        <v>0</v>
      </c>
      <c r="D22" s="717"/>
      <c r="E22" s="718"/>
      <c r="F22" s="719"/>
      <c r="G22" s="719"/>
      <c r="H22" s="719"/>
      <c r="I22" s="719"/>
      <c r="J22" s="720"/>
      <c r="K22" s="721">
        <f t="shared" si="1"/>
        <v>0</v>
      </c>
      <c r="L22" s="722"/>
      <c r="M22" s="723"/>
      <c r="N22" s="724"/>
      <c r="O22" s="919">
        <f t="shared" si="2"/>
        <v>0</v>
      </c>
      <c r="P22" s="3"/>
    </row>
    <row r="23" spans="2:16">
      <c r="B23" s="359"/>
      <c r="C23" s="1768">
        <f>'2A'!C11</f>
        <v>0</v>
      </c>
      <c r="D23" s="725"/>
      <c r="E23" s="726"/>
      <c r="F23" s="727"/>
      <c r="G23" s="727"/>
      <c r="H23" s="727"/>
      <c r="I23" s="727"/>
      <c r="J23" s="724"/>
      <c r="K23" s="721">
        <f t="shared" si="1"/>
        <v>0</v>
      </c>
      <c r="L23" s="722"/>
      <c r="M23" s="723"/>
      <c r="N23" s="724"/>
      <c r="O23" s="919">
        <f t="shared" si="2"/>
        <v>0</v>
      </c>
      <c r="P23" s="3"/>
    </row>
    <row r="24" spans="2:16">
      <c r="B24" s="359"/>
      <c r="C24" s="1768">
        <f>'2A'!C12</f>
        <v>0</v>
      </c>
      <c r="D24" s="717"/>
      <c r="E24" s="718"/>
      <c r="F24" s="719"/>
      <c r="G24" s="719"/>
      <c r="H24" s="719"/>
      <c r="I24" s="719"/>
      <c r="J24" s="720"/>
      <c r="K24" s="721">
        <f t="shared" si="1"/>
        <v>0</v>
      </c>
      <c r="L24" s="722"/>
      <c r="M24" s="723"/>
      <c r="N24" s="724"/>
      <c r="O24" s="919">
        <f t="shared" si="2"/>
        <v>0</v>
      </c>
      <c r="P24" s="3"/>
    </row>
    <row r="25" spans="2:16">
      <c r="B25" s="359"/>
      <c r="C25" s="1768">
        <f>'2A'!C13</f>
        <v>0</v>
      </c>
      <c r="D25" s="725"/>
      <c r="E25" s="726"/>
      <c r="F25" s="727"/>
      <c r="G25" s="727"/>
      <c r="H25" s="727"/>
      <c r="I25" s="727"/>
      <c r="J25" s="724"/>
      <c r="K25" s="721">
        <f t="shared" si="1"/>
        <v>0</v>
      </c>
      <c r="L25" s="722"/>
      <c r="M25" s="723"/>
      <c r="N25" s="724"/>
      <c r="O25" s="919">
        <f t="shared" si="2"/>
        <v>0</v>
      </c>
      <c r="P25" s="3"/>
    </row>
    <row r="26" spans="2:16">
      <c r="B26" s="359"/>
      <c r="C26" s="1769">
        <f>'2A'!C14</f>
        <v>0</v>
      </c>
      <c r="D26" s="717"/>
      <c r="E26" s="718"/>
      <c r="F26" s="719"/>
      <c r="G26" s="719"/>
      <c r="H26" s="719"/>
      <c r="I26" s="719"/>
      <c r="J26" s="720"/>
      <c r="K26" s="721">
        <f t="shared" si="1"/>
        <v>0</v>
      </c>
      <c r="L26" s="722"/>
      <c r="M26" s="723"/>
      <c r="N26" s="724"/>
      <c r="O26" s="919">
        <f t="shared" si="2"/>
        <v>0</v>
      </c>
      <c r="P26" s="3"/>
    </row>
    <row r="27" spans="2:16">
      <c r="B27" s="359"/>
      <c r="C27" s="1768">
        <f>'2A'!C15</f>
        <v>0</v>
      </c>
      <c r="D27" s="725"/>
      <c r="E27" s="726"/>
      <c r="F27" s="727"/>
      <c r="G27" s="727"/>
      <c r="H27" s="727"/>
      <c r="I27" s="727"/>
      <c r="J27" s="724"/>
      <c r="K27" s="721">
        <f t="shared" si="1"/>
        <v>0</v>
      </c>
      <c r="L27" s="722"/>
      <c r="M27" s="723"/>
      <c r="N27" s="724"/>
      <c r="O27" s="919">
        <f t="shared" si="2"/>
        <v>0</v>
      </c>
      <c r="P27" s="3"/>
    </row>
    <row r="28" spans="2:16">
      <c r="B28" s="359"/>
      <c r="C28" s="1768">
        <f>'2A'!C16</f>
        <v>0</v>
      </c>
      <c r="D28" s="717"/>
      <c r="E28" s="718"/>
      <c r="F28" s="719"/>
      <c r="G28" s="719"/>
      <c r="H28" s="719"/>
      <c r="I28" s="719"/>
      <c r="J28" s="720"/>
      <c r="K28" s="721">
        <f t="shared" si="1"/>
        <v>0</v>
      </c>
      <c r="L28" s="722"/>
      <c r="M28" s="723"/>
      <c r="N28" s="724"/>
      <c r="O28" s="919">
        <f t="shared" si="2"/>
        <v>0</v>
      </c>
      <c r="P28" s="3"/>
    </row>
    <row r="29" spans="2:16">
      <c r="B29" s="359"/>
      <c r="C29" s="1768">
        <f>'2A'!C17</f>
        <v>0</v>
      </c>
      <c r="D29" s="725"/>
      <c r="E29" s="726"/>
      <c r="F29" s="727"/>
      <c r="G29" s="727"/>
      <c r="H29" s="727"/>
      <c r="I29" s="727"/>
      <c r="J29" s="724"/>
      <c r="K29" s="721">
        <f t="shared" si="1"/>
        <v>0</v>
      </c>
      <c r="L29" s="722"/>
      <c r="M29" s="723"/>
      <c r="N29" s="724"/>
      <c r="O29" s="919">
        <f t="shared" si="2"/>
        <v>0</v>
      </c>
      <c r="P29" s="3"/>
    </row>
    <row r="30" spans="2:16">
      <c r="B30" s="359"/>
      <c r="C30" s="1768">
        <f>'2A'!C18</f>
        <v>0</v>
      </c>
      <c r="D30" s="717"/>
      <c r="E30" s="718"/>
      <c r="F30" s="719"/>
      <c r="G30" s="719"/>
      <c r="H30" s="719"/>
      <c r="I30" s="719"/>
      <c r="J30" s="720"/>
      <c r="K30" s="721">
        <f t="shared" si="1"/>
        <v>0</v>
      </c>
      <c r="L30" s="722"/>
      <c r="M30" s="723"/>
      <c r="N30" s="724"/>
      <c r="O30" s="919">
        <f t="shared" si="2"/>
        <v>0</v>
      </c>
      <c r="P30" s="3"/>
    </row>
    <row r="31" spans="2:16">
      <c r="B31" s="359"/>
      <c r="C31" s="1768">
        <f>'2A'!C19</f>
        <v>0</v>
      </c>
      <c r="D31" s="725"/>
      <c r="E31" s="726"/>
      <c r="F31" s="727"/>
      <c r="G31" s="727"/>
      <c r="H31" s="727"/>
      <c r="I31" s="727"/>
      <c r="J31" s="724"/>
      <c r="K31" s="721">
        <f t="shared" si="1"/>
        <v>0</v>
      </c>
      <c r="L31" s="722"/>
      <c r="M31" s="723"/>
      <c r="N31" s="724"/>
      <c r="O31" s="919">
        <f t="shared" si="2"/>
        <v>0</v>
      </c>
      <c r="P31" s="3"/>
    </row>
    <row r="32" spans="2:16">
      <c r="B32" s="359"/>
      <c r="C32" s="1769">
        <f>'2A'!C20</f>
        <v>0</v>
      </c>
      <c r="D32" s="717"/>
      <c r="E32" s="718"/>
      <c r="F32" s="719"/>
      <c r="G32" s="719"/>
      <c r="H32" s="719"/>
      <c r="I32" s="719"/>
      <c r="J32" s="720"/>
      <c r="K32" s="721">
        <f t="shared" si="1"/>
        <v>0</v>
      </c>
      <c r="L32" s="722"/>
      <c r="M32" s="723"/>
      <c r="N32" s="724"/>
      <c r="O32" s="919">
        <f t="shared" si="2"/>
        <v>0</v>
      </c>
      <c r="P32" s="3"/>
    </row>
    <row r="33" spans="2:16" ht="15" thickBot="1">
      <c r="B33" s="359"/>
      <c r="C33" s="1770">
        <f>'2A'!C21</f>
        <v>0</v>
      </c>
      <c r="D33" s="729"/>
      <c r="E33" s="730"/>
      <c r="F33" s="731"/>
      <c r="G33" s="731"/>
      <c r="H33" s="731"/>
      <c r="I33" s="731"/>
      <c r="J33" s="732"/>
      <c r="K33" s="733">
        <f t="shared" si="1"/>
        <v>0</v>
      </c>
      <c r="L33" s="728"/>
      <c r="M33" s="734"/>
      <c r="N33" s="735"/>
      <c r="O33" s="920">
        <f t="shared" si="2"/>
        <v>0</v>
      </c>
      <c r="P33" s="3"/>
    </row>
    <row r="34" spans="2:16" ht="15.6" thickTop="1" thickBot="1">
      <c r="B34" s="359"/>
      <c r="C34" s="360" t="s">
        <v>716</v>
      </c>
      <c r="D34" s="2367"/>
      <c r="E34" s="736">
        <f t="shared" ref="E34:K34" si="3">SUM(E20:E33)</f>
        <v>30960</v>
      </c>
      <c r="F34" s="737">
        <f t="shared" si="3"/>
        <v>0</v>
      </c>
      <c r="G34" s="737">
        <f t="shared" si="3"/>
        <v>0</v>
      </c>
      <c r="H34" s="737">
        <f t="shared" si="3"/>
        <v>10120</v>
      </c>
      <c r="I34" s="737">
        <f t="shared" si="3"/>
        <v>11940</v>
      </c>
      <c r="J34" s="738">
        <f t="shared" si="3"/>
        <v>0</v>
      </c>
      <c r="K34" s="583">
        <f t="shared" si="3"/>
        <v>53020</v>
      </c>
      <c r="L34" s="581"/>
      <c r="M34" s="2367"/>
      <c r="N34" s="2368">
        <f>SUM(N20:N33)</f>
        <v>0</v>
      </c>
      <c r="O34" s="582">
        <f>SUM(O20:O33)</f>
        <v>53020</v>
      </c>
      <c r="P34" s="3"/>
    </row>
    <row r="35" spans="2:16" ht="15" thickBot="1">
      <c r="B35" s="1373"/>
      <c r="C35" s="6"/>
      <c r="D35" s="6"/>
      <c r="E35" s="6"/>
      <c r="F35" s="6"/>
      <c r="G35" s="6"/>
      <c r="H35" s="6"/>
      <c r="I35" s="6"/>
      <c r="J35" s="6"/>
      <c r="K35" s="6"/>
      <c r="L35" s="6"/>
      <c r="M35" s="361"/>
      <c r="N35" s="361"/>
      <c r="O35" s="361"/>
      <c r="P35" s="1374"/>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0:P151"/>
  <sheetViews>
    <sheetView showGridLines="0" topLeftCell="A140" zoomScaleNormal="100" zoomScaleSheetLayoutView="70" zoomScalePageLayoutView="70" workbookViewId="0" xr3:uid="{FF0BDA26-1AD6-5648-BD9A-E01AA4DDCA7C}">
      <selection activeCell="S73" sqref="S73"/>
    </sheetView>
  </sheetViews>
  <sheetFormatPr defaultColWidth="9.140625" defaultRowHeight="14.45"/>
  <cols>
    <col min="1" max="4" width="1.7109375" style="1375" customWidth="1"/>
    <col min="5" max="5" width="14.28515625" style="1375" customWidth="1"/>
    <col min="6" max="6" width="16.28515625" style="1375" customWidth="1"/>
    <col min="7" max="7" width="4" style="1375" customWidth="1"/>
    <col min="8" max="8" width="36" style="1375" customWidth="1"/>
    <col min="9" max="9" width="38.85546875" style="1375" bestFit="1" customWidth="1"/>
    <col min="10" max="10" width="8.42578125" style="1375" bestFit="1" customWidth="1"/>
    <col min="11" max="11" width="3.28515625" style="1375" hidden="1" customWidth="1"/>
    <col min="12" max="13" width="1.7109375" style="1375" customWidth="1"/>
    <col min="14" max="16384" width="9.140625" style="1375"/>
  </cols>
  <sheetData>
    <row r="10" spans="2:12" ht="6.75" customHeight="1"/>
    <row r="11" spans="2:12" ht="6.75" customHeight="1" thickBot="1"/>
    <row r="12" spans="2:12" s="1376" customFormat="1" ht="7.5" customHeight="1">
      <c r="B12" s="1147"/>
      <c r="C12" s="1148"/>
      <c r="D12" s="1148"/>
      <c r="E12" s="1148"/>
      <c r="F12" s="1148"/>
      <c r="G12" s="1148"/>
      <c r="H12" s="1148"/>
      <c r="I12" s="1148"/>
      <c r="J12" s="1148"/>
      <c r="K12" s="1148"/>
      <c r="L12" s="1149"/>
    </row>
    <row r="13" spans="2:12" s="1376" customFormat="1" ht="18.600000000000001">
      <c r="B13" s="1150"/>
      <c r="C13" s="2019" t="s">
        <v>717</v>
      </c>
      <c r="D13" s="2019"/>
      <c r="E13" s="2019"/>
      <c r="F13" s="2019"/>
      <c r="G13" s="2019"/>
      <c r="H13" s="2019"/>
      <c r="I13" s="2019"/>
      <c r="J13" s="2019"/>
      <c r="K13" s="1953"/>
      <c r="L13" s="1151"/>
    </row>
    <row r="14" spans="2:12" s="1376" customFormat="1" ht="7.5" customHeight="1">
      <c r="B14" s="1150"/>
      <c r="C14" s="1953"/>
      <c r="D14" s="1953"/>
      <c r="E14" s="1152"/>
      <c r="F14" s="1152"/>
      <c r="G14" s="1152"/>
      <c r="H14" s="1152"/>
      <c r="I14" s="1152"/>
      <c r="J14" s="1152"/>
      <c r="K14" s="1953"/>
      <c r="L14" s="1151"/>
    </row>
    <row r="15" spans="2:12" s="1376" customFormat="1">
      <c r="B15" s="1150"/>
      <c r="C15" s="1153"/>
      <c r="D15" s="2369"/>
      <c r="E15" s="2369"/>
      <c r="F15" s="2369"/>
      <c r="G15" s="2369"/>
      <c r="H15" s="2369"/>
      <c r="I15" s="2369"/>
      <c r="J15" s="2369"/>
      <c r="K15" s="1953"/>
      <c r="L15" s="1151"/>
    </row>
    <row r="16" spans="2:12" s="1376" customFormat="1" ht="3.75" customHeight="1">
      <c r="B16" s="1150"/>
      <c r="C16" s="1153"/>
      <c r="D16" s="1953"/>
      <c r="E16" s="1953"/>
      <c r="F16" s="1953"/>
      <c r="G16" s="1953"/>
      <c r="H16" s="1953"/>
      <c r="I16" s="1953"/>
      <c r="J16" s="1953"/>
      <c r="K16" s="1953"/>
      <c r="L16" s="1151"/>
    </row>
    <row r="17" spans="2:16" s="1376" customFormat="1">
      <c r="B17" s="1150"/>
      <c r="C17" s="1153"/>
      <c r="D17" s="1953"/>
      <c r="E17" s="1953"/>
      <c r="F17" s="1953"/>
      <c r="G17" s="1953"/>
      <c r="H17" s="1953"/>
      <c r="I17" s="1953"/>
      <c r="J17" s="1953"/>
      <c r="K17" s="425"/>
      <c r="L17" s="482"/>
      <c r="M17" s="1377"/>
      <c r="N17" s="1377"/>
      <c r="O17" s="1377"/>
      <c r="P17" s="1377"/>
    </row>
    <row r="18" spans="2:16" ht="15.6">
      <c r="B18" s="1150"/>
      <c r="C18" s="1153"/>
      <c r="D18" s="1953"/>
      <c r="E18" s="1154"/>
      <c r="F18" s="2020" t="str">
        <f>IF('1'!G5="","Enter Project Name on Form 1",(CONCATENATE("Project Name: ",'1'!G5)))</f>
        <v>Project Name: DESC 22nd Avenue PSH</v>
      </c>
      <c r="G18" s="2020"/>
      <c r="H18" s="2020"/>
      <c r="I18" s="2020"/>
      <c r="J18" s="1146"/>
      <c r="K18" s="362"/>
      <c r="L18" s="159"/>
    </row>
    <row r="19" spans="2:16" ht="7.5" customHeight="1">
      <c r="B19" s="1150"/>
      <c r="C19" s="1153"/>
      <c r="D19" s="1953"/>
      <c r="E19" s="1146"/>
      <c r="F19" s="1146"/>
      <c r="G19" s="1146"/>
      <c r="H19" s="362"/>
      <c r="I19" s="1146"/>
      <c r="J19" s="362"/>
      <c r="K19" s="362"/>
      <c r="L19" s="159"/>
    </row>
    <row r="20" spans="2:16" ht="7.5" customHeight="1">
      <c r="B20" s="1150"/>
      <c r="C20" s="1153"/>
      <c r="D20" s="1953"/>
      <c r="E20" s="1146"/>
      <c r="F20" s="1146"/>
      <c r="G20" s="1146"/>
      <c r="H20" s="1973"/>
      <c r="I20" s="1156"/>
      <c r="J20" s="1155"/>
      <c r="K20" s="362"/>
      <c r="L20" s="159"/>
    </row>
    <row r="21" spans="2:16">
      <c r="B21" s="1150"/>
      <c r="C21" s="1153"/>
      <c r="D21" s="1953"/>
      <c r="E21" s="17" t="s">
        <v>718</v>
      </c>
      <c r="F21" s="2021" t="s">
        <v>139</v>
      </c>
      <c r="G21" s="2022"/>
      <c r="H21" s="1973"/>
      <c r="I21" s="1156"/>
      <c r="J21" s="1155"/>
      <c r="K21" s="362"/>
      <c r="L21" s="159"/>
    </row>
    <row r="22" spans="2:16" ht="3.75" customHeight="1">
      <c r="B22" s="1150"/>
      <c r="C22" s="1153"/>
      <c r="D22" s="1953"/>
      <c r="E22" s="362"/>
      <c r="F22" s="362"/>
      <c r="G22" s="175"/>
      <c r="H22" s="1973"/>
      <c r="I22" s="1973"/>
      <c r="J22" s="1973"/>
      <c r="K22" s="362"/>
      <c r="L22" s="159"/>
    </row>
    <row r="23" spans="2:16">
      <c r="B23" s="1150"/>
      <c r="C23" s="1153"/>
      <c r="D23" s="1953"/>
      <c r="E23" s="17" t="s">
        <v>719</v>
      </c>
      <c r="F23" s="2021" t="s">
        <v>87</v>
      </c>
      <c r="G23" s="2022"/>
      <c r="H23" s="1973"/>
      <c r="I23" s="1156"/>
      <c r="J23" s="1155"/>
      <c r="K23" s="362"/>
      <c r="L23" s="159"/>
    </row>
    <row r="24" spans="2:16">
      <c r="B24" s="1150"/>
      <c r="C24" s="1153"/>
      <c r="D24" s="1953"/>
      <c r="E24" s="362"/>
      <c r="F24" s="362"/>
      <c r="G24" s="175"/>
      <c r="H24" s="362"/>
      <c r="I24" s="1156"/>
      <c r="J24" s="1155"/>
      <c r="K24" s="362"/>
      <c r="L24" s="159"/>
    </row>
    <row r="25" spans="2:16">
      <c r="B25" s="1150"/>
      <c r="C25" s="1153"/>
      <c r="D25" s="1953"/>
      <c r="E25" s="1157" t="s">
        <v>720</v>
      </c>
      <c r="F25" s="1157"/>
      <c r="G25" s="1157"/>
      <c r="H25" s="1157"/>
      <c r="I25" s="1146"/>
      <c r="J25" s="1146"/>
      <c r="K25" s="1953"/>
      <c r="L25" s="1151"/>
    </row>
    <row r="26" spans="2:16">
      <c r="B26" s="1150"/>
      <c r="C26" s="1153"/>
      <c r="D26" s="1953"/>
      <c r="E26" s="1158" t="s">
        <v>721</v>
      </c>
      <c r="F26" s="1159" t="s">
        <v>722</v>
      </c>
      <c r="G26" s="1160"/>
      <c r="H26" s="1160"/>
      <c r="I26" s="1161" t="s">
        <v>723</v>
      </c>
      <c r="J26" s="1162" t="s">
        <v>724</v>
      </c>
      <c r="K26" s="1953"/>
      <c r="L26" s="1151"/>
      <c r="P26" s="1378"/>
    </row>
    <row r="27" spans="2:16">
      <c r="B27" s="1150"/>
      <c r="C27" s="1153"/>
      <c r="D27" s="1953"/>
      <c r="E27" s="1163" t="s">
        <v>138</v>
      </c>
      <c r="F27" s="2370" t="s">
        <v>725</v>
      </c>
      <c r="G27" s="2371"/>
      <c r="H27" s="2372"/>
      <c r="I27" s="1164" t="str">
        <f t="array" ref="I27">IFERROR(INDEX('ESDS-Reference Table'!G1:G493,MATCH(1,('ESDS-Reference Table'!F1:F493=E27)*('ESDS-Reference Table'!H1:H493=F21)*('ESDS-Reference Table'!I1:I493=F23),0)),"Select Region and Activity")</f>
        <v>Mandatory</v>
      </c>
      <c r="J27" s="1165" t="s">
        <v>726</v>
      </c>
      <c r="K27" s="1953">
        <f>N(J27)</f>
        <v>0</v>
      </c>
      <c r="L27" s="1151"/>
      <c r="N27" s="336"/>
    </row>
    <row r="28" spans="2:16">
      <c r="B28" s="1150"/>
      <c r="C28" s="1153"/>
      <c r="D28" s="1953"/>
      <c r="E28" s="1166" t="s">
        <v>142</v>
      </c>
      <c r="F28" s="2373" t="s">
        <v>727</v>
      </c>
      <c r="G28" s="2374"/>
      <c r="H28" s="2375"/>
      <c r="I28" s="1167" t="str">
        <f t="array" ref="I28">IFERROR(INDEX('ESDS-Reference Table'!G1:G493,MATCH(1,('ESDS-Reference Table'!F1:F493=E28)*('ESDS-Reference Table'!H1:H493=F21)*('ESDS-Reference Table'!I1:I493=F23),0)),"Select Region and Activity")</f>
        <v>0,2,4,6,8 or 10</v>
      </c>
      <c r="J28" s="1165">
        <v>0</v>
      </c>
      <c r="K28" s="1953"/>
      <c r="L28" s="1151"/>
      <c r="N28" s="336"/>
    </row>
    <row r="29" spans="2:16">
      <c r="B29" s="1150"/>
      <c r="C29" s="1153"/>
      <c r="D29" s="1953"/>
      <c r="E29" s="1168">
        <v>1.2</v>
      </c>
      <c r="F29" s="2376" t="s">
        <v>728</v>
      </c>
      <c r="G29" s="2377"/>
      <c r="H29" s="2378"/>
      <c r="I29" s="1169" t="str">
        <f t="array" ref="I29">IFERROR(INDEX('ESDS-Reference Table'!G1:G493,MATCH(1,('ESDS-Reference Table'!F1:F493=E29)*('ESDS-Reference Table'!H1:H493=F21)*('ESDS-Reference Table'!I1:I493=F23),0)),"Select Region and Activity")</f>
        <v>up to 3</v>
      </c>
      <c r="J29" s="1165">
        <v>1</v>
      </c>
      <c r="K29" s="1953">
        <f>N(J29)</f>
        <v>1</v>
      </c>
      <c r="L29" s="1151"/>
    </row>
    <row r="30" spans="2:16">
      <c r="B30" s="1150"/>
      <c r="C30" s="1153"/>
      <c r="D30" s="1953"/>
      <c r="E30" s="1170" t="s">
        <v>148</v>
      </c>
      <c r="F30" s="2373" t="s">
        <v>729</v>
      </c>
      <c r="G30" s="2374"/>
      <c r="H30" s="2375"/>
      <c r="I30" s="1169" t="str">
        <f t="array" ref="I30">IFERROR(INDEX('ESDS-Reference Table'!G1:G493,MATCH(1,('ESDS-Reference Table'!F1:F493=E30)*('ESDS-Reference Table'!H1:H493=F21)*('ESDS-Reference Table'!I1:I493=F23),0)),"Select Region and Activity")</f>
        <v>Mandatory</v>
      </c>
      <c r="J30" s="1165" t="s">
        <v>726</v>
      </c>
      <c r="K30" s="1953"/>
      <c r="L30" s="1151"/>
    </row>
    <row r="31" spans="2:16">
      <c r="B31" s="1150"/>
      <c r="C31" s="1153"/>
      <c r="D31" s="1953"/>
      <c r="E31" s="1168" t="s">
        <v>149</v>
      </c>
      <c r="F31" s="2379" t="s">
        <v>730</v>
      </c>
      <c r="G31" s="2377"/>
      <c r="H31" s="2378"/>
      <c r="I31" s="1169" t="str">
        <f t="array" ref="I31">IFERROR(INDEX('ESDS-Reference Table'!G1:G493,MATCH(1,('ESDS-Reference Table'!F1:F493=E31)*('ESDS-Reference Table'!H1:H493=F21)*('ESDS-Reference Table'!I1:I493=F23),0)),"Select Region and Activity")</f>
        <v>up to 12 (2 point increments)</v>
      </c>
      <c r="J31" s="1165">
        <v>2</v>
      </c>
      <c r="K31" s="1953"/>
      <c r="L31" s="1151"/>
    </row>
    <row r="32" spans="2:16">
      <c r="B32" s="1150"/>
      <c r="C32" s="1153"/>
      <c r="D32" s="1953"/>
      <c r="E32" s="1168">
        <v>1.4</v>
      </c>
      <c r="F32" s="2380" t="s">
        <v>731</v>
      </c>
      <c r="G32" s="2381"/>
      <c r="H32" s="2382"/>
      <c r="I32" s="1169" t="str">
        <f t="array" ref="I32">IFERROR(INDEX('ESDS-Reference Table'!G1:G493,MATCH(1,('ESDS-Reference Table'!F1:F493=E32)*('ESDS-Reference Table'!H1:H493=F21)*('ESDS-Reference Table'!I1:I493=F23),0)),"Select Region and Activity")</f>
        <v>0,3 or 6</v>
      </c>
      <c r="J32" s="1165">
        <v>3</v>
      </c>
      <c r="K32" s="1953"/>
      <c r="L32" s="1151"/>
    </row>
    <row r="33" spans="2:15">
      <c r="B33" s="1150"/>
      <c r="C33" s="1153"/>
      <c r="D33" s="1953"/>
      <c r="E33" s="1171" t="s">
        <v>732</v>
      </c>
      <c r="F33" s="1172"/>
      <c r="G33" s="1173"/>
      <c r="H33" s="1173"/>
      <c r="I33" s="1174" t="s">
        <v>733</v>
      </c>
      <c r="J33" s="1175">
        <f>SUM(J27:J32)</f>
        <v>6</v>
      </c>
      <c r="K33" s="1953"/>
      <c r="L33" s="1151"/>
    </row>
    <row r="34" spans="2:15" s="1376" customFormat="1" ht="7.5" customHeight="1">
      <c r="B34" s="1150"/>
      <c r="C34" s="1153"/>
      <c r="D34" s="1953"/>
      <c r="E34" s="1176"/>
      <c r="F34" s="1176"/>
      <c r="G34" s="1176"/>
      <c r="H34" s="1176"/>
      <c r="I34" s="1177"/>
      <c r="J34" s="1178"/>
      <c r="K34" s="1953"/>
      <c r="L34" s="1151"/>
      <c r="O34" s="1375"/>
    </row>
    <row r="35" spans="2:15" s="1376" customFormat="1">
      <c r="B35" s="1150"/>
      <c r="C35" s="1153"/>
      <c r="D35" s="1953"/>
      <c r="E35" s="1179" t="s">
        <v>734</v>
      </c>
      <c r="F35" s="1179"/>
      <c r="G35" s="1179"/>
      <c r="H35" s="1179"/>
      <c r="I35" s="1177"/>
      <c r="J35" s="1953"/>
      <c r="K35" s="1953"/>
      <c r="L35" s="1151"/>
      <c r="O35" s="1375"/>
    </row>
    <row r="36" spans="2:15">
      <c r="B36" s="1150"/>
      <c r="C36" s="1153"/>
      <c r="D36" s="1953"/>
      <c r="E36" s="1158" t="s">
        <v>721</v>
      </c>
      <c r="F36" s="1159" t="s">
        <v>722</v>
      </c>
      <c r="G36" s="1160"/>
      <c r="H36" s="1160"/>
      <c r="I36" s="1161" t="s">
        <v>723</v>
      </c>
      <c r="J36" s="1162" t="s">
        <v>724</v>
      </c>
      <c r="K36" s="1953"/>
      <c r="L36" s="1151"/>
    </row>
    <row r="37" spans="2:15">
      <c r="B37" s="1150"/>
      <c r="C37" s="1153"/>
      <c r="D37" s="1953"/>
      <c r="E37" s="1180">
        <v>2.1</v>
      </c>
      <c r="F37" s="2383" t="s">
        <v>735</v>
      </c>
      <c r="G37" s="2384"/>
      <c r="H37" s="2385"/>
      <c r="I37" s="321" t="str">
        <f t="array" ref="I37">IFERROR(INDEX('ESDS-Reference Table'!G1:G493,MATCH(1,('ESDS-Reference Table'!F1:F493=E37)*('ESDS-Reference Table'!H1:H493=F21)*('ESDS-Reference Table'!I1:I493=F23),0)),"Select Region and Activity")</f>
        <v>Mandatory</v>
      </c>
      <c r="J37" s="1165" t="s">
        <v>726</v>
      </c>
      <c r="K37" s="1953">
        <f t="shared" ref="K37:K47" si="0">N(J37)</f>
        <v>0</v>
      </c>
      <c r="L37" s="1151"/>
    </row>
    <row r="38" spans="2:15">
      <c r="B38" s="1150"/>
      <c r="C38" s="1153"/>
      <c r="D38" s="1953"/>
      <c r="E38" s="1181">
        <v>2.2000000000000002</v>
      </c>
      <c r="F38" s="2386" t="s">
        <v>736</v>
      </c>
      <c r="G38" s="2030"/>
      <c r="H38" s="2387"/>
      <c r="I38" s="1182" t="str">
        <f t="array" ref="I38">IFERROR(INDEX('ESDS-Reference Table'!G1:G493,MATCH(1,('ESDS-Reference Table'!F1:F493=E38)*('ESDS-Reference Table'!H1:H493=F21)*('ESDS-Reference Table'!I1:I493=F23),0)),"Select Region and Activity")</f>
        <v>Mandatory</v>
      </c>
      <c r="J38" s="1165" t="s">
        <v>726</v>
      </c>
      <c r="K38" s="1953">
        <f t="shared" si="0"/>
        <v>0</v>
      </c>
      <c r="L38" s="1183"/>
      <c r="N38" s="336"/>
    </row>
    <row r="39" spans="2:15">
      <c r="B39" s="1150"/>
      <c r="C39" s="1153"/>
      <c r="D39" s="1953"/>
      <c r="E39" s="1181">
        <v>2.2999999999999998</v>
      </c>
      <c r="F39" s="2386" t="s">
        <v>737</v>
      </c>
      <c r="G39" s="2030"/>
      <c r="H39" s="2387"/>
      <c r="I39" s="1182" t="str">
        <f t="array" ref="I39">IFERROR(INDEX('ESDS-Reference Table'!G1:G493,MATCH(1,('ESDS-Reference Table'!F1:F493=E39)*('ESDS-Reference Table'!H1:H493=F21)*('ESDS-Reference Table'!I1:I493=F23),0)),"Select Region and Activity")</f>
        <v>Mandatory</v>
      </c>
      <c r="J39" s="1165" t="s">
        <v>726</v>
      </c>
      <c r="K39" s="1953">
        <f t="shared" si="0"/>
        <v>0</v>
      </c>
      <c r="L39" s="1151"/>
    </row>
    <row r="40" spans="2:15">
      <c r="B40" s="1150"/>
      <c r="C40" s="1153"/>
      <c r="D40" s="1953"/>
      <c r="E40" s="1181">
        <v>2.4</v>
      </c>
      <c r="F40" s="2386" t="s">
        <v>738</v>
      </c>
      <c r="G40" s="2030"/>
      <c r="H40" s="2387"/>
      <c r="I40" s="1182" t="str">
        <f t="array" ref="I40">IFERROR(INDEX('ESDS-Reference Table'!G1:G493,MATCH(1,('ESDS-Reference Table'!F1:F493=E40)*('ESDS-Reference Table'!H1:H493=F21)*('ESDS-Reference Table'!I1:I493=F23),0)),"Select Region and Activity")</f>
        <v>0 or 5</v>
      </c>
      <c r="J40" s="1165">
        <v>5</v>
      </c>
      <c r="K40" s="1953">
        <f t="shared" si="0"/>
        <v>5</v>
      </c>
      <c r="L40" s="1151"/>
      <c r="N40" s="336"/>
    </row>
    <row r="41" spans="2:15" ht="15" customHeight="1">
      <c r="B41" s="1150"/>
      <c r="C41" s="1153"/>
      <c r="D41" s="1953"/>
      <c r="E41" s="1181">
        <v>2.5</v>
      </c>
      <c r="F41" s="2386" t="s">
        <v>739</v>
      </c>
      <c r="G41" s="2030"/>
      <c r="H41" s="2387"/>
      <c r="I41" s="1182" t="str">
        <f t="array" ref="I41">IFERROR(INDEX('ESDS-Reference Table'!G1:G493,MATCH(1,('ESDS-Reference Table'!F1:F493=E41)*('ESDS-Reference Table'!H1:H493=F21)*('ESDS-Reference Table'!I1:I493=F23),0)),"Select Region and Activity")</f>
        <v xml:space="preserve">Mandatory, +5 </v>
      </c>
      <c r="J41" s="1165">
        <v>5</v>
      </c>
      <c r="K41" s="1953">
        <f t="shared" si="0"/>
        <v>5</v>
      </c>
      <c r="L41" s="1151"/>
    </row>
    <row r="42" spans="2:15">
      <c r="B42" s="1150"/>
      <c r="C42" s="1153"/>
      <c r="D42" s="1953"/>
      <c r="E42" s="1181">
        <v>2.6</v>
      </c>
      <c r="F42" s="2386" t="s">
        <v>740</v>
      </c>
      <c r="G42" s="2030"/>
      <c r="H42" s="2387"/>
      <c r="I42" s="1182" t="str">
        <f t="array" ref="I42">IFERROR(INDEX('ESDS-Reference Table'!G1:G493,MATCH(1,('ESDS-Reference Table'!F1:F493=E42)*('ESDS-Reference Table'!H1:H493=F21)*('ESDS-Reference Table'!I1:I493=F23),0)),"Select Region and Activity")</f>
        <v>Mandatory</v>
      </c>
      <c r="J42" s="1165" t="s">
        <v>726</v>
      </c>
      <c r="K42" s="1953">
        <f t="shared" si="0"/>
        <v>0</v>
      </c>
      <c r="L42" s="1151"/>
    </row>
    <row r="43" spans="2:15">
      <c r="B43" s="1150"/>
      <c r="C43" s="1153"/>
      <c r="D43" s="1953"/>
      <c r="E43" s="1184" t="s">
        <v>166</v>
      </c>
      <c r="F43" s="2386" t="s">
        <v>741</v>
      </c>
      <c r="G43" s="2030"/>
      <c r="H43" s="2387"/>
      <c r="I43" s="1182" t="str">
        <f t="array" ref="I43">IFERROR(INDEX('ESDS-Reference Table'!G1:G493,MATCH(1,('ESDS-Reference Table'!F1:F493=E43)*('ESDS-Reference Table'!H1:H493=F21)*('ESDS-Reference Table'!I1:I493=F23),0)),"Select Region and Activity")</f>
        <v>Mandatory</v>
      </c>
      <c r="J43" s="1165" t="s">
        <v>726</v>
      </c>
      <c r="K43" s="1953">
        <f t="shared" si="0"/>
        <v>0</v>
      </c>
      <c r="L43" s="1151"/>
      <c r="N43" s="336"/>
    </row>
    <row r="44" spans="2:15" s="1379" customFormat="1">
      <c r="B44" s="1185"/>
      <c r="C44" s="1153"/>
      <c r="D44" s="370"/>
      <c r="E44" s="1184" t="s">
        <v>168</v>
      </c>
      <c r="F44" s="2023" t="s">
        <v>742</v>
      </c>
      <c r="G44" s="2024"/>
      <c r="H44" s="2025"/>
      <c r="I44" s="1182" t="str">
        <f t="array" ref="I44">IFERROR(INDEX('ESDS-Reference Table'!G1:G493,MATCH(1,('ESDS-Reference Table'!F1:F493=E44)*('ESDS-Reference Table'!H1:H493=F21)*('ESDS-Reference Table'!I1:I493=F23),0)),"Select Region and Activity")</f>
        <v>0,3 or 5 -Tribal Only</v>
      </c>
      <c r="J44" s="1165" t="s">
        <v>57</v>
      </c>
      <c r="K44" s="1953">
        <f t="shared" si="0"/>
        <v>0</v>
      </c>
      <c r="L44" s="1186"/>
      <c r="N44" s="336"/>
    </row>
    <row r="45" spans="2:15">
      <c r="B45" s="1150"/>
      <c r="C45" s="1153"/>
      <c r="D45" s="1953"/>
      <c r="E45" s="1181">
        <v>2.8</v>
      </c>
      <c r="F45" s="2386" t="s">
        <v>743</v>
      </c>
      <c r="G45" s="2030"/>
      <c r="H45" s="2387"/>
      <c r="I45" s="1182" t="str">
        <f t="array" ref="I45">IFERROR(INDEX('ESDS-Reference Table'!G1:G493,MATCH(1,('ESDS-Reference Table'!F1:F493=E45)*('ESDS-Reference Table'!H1:H493=F21)*('ESDS-Reference Table'!I1:I493=F23),0)),"Select Region and Activity")</f>
        <v>0 or 2</v>
      </c>
      <c r="J45" s="1165">
        <v>2</v>
      </c>
      <c r="K45" s="1953">
        <f t="shared" si="0"/>
        <v>2</v>
      </c>
      <c r="L45" s="1151"/>
    </row>
    <row r="46" spans="2:15">
      <c r="B46" s="1150"/>
      <c r="C46" s="1153"/>
      <c r="D46" s="1953"/>
      <c r="E46" s="1181">
        <v>2.9</v>
      </c>
      <c r="F46" s="2386" t="s">
        <v>744</v>
      </c>
      <c r="G46" s="2030"/>
      <c r="H46" s="2387"/>
      <c r="I46" s="1182" t="str">
        <f t="array" ref="I46">IFERROR(INDEX('ESDS-Reference Table'!G1:G493,MATCH(1,('ESDS-Reference Table'!F1:F493=E46)*('ESDS-Reference Table'!H1:H493=F21)*('ESDS-Reference Table'!I1:I493=F23),0)),"Select Region and Activity")</f>
        <v>0 or 5</v>
      </c>
      <c r="J46" s="1165">
        <v>5</v>
      </c>
      <c r="K46" s="1953">
        <f t="shared" si="0"/>
        <v>5</v>
      </c>
      <c r="L46" s="1151"/>
    </row>
    <row r="47" spans="2:15">
      <c r="B47" s="1150"/>
      <c r="C47" s="1153"/>
      <c r="D47" s="1953"/>
      <c r="E47" s="1187" t="s">
        <v>165</v>
      </c>
      <c r="F47" s="2388" t="s">
        <v>745</v>
      </c>
      <c r="G47" s="2389"/>
      <c r="H47" s="2390"/>
      <c r="I47" s="321" t="str">
        <f t="array" ref="I47">IFERROR(INDEX('ESDS-Reference Table'!G1:G493,MATCH(1,('ESDS-Reference Table'!F1:F493=E47)*('ESDS-Reference Table'!H1:H493=F21)*('ESDS-Reference Table'!I1:I493=F23),0)),"Select Region and Activity")</f>
        <v>0 or 3</v>
      </c>
      <c r="J47" s="1165">
        <v>0</v>
      </c>
      <c r="K47" s="1953">
        <f t="shared" si="0"/>
        <v>0</v>
      </c>
      <c r="L47" s="1151"/>
    </row>
    <row r="48" spans="2:15">
      <c r="B48" s="1150"/>
      <c r="C48" s="1153"/>
      <c r="D48" s="1953"/>
      <c r="E48" s="1171" t="s">
        <v>732</v>
      </c>
      <c r="F48" s="1172"/>
      <c r="G48" s="1173"/>
      <c r="H48" s="1173"/>
      <c r="I48" s="1174" t="s">
        <v>746</v>
      </c>
      <c r="J48" s="1175">
        <f>SUM(J37:J47)</f>
        <v>17</v>
      </c>
      <c r="K48" s="1953"/>
      <c r="L48" s="1151"/>
    </row>
    <row r="49" spans="1:15" s="1376" customFormat="1" ht="7.5" customHeight="1">
      <c r="B49" s="1150"/>
      <c r="C49" s="1153"/>
      <c r="D49" s="1953"/>
      <c r="E49" s="1176"/>
      <c r="F49" s="1178"/>
      <c r="G49" s="1176"/>
      <c r="H49" s="1176"/>
      <c r="I49" s="1177"/>
      <c r="J49" s="1178"/>
      <c r="K49" s="1953"/>
      <c r="L49" s="1151"/>
      <c r="O49" s="1375"/>
    </row>
    <row r="50" spans="1:15" s="1376" customFormat="1">
      <c r="B50" s="1150"/>
      <c r="C50" s="1153"/>
      <c r="D50" s="1953"/>
      <c r="E50" s="1179" t="s">
        <v>747</v>
      </c>
      <c r="F50" s="1953"/>
      <c r="G50" s="1179"/>
      <c r="H50" s="1179"/>
      <c r="I50" s="1177"/>
      <c r="J50" s="1953"/>
      <c r="K50" s="1953"/>
      <c r="L50" s="1151"/>
      <c r="O50" s="1375"/>
    </row>
    <row r="51" spans="1:15">
      <c r="B51" s="1150"/>
      <c r="C51" s="1153"/>
      <c r="D51" s="1953"/>
      <c r="E51" s="1158" t="s">
        <v>721</v>
      </c>
      <c r="F51" s="1159" t="s">
        <v>722</v>
      </c>
      <c r="G51" s="1160"/>
      <c r="H51" s="1160"/>
      <c r="I51" s="1161" t="s">
        <v>723</v>
      </c>
      <c r="J51" s="1162" t="s">
        <v>724</v>
      </c>
      <c r="K51" s="1953"/>
      <c r="L51" s="1151"/>
    </row>
    <row r="52" spans="1:15">
      <c r="B52" s="1150"/>
      <c r="C52" s="1153"/>
      <c r="D52" s="1953"/>
      <c r="E52" s="1188">
        <v>3.1</v>
      </c>
      <c r="F52" s="2391" t="s">
        <v>748</v>
      </c>
      <c r="G52" s="2384"/>
      <c r="H52" s="2385"/>
      <c r="I52" s="1189" t="str">
        <f t="array" ref="I52">IFERROR(INDEX('ESDS-Reference Table'!G1:G493,MATCH(1,('ESDS-Reference Table'!F1:F493=E52)*('ESDS-Reference Table'!H1:H493=F21)*('ESDS-Reference Table'!I1:I493=F23),0)),"Select Region and Activity")</f>
        <v>Mandatory</v>
      </c>
      <c r="J52" s="1165" t="s">
        <v>726</v>
      </c>
      <c r="K52" s="1953">
        <f t="shared" ref="K52:K59" si="1">N(J52)</f>
        <v>0</v>
      </c>
      <c r="L52" s="1151"/>
    </row>
    <row r="53" spans="1:15">
      <c r="B53" s="1150"/>
      <c r="C53" s="1153"/>
      <c r="D53" s="1953"/>
      <c r="E53" s="1190">
        <v>3.2</v>
      </c>
      <c r="F53" s="2392" t="s">
        <v>749</v>
      </c>
      <c r="G53" s="2030"/>
      <c r="H53" s="2387"/>
      <c r="I53" s="1169" t="str">
        <f t="array" ref="I53">IFERROR(INDEX('ESDS-Reference Table'!G1:G493,MATCH(1,('ESDS-Reference Table'!F1:F493=E53)*('ESDS-Reference Table'!H1:H493=F21)*('ESDS-Reference Table'!I1:I493=F23),0)),"Select Region and Activity")</f>
        <v>Mandatory</v>
      </c>
      <c r="J53" s="1165" t="s">
        <v>726</v>
      </c>
      <c r="K53" s="1953">
        <f t="shared" si="1"/>
        <v>0</v>
      </c>
      <c r="L53" s="1151"/>
    </row>
    <row r="54" spans="1:15" ht="15" customHeight="1">
      <c r="B54" s="1150"/>
      <c r="C54" s="1153"/>
      <c r="D54" s="1953"/>
      <c r="E54" s="1181" t="s">
        <v>173</v>
      </c>
      <c r="F54" s="2392" t="s">
        <v>750</v>
      </c>
      <c r="G54" s="2030"/>
      <c r="H54" s="2387"/>
      <c r="I54" s="1169" t="str">
        <f t="array" ref="I54">IFERROR(INDEX('ESDS-Reference Table'!G1:G493,MATCH(1,('ESDS-Reference Table'!F1:F493=E54)*('ESDS-Reference Table'!H1:H493=F21)*('ESDS-Reference Table'!I1:I493=F23),0)),"Select Region and Activity")</f>
        <v>Mandatory, if providing Landscaping</v>
      </c>
      <c r="J54" s="1165" t="s">
        <v>726</v>
      </c>
      <c r="K54" s="1953">
        <f t="shared" si="1"/>
        <v>0</v>
      </c>
      <c r="L54" s="1151"/>
    </row>
    <row r="55" spans="1:15">
      <c r="B55" s="1150"/>
      <c r="C55" s="1153"/>
      <c r="D55" s="1953"/>
      <c r="E55" s="1181" t="s">
        <v>175</v>
      </c>
      <c r="F55" s="2392" t="s">
        <v>750</v>
      </c>
      <c r="G55" s="2030"/>
      <c r="H55" s="2387"/>
      <c r="I55" s="1169" t="str">
        <f t="array" ref="I55">IFERROR(INDEX('ESDS-Reference Table'!G1:G493,MATCH(1,('ESDS-Reference Table'!F1:F493=E55)*('ESDS-Reference Table'!H1:H493=F21)*('ESDS-Reference Table'!I1:I493=F23),0)),"Select Region and Activity")</f>
        <v>0 or 5</v>
      </c>
      <c r="J55" s="1165">
        <v>5</v>
      </c>
      <c r="K55" s="1953">
        <f t="shared" si="1"/>
        <v>5</v>
      </c>
      <c r="L55" s="1151"/>
    </row>
    <row r="56" spans="1:15">
      <c r="B56" s="1150"/>
      <c r="C56" s="1153"/>
      <c r="D56" s="1953"/>
      <c r="E56" s="1181" t="s">
        <v>177</v>
      </c>
      <c r="F56" s="2392" t="s">
        <v>751</v>
      </c>
      <c r="G56" s="2030"/>
      <c r="H56" s="2387"/>
      <c r="I56" s="1169" t="str">
        <f t="array" ref="I56">IFERROR(INDEX('ESDS-Reference Table'!G1:G493,MATCH(1,('ESDS-Reference Table'!F1:F493=E56)*('ESDS-Reference Table'!H1:H493=F21)*('ESDS-Reference Table'!I1:I493=F23),0)),"Select Region and Activity")</f>
        <v>up to 5</v>
      </c>
      <c r="J56" s="1165">
        <v>0</v>
      </c>
      <c r="K56" s="1953">
        <f t="shared" si="1"/>
        <v>0</v>
      </c>
      <c r="L56" s="1151"/>
    </row>
    <row r="57" spans="1:15" ht="15" customHeight="1">
      <c r="B57" s="1150"/>
      <c r="C57" s="1153"/>
      <c r="D57" s="1953"/>
      <c r="E57" s="1190">
        <v>3.4</v>
      </c>
      <c r="F57" s="2392" t="s">
        <v>752</v>
      </c>
      <c r="G57" s="2030"/>
      <c r="H57" s="2387"/>
      <c r="I57" s="1169" t="str">
        <f t="array" ref="I57">IFERROR(INDEX('ESDS-Reference Table'!G1:G493,MATCH(1,('ESDS-Reference Table'!F1:F493=E57)*('ESDS-Reference Table'!H1:H493=F21)*('ESDS-Reference Table'!I1:I493=F23),0)),"Select Region and Activity")</f>
        <v>Mandatory, if installing irrigation</v>
      </c>
      <c r="J57" s="1165" t="s">
        <v>726</v>
      </c>
      <c r="K57" s="1953">
        <f t="shared" si="1"/>
        <v>0</v>
      </c>
      <c r="L57" s="1151"/>
    </row>
    <row r="58" spans="1:15">
      <c r="B58" s="1150"/>
      <c r="C58" s="1153"/>
      <c r="D58" s="1953"/>
      <c r="E58" s="1190">
        <v>3.5</v>
      </c>
      <c r="F58" s="2392" t="s">
        <v>753</v>
      </c>
      <c r="G58" s="2030"/>
      <c r="H58" s="2387"/>
      <c r="I58" s="1169" t="str">
        <f t="array" ref="I58">IFERROR(INDEX('ESDS-Reference Table'!G1:G493,MATCH(1,('ESDS-Reference Table'!F1:F493=E58)*('ESDS-Reference Table'!H1:H493=F21)*('ESDS-Reference Table'!I1:I493=F23),0)),"Select Region and Activity")</f>
        <v>0,2,4 or 6</v>
      </c>
      <c r="J58" s="1165">
        <v>0</v>
      </c>
      <c r="K58" s="1953">
        <f t="shared" si="1"/>
        <v>0</v>
      </c>
      <c r="L58" s="1151"/>
    </row>
    <row r="59" spans="1:15">
      <c r="B59" s="1150"/>
      <c r="C59" s="1153"/>
      <c r="D59" s="1953"/>
      <c r="E59" s="1190">
        <v>3.6</v>
      </c>
      <c r="F59" s="2388" t="s">
        <v>754</v>
      </c>
      <c r="G59" s="2389"/>
      <c r="H59" s="2390"/>
      <c r="I59" s="1191" t="str">
        <f t="array" ref="I59">IFERROR(INDEX('ESDS-Reference Table'!G1:G493,MATCH(1,('ESDS-Reference Table'!F1:F493=E59)*('ESDS-Reference Table'!H1:H493=F21)*('ESDS-Reference Table'!I1:I493=F23),0)),"Select Region and Activity")</f>
        <v>Mandatory</v>
      </c>
      <c r="J59" s="1165" t="s">
        <v>726</v>
      </c>
      <c r="K59" s="1953">
        <f t="shared" si="1"/>
        <v>0</v>
      </c>
      <c r="L59" s="1151"/>
    </row>
    <row r="60" spans="1:15">
      <c r="A60" s="1376"/>
      <c r="B60" s="1150"/>
      <c r="C60" s="1153"/>
      <c r="D60" s="1953"/>
      <c r="E60" s="1171" t="s">
        <v>732</v>
      </c>
      <c r="F60" s="1172"/>
      <c r="G60" s="1173"/>
      <c r="H60" s="1173"/>
      <c r="I60" s="1174" t="s">
        <v>755</v>
      </c>
      <c r="J60" s="1175">
        <f>SUM(J52:J59)</f>
        <v>5</v>
      </c>
      <c r="K60" s="1953"/>
      <c r="L60" s="1151"/>
    </row>
    <row r="61" spans="1:15" ht="7.5" customHeight="1">
      <c r="A61" s="1376"/>
      <c r="B61" s="1150"/>
      <c r="C61" s="1153"/>
      <c r="D61" s="1953"/>
      <c r="E61" s="1176"/>
      <c r="F61" s="1178"/>
      <c r="G61" s="1176"/>
      <c r="H61" s="1176"/>
      <c r="I61" s="1177"/>
      <c r="J61" s="1178"/>
      <c r="K61" s="1953"/>
      <c r="L61" s="1151"/>
    </row>
    <row r="62" spans="1:15">
      <c r="A62" s="1376"/>
      <c r="B62" s="1150"/>
      <c r="C62" s="1153"/>
      <c r="D62" s="1953"/>
      <c r="E62" s="1179" t="s">
        <v>756</v>
      </c>
      <c r="F62" s="1953"/>
      <c r="G62" s="1179"/>
      <c r="H62" s="1179"/>
      <c r="I62" s="1177"/>
      <c r="J62" s="1953"/>
      <c r="K62" s="1953"/>
      <c r="L62" s="1151"/>
    </row>
    <row r="63" spans="1:15">
      <c r="A63" s="1376"/>
      <c r="B63" s="1150"/>
      <c r="C63" s="1153"/>
      <c r="D63" s="1953"/>
      <c r="E63" s="1192" t="s">
        <v>721</v>
      </c>
      <c r="F63" s="1193" t="s">
        <v>722</v>
      </c>
      <c r="G63" s="1194"/>
      <c r="H63" s="1194"/>
      <c r="I63" s="1195" t="s">
        <v>723</v>
      </c>
      <c r="J63" s="1196" t="s">
        <v>724</v>
      </c>
      <c r="K63" s="1953"/>
      <c r="L63" s="1151"/>
    </row>
    <row r="64" spans="1:15">
      <c r="A64" s="1376"/>
      <c r="B64" s="1150"/>
      <c r="C64" s="1153"/>
      <c r="D64" s="1953"/>
      <c r="E64" s="1197" t="s">
        <v>200</v>
      </c>
      <c r="F64" s="2393" t="s">
        <v>757</v>
      </c>
      <c r="G64" s="2371"/>
      <c r="H64" s="2372"/>
      <c r="I64" s="1198" t="str">
        <f t="array" ref="I64">IFERROR(INDEX('ESDS-Reference Table'!G1:G493,MATCH(1,('ESDS-Reference Table'!F1:F493=E64)*('ESDS-Reference Table'!H1:H493=F21)*('ESDS-Reference Table'!I1:I493=F23),0)),"Select Region and Activity")</f>
        <v>Mandatory</v>
      </c>
      <c r="J64" s="1165" t="s">
        <v>726</v>
      </c>
      <c r="K64" s="1953">
        <f>N(J64)</f>
        <v>0</v>
      </c>
      <c r="L64" s="1151"/>
    </row>
    <row r="65" spans="1:14">
      <c r="A65" s="1376"/>
      <c r="B65" s="1150"/>
      <c r="C65" s="1153"/>
      <c r="D65" s="1953"/>
      <c r="E65" s="1199" t="s">
        <v>203</v>
      </c>
      <c r="F65" s="1200" t="s">
        <v>758</v>
      </c>
      <c r="G65" s="1951"/>
      <c r="H65" s="1952"/>
      <c r="I65" s="1201" t="str">
        <f t="array" ref="I65">IFERROR(INDEX('ESDS-Reference Table'!G1:G493,MATCH(1,('ESDS-Reference Table'!F1:F493=E65)*('ESDS-Reference Table'!H1:H493=F21)*('ESDS-Reference Table'!I1:I493=F23),0)),"Select Region and Activity")</f>
        <v>up to 6, must also achieve 4.4</v>
      </c>
      <c r="J65" s="1165">
        <v>2</v>
      </c>
      <c r="K65" s="1953"/>
      <c r="L65" s="1151"/>
      <c r="N65" s="336"/>
    </row>
    <row r="66" spans="1:14">
      <c r="A66" s="1376"/>
      <c r="B66" s="1150"/>
      <c r="C66" s="1153"/>
      <c r="D66" s="1953"/>
      <c r="E66" s="1202">
        <v>4.2</v>
      </c>
      <c r="F66" s="2029" t="s">
        <v>759</v>
      </c>
      <c r="G66" s="2030"/>
      <c r="H66" s="2387"/>
      <c r="I66" s="1182" t="str">
        <f t="array" ref="I66">IFERROR(INDEX('ESDS-Reference Table'!G1:G493,MATCH(1,('ESDS-Reference Table'!F1:F493=E66)*('ESDS-Reference Table'!H1:H493=F21)*('ESDS-Reference Table'!I1:I493=F23),0)),"Select Region and Activity")</f>
        <v>0 or 2</v>
      </c>
      <c r="J66" s="1165">
        <v>0</v>
      </c>
      <c r="K66" s="1953">
        <f>N(J66)</f>
        <v>0</v>
      </c>
      <c r="L66" s="1151"/>
      <c r="N66" s="336"/>
    </row>
    <row r="67" spans="1:14">
      <c r="A67" s="1376"/>
      <c r="B67" s="1150"/>
      <c r="C67" s="1153"/>
      <c r="D67" s="1953"/>
      <c r="E67" s="1202">
        <v>4.3</v>
      </c>
      <c r="F67" s="2394" t="s">
        <v>760</v>
      </c>
      <c r="G67" s="2395"/>
      <c r="H67" s="2396"/>
      <c r="I67" s="1203" t="str">
        <f t="array" ref="I67">IFERROR(INDEX('ESDS-Reference Table'!G1:G493,MATCH(1,('ESDS-Reference Table'!F1:F493=E67)*('ESDS-Reference Table'!H1:H493=F21)*('ESDS-Reference Table'!I1:I493=F23),0)),"Select Region and Activity")</f>
        <v>0,1,2,4,6,8,10 or 12</v>
      </c>
      <c r="J67" s="1165">
        <v>0</v>
      </c>
      <c r="K67" s="1953">
        <f>N(J67)</f>
        <v>0</v>
      </c>
      <c r="L67" s="1151"/>
      <c r="N67" s="336"/>
    </row>
    <row r="68" spans="1:14">
      <c r="A68" s="1376"/>
      <c r="B68" s="1150"/>
      <c r="C68" s="1153"/>
      <c r="D68" s="1953"/>
      <c r="E68" s="1204">
        <v>4.4000000000000004</v>
      </c>
      <c r="F68" s="1205" t="s">
        <v>761</v>
      </c>
      <c r="G68" s="1206"/>
      <c r="H68" s="1206"/>
      <c r="I68" s="1207" t="str">
        <f t="array" ref="I68">IFERROR(INDEX('ESDS-Reference Table'!G1:G493,MATCH(1,('ESDS-Reference Table'!F1:F493=E68)*('ESDS-Reference Table'!H1:H493=F21)*('ESDS-Reference Table'!I1:I493=F23),0)),"Select Region and Activity")</f>
        <v>0 or 7</v>
      </c>
      <c r="J68" s="1165">
        <v>7</v>
      </c>
      <c r="K68" s="1953"/>
      <c r="L68" s="1151"/>
    </row>
    <row r="69" spans="1:14">
      <c r="A69" s="1376"/>
      <c r="B69" s="1208"/>
      <c r="C69" s="1153"/>
      <c r="D69" s="358"/>
      <c r="E69" s="1171" t="s">
        <v>732</v>
      </c>
      <c r="F69" s="1172"/>
      <c r="G69" s="1173"/>
      <c r="H69" s="1173"/>
      <c r="I69" s="1174" t="s">
        <v>762</v>
      </c>
      <c r="J69" s="1175">
        <f>SUM(J64:J68)</f>
        <v>9</v>
      </c>
      <c r="K69" s="1953"/>
      <c r="L69" s="1151"/>
    </row>
    <row r="70" spans="1:14" ht="7.5" customHeight="1" thickBot="1">
      <c r="A70" s="1376"/>
      <c r="B70" s="1209"/>
      <c r="C70" s="1210"/>
      <c r="D70" s="1210"/>
      <c r="E70" s="1211"/>
      <c r="F70" s="1212"/>
      <c r="G70" s="1211"/>
      <c r="H70" s="1211"/>
      <c r="I70" s="1213"/>
      <c r="J70" s="1212"/>
      <c r="K70" s="1214"/>
      <c r="L70" s="1215"/>
    </row>
    <row r="71" spans="1:14" ht="7.5" customHeight="1">
      <c r="A71" s="1376"/>
      <c r="B71" s="1216"/>
      <c r="C71" s="1217"/>
      <c r="D71" s="1217"/>
      <c r="E71" s="1218"/>
      <c r="F71" s="1148"/>
      <c r="G71" s="1218"/>
      <c r="H71" s="1218"/>
      <c r="I71" s="1219"/>
      <c r="J71" s="1148"/>
      <c r="K71" s="1148"/>
      <c r="L71" s="1149"/>
      <c r="M71" s="1376"/>
    </row>
    <row r="72" spans="1:14">
      <c r="A72" s="1376"/>
      <c r="B72" s="1208"/>
      <c r="C72" s="1153"/>
      <c r="D72" s="358"/>
      <c r="E72" s="1220" t="s">
        <v>763</v>
      </c>
      <c r="F72" s="1953"/>
      <c r="G72" s="1220"/>
      <c r="H72" s="1220"/>
      <c r="I72" s="1177"/>
      <c r="J72" s="1953"/>
      <c r="K72" s="1953"/>
      <c r="L72" s="1151"/>
    </row>
    <row r="73" spans="1:14">
      <c r="A73" s="1376"/>
      <c r="B73" s="1150"/>
      <c r="C73" s="1153"/>
      <c r="D73" s="1953"/>
      <c r="E73" s="1158" t="s">
        <v>721</v>
      </c>
      <c r="F73" s="1159" t="s">
        <v>722</v>
      </c>
      <c r="G73" s="1160"/>
      <c r="H73" s="1160"/>
      <c r="I73" s="1161" t="s">
        <v>723</v>
      </c>
      <c r="J73" s="1162" t="s">
        <v>724</v>
      </c>
      <c r="K73" s="1953"/>
      <c r="L73" s="1151"/>
    </row>
    <row r="74" spans="1:14">
      <c r="A74" s="1376"/>
      <c r="B74" s="1150"/>
      <c r="C74" s="1153"/>
      <c r="D74" s="1953"/>
      <c r="E74" s="1221" t="s">
        <v>215</v>
      </c>
      <c r="F74" s="2035" t="s">
        <v>764</v>
      </c>
      <c r="G74" s="2036"/>
      <c r="H74" s="2037"/>
      <c r="I74" s="321" t="str">
        <f t="array" ref="I74">IFERROR(INDEX('ESDS-Reference Table'!G1:G493,MATCH(1,('ESDS-Reference Table'!F1:F493=E74)*('ESDS-Reference Table'!H1:H493=F21)*('ESDS-Reference Table'!I1:I493=F23),0)),"Select Region and Activity")</f>
        <v>Mandatory</v>
      </c>
      <c r="J74" s="1165" t="s">
        <v>726</v>
      </c>
      <c r="K74" s="1953">
        <f t="shared" ref="K74:K91" si="2">N(J74)</f>
        <v>0</v>
      </c>
      <c r="L74" s="1151"/>
      <c r="N74" s="336"/>
    </row>
    <row r="75" spans="1:14">
      <c r="A75" s="1376"/>
      <c r="B75" s="1150"/>
      <c r="C75" s="1153"/>
      <c r="D75" s="1953"/>
      <c r="E75" s="1222" t="s">
        <v>217</v>
      </c>
      <c r="F75" s="2029" t="s">
        <v>765</v>
      </c>
      <c r="G75" s="2397"/>
      <c r="H75" s="2398"/>
      <c r="I75" s="1223" t="str">
        <f t="array" ref="I75">IFERROR(INDEX('ESDS-Reference Table'!G1:G493,MATCH(1,('ESDS-Reference Table'!F1:F493=E75)*('ESDS-Reference Table'!H1:H493=F21)*('ESDS-Reference Table'!I1:I493=F23),0)),"Select Region and Activity")</f>
        <v>n/a</v>
      </c>
      <c r="J75" s="1165"/>
      <c r="K75" s="1953">
        <f t="shared" si="2"/>
        <v>0</v>
      </c>
      <c r="L75" s="1183"/>
      <c r="N75" s="336"/>
    </row>
    <row r="76" spans="1:14" ht="15" customHeight="1">
      <c r="B76" s="1150"/>
      <c r="C76" s="1153"/>
      <c r="D76" s="1953"/>
      <c r="E76" s="1222" t="s">
        <v>219</v>
      </c>
      <c r="F76" s="2029" t="s">
        <v>766</v>
      </c>
      <c r="G76" s="2397"/>
      <c r="H76" s="2398"/>
      <c r="I76" s="1223" t="str">
        <f t="array" ref="I76">IFERROR(INDEX('ESDS-Reference Table'!G1:G493,MATCH(1,('ESDS-Reference Table'!F1:F493=E76)*('ESDS-Reference Table'!H1:H493=F21)*('ESDS-Reference Table'!I1:I493=F23),0)),"Select Region and Activity")</f>
        <v>5 to 25 (5 point increments)</v>
      </c>
      <c r="J76" s="1165">
        <v>0</v>
      </c>
      <c r="K76" s="1953">
        <f t="shared" si="2"/>
        <v>0</v>
      </c>
      <c r="L76" s="1151"/>
      <c r="N76" s="336"/>
    </row>
    <row r="77" spans="1:14" ht="15" customHeight="1">
      <c r="B77" s="1150"/>
      <c r="C77" s="1153"/>
      <c r="D77" s="1953"/>
      <c r="E77" s="1222" t="s">
        <v>223</v>
      </c>
      <c r="F77" s="2029" t="s">
        <v>767</v>
      </c>
      <c r="G77" s="2397"/>
      <c r="H77" s="2398"/>
      <c r="I77" s="1223" t="str">
        <f t="array" ref="I77">IFERROR(INDEX('ESDS-Reference Table'!G1:G493,MATCH(1,('ESDS-Reference Table'!F1:F493=E77)*('ESDS-Reference Table'!H1:H493=F21)*('ESDS-Reference Table'!I1:I493=F23),0)),"Select Region and Activity")</f>
        <v>n/a</v>
      </c>
      <c r="J77" s="1165"/>
      <c r="K77" s="1953">
        <f t="shared" si="2"/>
        <v>0</v>
      </c>
      <c r="L77" s="1151"/>
      <c r="N77" s="336"/>
    </row>
    <row r="78" spans="1:14">
      <c r="B78" s="1150"/>
      <c r="C78" s="1153"/>
      <c r="D78" s="1953"/>
      <c r="E78" s="1224">
        <v>5.3</v>
      </c>
      <c r="F78" s="2029" t="s">
        <v>768</v>
      </c>
      <c r="G78" s="2030"/>
      <c r="H78" s="2031"/>
      <c r="I78" s="1223" t="str">
        <f t="array" ref="I78">IFERROR(INDEX('ESDS-Reference Table'!G1:G493,MATCH(1,('ESDS-Reference Table'!F1:F493=E78)*('ESDS-Reference Table'!H1:H493=F21)*('ESDS-Reference Table'!I1:I493=F23),0)),"Select Region and Activity")</f>
        <v>0,1,2,3 or 4</v>
      </c>
      <c r="J78" s="1165">
        <v>0</v>
      </c>
      <c r="K78" s="1953">
        <f t="shared" si="2"/>
        <v>0</v>
      </c>
      <c r="L78" s="1151"/>
    </row>
    <row r="79" spans="1:14" ht="15" customHeight="1">
      <c r="B79" s="1150"/>
      <c r="C79" s="1153"/>
      <c r="D79" s="1953"/>
      <c r="E79" s="1224">
        <v>5.4</v>
      </c>
      <c r="F79" s="2399" t="s">
        <v>769</v>
      </c>
      <c r="G79" s="2030"/>
      <c r="H79" s="2031"/>
      <c r="I79" s="1223" t="str">
        <f t="array" ref="I79">IFERROR(INDEX('ESDS-Reference Table'!G1:G493,MATCH(1,('ESDS-Reference Table'!F1:F493=E79)*('ESDS-Reference Table'!H1:H493=F21)*('ESDS-Reference Table'!I1:I493=F23),0)),"Select Region and Activity")</f>
        <v>Mandatory, if providing appliances</v>
      </c>
      <c r="J79" s="1165" t="s">
        <v>726</v>
      </c>
      <c r="K79" s="1953">
        <f t="shared" si="2"/>
        <v>0</v>
      </c>
      <c r="L79" s="1151"/>
    </row>
    <row r="80" spans="1:14">
      <c r="B80" s="1150"/>
      <c r="C80" s="1153"/>
      <c r="D80" s="1953"/>
      <c r="E80" s="1224">
        <v>5.5</v>
      </c>
      <c r="F80" s="2399" t="s">
        <v>770</v>
      </c>
      <c r="G80" s="2030"/>
      <c r="H80" s="2031"/>
      <c r="I80" s="1223" t="str">
        <f t="array" ref="I80">IFERROR(INDEX('ESDS-Reference Table'!G1:G493,MATCH(1,('ESDS-Reference Table'!F1:F493=E80)*('ESDS-Reference Table'!H1:H493=F21)*('ESDS-Reference Table'!I1:I493=F23),0)),"Select Region and Activity")</f>
        <v>0 or 3</v>
      </c>
      <c r="J80" s="1165">
        <v>3</v>
      </c>
      <c r="K80" s="1953">
        <f t="shared" si="2"/>
        <v>3</v>
      </c>
      <c r="L80" s="1151"/>
    </row>
    <row r="81" spans="2:15">
      <c r="B81" s="1150"/>
      <c r="C81" s="1153"/>
      <c r="D81" s="1953"/>
      <c r="E81" s="1224">
        <v>5.6</v>
      </c>
      <c r="F81" s="2399" t="s">
        <v>771</v>
      </c>
      <c r="G81" s="2030"/>
      <c r="H81" s="2031"/>
      <c r="I81" s="1223" t="str">
        <f t="array" ref="I81">IFERROR(INDEX('ESDS-Reference Table'!G1:G493,MATCH(1,('ESDS-Reference Table'!F1:F493=E81)*('ESDS-Reference Table'!H1:H493=F21)*('ESDS-Reference Table'!I1:I493=F23),0)),"Select Region and Activity")</f>
        <v>Mandatory</v>
      </c>
      <c r="J81" s="1165" t="s">
        <v>726</v>
      </c>
      <c r="K81" s="1953">
        <f t="shared" si="2"/>
        <v>0</v>
      </c>
      <c r="L81" s="1151"/>
    </row>
    <row r="82" spans="2:15">
      <c r="B82" s="1150"/>
      <c r="C82" s="1153"/>
      <c r="D82" s="1953"/>
      <c r="E82" s="1222" t="s">
        <v>236</v>
      </c>
      <c r="F82" s="2029" t="s">
        <v>772</v>
      </c>
      <c r="G82" s="2397"/>
      <c r="H82" s="2398"/>
      <c r="I82" s="1223" t="str">
        <f t="array" ref="I82">IFERROR(INDEX('ESDS-Reference Table'!G1:G493,MATCH(1,('ESDS-Reference Table'!F1:F493=E82)*('ESDS-Reference Table'!H1:H493=F21)*('ESDS-Reference Table'!I1:I493=F23),0)),"Select Region and Activity")</f>
        <v>Mandatory</v>
      </c>
      <c r="J82" s="1165" t="s">
        <v>726</v>
      </c>
      <c r="K82" s="1953">
        <f t="shared" si="2"/>
        <v>0</v>
      </c>
      <c r="L82" s="1151"/>
      <c r="N82" s="336"/>
    </row>
    <row r="83" spans="2:15">
      <c r="B83" s="1150"/>
      <c r="C83" s="1153"/>
      <c r="D83" s="1953"/>
      <c r="E83" s="1222" t="s">
        <v>237</v>
      </c>
      <c r="F83" s="2026" t="s">
        <v>773</v>
      </c>
      <c r="G83" s="2027"/>
      <c r="H83" s="2028"/>
      <c r="I83" s="1223" t="str">
        <f t="array" ref="I83">IFERROR(INDEX('ESDS-Reference Table'!G1:G493,MATCH(1,('ESDS-Reference Table'!F1:F493=E83)*('ESDS-Reference Table'!H1:H493=F21)*('ESDS-Reference Table'!I1:I493=F23),0)),"Select Region and Activity")</f>
        <v>n/a</v>
      </c>
      <c r="J83" s="1165"/>
      <c r="K83" s="1953">
        <f t="shared" si="2"/>
        <v>0</v>
      </c>
      <c r="L83" s="1151"/>
      <c r="N83" s="336"/>
    </row>
    <row r="84" spans="2:15">
      <c r="B84" s="1150"/>
      <c r="C84" s="1153"/>
      <c r="D84" s="1953"/>
      <c r="E84" s="1222" t="s">
        <v>238</v>
      </c>
      <c r="F84" s="2029" t="s">
        <v>774</v>
      </c>
      <c r="G84" s="2030"/>
      <c r="H84" s="2031"/>
      <c r="I84" s="1223" t="str">
        <f t="array" ref="I84">IFERROR(INDEX('ESDS-Reference Table'!G1:G493,MATCH(1,('ESDS-Reference Table'!F1:F493=E84)*('ESDS-Reference Table'!H1:H493=F21)*('ESDS-Reference Table'!I1:I493=F23),0)),"Select Region and Activity")</f>
        <v>n/a</v>
      </c>
      <c r="J84" s="1165"/>
      <c r="K84" s="1953">
        <f t="shared" si="2"/>
        <v>0</v>
      </c>
      <c r="L84" s="1151"/>
      <c r="N84" s="336"/>
    </row>
    <row r="85" spans="2:15">
      <c r="B85" s="1150"/>
      <c r="C85" s="1153"/>
      <c r="D85" s="1953"/>
      <c r="E85" s="1222" t="s">
        <v>239</v>
      </c>
      <c r="F85" s="2399" t="s">
        <v>775</v>
      </c>
      <c r="G85" s="2030"/>
      <c r="H85" s="2031"/>
      <c r="I85" s="1223" t="str">
        <f t="array" ref="I85">IFERROR(INDEX('ESDS-Reference Table'!G1:G493,MATCH(1,('ESDS-Reference Table'!F1:F493=E85)*('ESDS-Reference Table'!H1:H493=F21)*('ESDS-Reference Table'!I1:I493=F23),0)),"Select Region and Activity")</f>
        <v>0 or 1</v>
      </c>
      <c r="J85" s="1165">
        <v>0</v>
      </c>
      <c r="K85" s="1953">
        <f t="shared" si="2"/>
        <v>0</v>
      </c>
      <c r="L85" s="1151"/>
    </row>
    <row r="86" spans="2:15">
      <c r="B86" s="1150"/>
      <c r="C86" s="1153"/>
      <c r="D86" s="1953"/>
      <c r="E86" s="1222" t="s">
        <v>242</v>
      </c>
      <c r="F86" s="2029" t="s">
        <v>776</v>
      </c>
      <c r="G86" s="2030"/>
      <c r="H86" s="2031"/>
      <c r="I86" s="1223" t="str">
        <f t="array" ref="I86">IFERROR(INDEX('ESDS-Reference Table'!G1:G493,MATCH(1,('ESDS-Reference Table'!F1:F493=E86)*('ESDS-Reference Table'!H1:H493=F21)*('ESDS-Reference Table'!I1:I493=F23),0)),"Select Region and Activity")</f>
        <v>n/a</v>
      </c>
      <c r="J86" s="1165"/>
      <c r="K86" s="1953">
        <f t="shared" si="2"/>
        <v>0</v>
      </c>
      <c r="L86" s="1151"/>
      <c r="N86" s="336"/>
    </row>
    <row r="87" spans="2:15">
      <c r="B87" s="1150"/>
      <c r="C87" s="1153"/>
      <c r="D87" s="1953"/>
      <c r="E87" s="1224">
        <v>5.9</v>
      </c>
      <c r="F87" s="2399" t="s">
        <v>777</v>
      </c>
      <c r="G87" s="2030"/>
      <c r="H87" s="2031"/>
      <c r="I87" s="1223" t="str">
        <f t="array" ref="I87">IFERROR(INDEX('ESDS-Reference Table'!G1:G493,MATCH(1,('ESDS-Reference Table'!F1:F493=E87)*('ESDS-Reference Table'!H1:H493=F21)*('ESDS-Reference Table'!I1:I493=F23),0)),"Select Region and Activity")</f>
        <v>Mandatory</v>
      </c>
      <c r="J87" s="1165" t="s">
        <v>726</v>
      </c>
      <c r="K87" s="1953">
        <f t="shared" si="2"/>
        <v>0</v>
      </c>
      <c r="L87" s="1151"/>
    </row>
    <row r="88" spans="2:15">
      <c r="B88" s="1150"/>
      <c r="C88" s="1153"/>
      <c r="D88" s="1953"/>
      <c r="E88" s="1225" t="s">
        <v>234</v>
      </c>
      <c r="F88" s="2029" t="s">
        <v>777</v>
      </c>
      <c r="G88" s="2030"/>
      <c r="H88" s="2031"/>
      <c r="I88" s="1223" t="str">
        <f t="array" ref="I88">IFERROR(INDEX('ESDS-Reference Table'!G1:G493,MATCH(1,('ESDS-Reference Table'!F1:F493=E88)*('ESDS-Reference Table'!H1:H493=F21)*('ESDS-Reference Table'!I1:I493=F23),0)),"Select Region and Activity")</f>
        <v>n/a</v>
      </c>
      <c r="J88" s="1165"/>
      <c r="K88" s="1953">
        <f t="shared" si="2"/>
        <v>0</v>
      </c>
      <c r="L88" s="1151"/>
      <c r="N88" s="336"/>
    </row>
    <row r="89" spans="2:15">
      <c r="B89" s="1150"/>
      <c r="C89" s="1153"/>
      <c r="D89" s="1953"/>
      <c r="E89" s="1226">
        <v>5.1100000000000003</v>
      </c>
      <c r="F89" s="2026" t="s">
        <v>778</v>
      </c>
      <c r="G89" s="2027"/>
      <c r="H89" s="2028"/>
      <c r="I89" s="1223" t="str">
        <f t="array" ref="I89">IFERROR(INDEX('ESDS-Reference Table'!G1:G493,MATCH(1,('ESDS-Reference Table'!F1:F493=E89)*('ESDS-Reference Table'!H1:H493=F21)*('ESDS-Reference Table'!I1:I493=F23),0)),"Select Region and Activity")</f>
        <v>n/a</v>
      </c>
      <c r="J89" s="1165"/>
      <c r="K89" s="1953">
        <f t="shared" si="2"/>
        <v>0</v>
      </c>
      <c r="L89" s="1151"/>
      <c r="N89" s="336"/>
    </row>
    <row r="90" spans="2:15">
      <c r="B90" s="1150"/>
      <c r="C90" s="1153"/>
      <c r="D90" s="1953"/>
      <c r="E90" s="1226">
        <v>5.12</v>
      </c>
      <c r="F90" s="2029" t="s">
        <v>779</v>
      </c>
      <c r="G90" s="2030"/>
      <c r="H90" s="2031"/>
      <c r="I90" s="1223" t="str">
        <f t="array" ref="I90">IFERROR(INDEX('ESDS-Reference Table'!G1:G493,MATCH(1,('ESDS-Reference Table'!F1:F493=E90)*('ESDS-Reference Table'!H1:H493=F21)*('ESDS-Reference Table'!I1:I493=F23),0)),"Select Region and Activity")</f>
        <v>n/a</v>
      </c>
      <c r="J90" s="1165"/>
      <c r="K90" s="1953">
        <f t="shared" si="2"/>
        <v>0</v>
      </c>
      <c r="L90" s="1151"/>
      <c r="N90" s="336"/>
    </row>
    <row r="91" spans="2:15">
      <c r="B91" s="1150"/>
      <c r="C91" s="1153"/>
      <c r="D91" s="1953"/>
      <c r="E91" s="1227">
        <v>5.13</v>
      </c>
      <c r="F91" s="2032" t="s">
        <v>780</v>
      </c>
      <c r="G91" s="2033"/>
      <c r="H91" s="2034"/>
      <c r="I91" s="1223" t="str">
        <f t="array" ref="I91">IFERROR(INDEX('ESDS-Reference Table'!G1:G493,MATCH(1,('ESDS-Reference Table'!F1:F493=E91)*('ESDS-Reference Table'!H1:H493=F21)*('ESDS-Reference Table'!I1:I493=F23),0)),"Select Region and Activity")</f>
        <v>n/a</v>
      </c>
      <c r="J91" s="1165"/>
      <c r="K91" s="1953">
        <f t="shared" si="2"/>
        <v>0</v>
      </c>
      <c r="L91" s="1151"/>
      <c r="N91" s="336"/>
    </row>
    <row r="92" spans="2:15">
      <c r="B92" s="1150"/>
      <c r="C92" s="1153"/>
      <c r="D92" s="1953"/>
      <c r="E92" s="1171" t="s">
        <v>732</v>
      </c>
      <c r="F92" s="1172"/>
      <c r="G92" s="1173"/>
      <c r="H92" s="1173"/>
      <c r="I92" s="1174" t="s">
        <v>781</v>
      </c>
      <c r="J92" s="1175">
        <f>SUM(J74:J91)</f>
        <v>3</v>
      </c>
      <c r="K92" s="1953"/>
      <c r="L92" s="1151"/>
    </row>
    <row r="93" spans="2:15" s="1376" customFormat="1" ht="7.5" customHeight="1">
      <c r="B93" s="1150"/>
      <c r="C93" s="1153"/>
      <c r="D93" s="1953"/>
      <c r="E93" s="1153"/>
      <c r="F93" s="1953"/>
      <c r="G93" s="1153"/>
      <c r="H93" s="1153"/>
      <c r="I93" s="1177"/>
      <c r="J93" s="1953"/>
      <c r="K93" s="1953"/>
      <c r="L93" s="1151"/>
      <c r="O93" s="1375"/>
    </row>
    <row r="94" spans="2:15" s="1376" customFormat="1">
      <c r="B94" s="1150"/>
      <c r="C94" s="1153"/>
      <c r="D94" s="1953"/>
      <c r="E94" s="1220" t="s">
        <v>782</v>
      </c>
      <c r="F94" s="1953"/>
      <c r="G94" s="1220"/>
      <c r="H94" s="1220"/>
      <c r="I94" s="1177"/>
      <c r="J94" s="1953"/>
      <c r="K94" s="1953"/>
      <c r="L94" s="1151"/>
      <c r="O94" s="1375"/>
    </row>
    <row r="95" spans="2:15">
      <c r="B95" s="1150"/>
      <c r="C95" s="1153"/>
      <c r="D95" s="1953"/>
      <c r="E95" s="1158" t="s">
        <v>721</v>
      </c>
      <c r="F95" s="1159" t="s">
        <v>722</v>
      </c>
      <c r="G95" s="1160"/>
      <c r="H95" s="1160"/>
      <c r="I95" s="1161" t="s">
        <v>723</v>
      </c>
      <c r="J95" s="1162" t="s">
        <v>724</v>
      </c>
      <c r="K95" s="1953"/>
      <c r="L95" s="1151"/>
      <c r="O95" s="336"/>
    </row>
    <row r="96" spans="2:15">
      <c r="B96" s="1150"/>
      <c r="C96" s="1153"/>
      <c r="D96" s="1953"/>
      <c r="E96" s="1228">
        <v>6.1</v>
      </c>
      <c r="F96" s="2400" t="s">
        <v>783</v>
      </c>
      <c r="G96" s="2384"/>
      <c r="H96" s="2401"/>
      <c r="I96" s="321" t="str">
        <f t="array" ref="I96">IFERROR(INDEX('ESDS-Reference Table'!G1:G493,MATCH(1,('ESDS-Reference Table'!F1:F493=E96)*('ESDS-Reference Table'!H1:H493=F21)*('ESDS-Reference Table'!I1:I493=F23),0)),"Select Region and Activity")</f>
        <v>Mandatory</v>
      </c>
      <c r="J96" s="1165" t="s">
        <v>726</v>
      </c>
      <c r="K96" s="1953">
        <f>N(J96)</f>
        <v>0</v>
      </c>
      <c r="L96" s="1151"/>
    </row>
    <row r="97" spans="2:16">
      <c r="B97" s="1150"/>
      <c r="C97" s="1153"/>
      <c r="D97" s="1953"/>
      <c r="E97" s="1224">
        <v>6.2</v>
      </c>
      <c r="F97" s="2399" t="s">
        <v>784</v>
      </c>
      <c r="G97" s="2030"/>
      <c r="H97" s="2031"/>
      <c r="I97" s="1223" t="str">
        <f t="array" ref="I97">IFERROR(INDEX('ESDS-Reference Table'!G1:G493,MATCH(1,('ESDS-Reference Table'!F1:F493=E97)*('ESDS-Reference Table'!H1:H493=F21)*('ESDS-Reference Table'!I1:I493=F23),0)),"Select Region and Activity")</f>
        <v>Mandatory</v>
      </c>
      <c r="J97" s="1165" t="s">
        <v>726</v>
      </c>
      <c r="K97" s="1953">
        <f>N(J97)</f>
        <v>0</v>
      </c>
      <c r="L97" s="1151"/>
    </row>
    <row r="98" spans="2:16">
      <c r="B98" s="1150"/>
      <c r="C98" s="1153"/>
      <c r="D98" s="1953"/>
      <c r="E98" s="1224">
        <v>6.3</v>
      </c>
      <c r="F98" s="2399" t="s">
        <v>785</v>
      </c>
      <c r="G98" s="2030"/>
      <c r="H98" s="2031"/>
      <c r="I98" s="1223" t="str">
        <f t="array" ref="I98">IFERROR(INDEX('ESDS-Reference Table'!G1:G493,MATCH(1,('ESDS-Reference Table'!F1:F493=E98)*('ESDS-Reference Table'!H1:H493=F21)*('ESDS-Reference Table'!I1:I493=F23),0)),"Select Region and Activity")</f>
        <v>up to 5</v>
      </c>
      <c r="J98" s="1165">
        <v>5</v>
      </c>
      <c r="K98" s="1953">
        <f>N(J98)</f>
        <v>5</v>
      </c>
      <c r="L98" s="1151"/>
    </row>
    <row r="99" spans="2:16">
      <c r="B99" s="1150"/>
      <c r="C99" s="1153"/>
      <c r="D99" s="1953"/>
      <c r="E99" s="1224">
        <v>6.4</v>
      </c>
      <c r="F99" s="2399" t="s">
        <v>786</v>
      </c>
      <c r="G99" s="2030"/>
      <c r="H99" s="2031"/>
      <c r="I99" s="1223" t="str">
        <f t="array" ref="I99">IFERROR(INDEX('ESDS-Reference Table'!G1:G493,MATCH(1,('ESDS-Reference Table'!F1:F493=E99)*('ESDS-Reference Table'!H1:H493=F21)*('ESDS-Reference Table'!I1:I493=F23),0)),"Select Region and Activity")</f>
        <v>up to 10 (0.5 increments)</v>
      </c>
      <c r="J99" s="1165">
        <v>2</v>
      </c>
      <c r="K99" s="1953">
        <f>N(J99)</f>
        <v>2</v>
      </c>
      <c r="L99" s="1151"/>
    </row>
    <row r="100" spans="2:16">
      <c r="B100" s="1150"/>
      <c r="C100" s="1153"/>
      <c r="D100" s="1953"/>
      <c r="E100" s="1222" t="s">
        <v>258</v>
      </c>
      <c r="F100" s="2029" t="s">
        <v>787</v>
      </c>
      <c r="G100" s="2030"/>
      <c r="H100" s="2031"/>
      <c r="I100" s="1223" t="str">
        <f t="array" ref="I100">IFERROR(INDEX('ESDS-Reference Table'!G1:G493,MATCH(1,('ESDS-Reference Table'!F1:F493=E100)*('ESDS-Reference Table'!H1:H493=F21)*('ESDS-Reference Table'!I1:I493=F23),0)),"Select Region and Activity")</f>
        <v>0 or 2</v>
      </c>
      <c r="J100" s="1165">
        <v>0</v>
      </c>
      <c r="K100" s="1953">
        <f>N(J100)</f>
        <v>0</v>
      </c>
      <c r="L100" s="1151"/>
    </row>
    <row r="101" spans="2:16">
      <c r="B101" s="1150"/>
      <c r="C101" s="1153"/>
      <c r="D101" s="1953"/>
      <c r="E101" s="1222" t="s">
        <v>261</v>
      </c>
      <c r="F101" s="1948" t="s">
        <v>788</v>
      </c>
      <c r="G101" s="1949"/>
      <c r="H101" s="1950"/>
      <c r="I101" s="1223" t="str">
        <f t="array" ref="I101">IFERROR(INDEX('ESDS-Reference Table'!G1:G493,MATCH(1,('ESDS-Reference Table'!F1:F493=E101)*('ESDS-Reference Table'!H1:H493=F21)*('ESDS-Reference Table'!I1:I493=F23),0)),"Select Region and Activity")</f>
        <v>0 or 2, if paving</v>
      </c>
      <c r="J101" s="1165">
        <v>2</v>
      </c>
      <c r="K101" s="1953"/>
      <c r="L101" s="1151"/>
    </row>
    <row r="102" spans="2:16">
      <c r="B102" s="1150"/>
      <c r="C102" s="1153"/>
      <c r="D102" s="1953"/>
      <c r="E102" s="1226">
        <v>6.6</v>
      </c>
      <c r="F102" s="1948" t="s">
        <v>789</v>
      </c>
      <c r="G102" s="1949"/>
      <c r="H102" s="1950"/>
      <c r="I102" s="1223" t="str">
        <f t="array" ref="I102">IFERROR(INDEX('ESDS-Reference Table'!G1:G493,MATCH(1,('ESDS-Reference Table'!F1:F493=E102)*('ESDS-Reference Table'!H1:H493=F21)*('ESDS-Reference Table'!I1:I493=F23),0)),"Select Region and Activity")</f>
        <v>up to 3</v>
      </c>
      <c r="J102" s="1165">
        <v>0</v>
      </c>
      <c r="K102" s="1953"/>
      <c r="L102" s="1151"/>
    </row>
    <row r="103" spans="2:16">
      <c r="B103" s="1150"/>
      <c r="C103" s="1153"/>
      <c r="D103" s="1953"/>
      <c r="E103" s="1171" t="s">
        <v>732</v>
      </c>
      <c r="F103" s="1172"/>
      <c r="G103" s="1173"/>
      <c r="H103" s="1173"/>
      <c r="I103" s="1174" t="s">
        <v>790</v>
      </c>
      <c r="J103" s="1175">
        <f>SUM(J96:J102)</f>
        <v>9</v>
      </c>
      <c r="K103" s="1953"/>
      <c r="L103" s="1151"/>
      <c r="P103" s="1376"/>
    </row>
    <row r="104" spans="2:16" s="1376" customFormat="1" ht="7.5" customHeight="1">
      <c r="B104" s="1150"/>
      <c r="C104" s="1153"/>
      <c r="D104" s="1953"/>
      <c r="E104" s="1176"/>
      <c r="F104" s="1178"/>
      <c r="G104" s="1176"/>
      <c r="H104" s="1176"/>
      <c r="I104" s="1177"/>
      <c r="J104" s="1178"/>
      <c r="K104" s="1953"/>
      <c r="L104" s="1151"/>
      <c r="O104" s="1375"/>
    </row>
    <row r="105" spans="2:16" s="1376" customFormat="1" ht="7.5" customHeight="1">
      <c r="B105" s="1150"/>
      <c r="C105" s="1153"/>
      <c r="D105" s="1953"/>
      <c r="E105" s="1153"/>
      <c r="F105" s="1953"/>
      <c r="G105" s="1153"/>
      <c r="H105" s="1153"/>
      <c r="I105" s="1177"/>
      <c r="J105" s="1953"/>
      <c r="K105" s="1953"/>
      <c r="L105" s="1151"/>
      <c r="O105" s="1375"/>
    </row>
    <row r="106" spans="2:16" s="1376" customFormat="1">
      <c r="B106" s="1150"/>
      <c r="C106" s="1153"/>
      <c r="D106" s="1953"/>
      <c r="E106" s="1220" t="s">
        <v>791</v>
      </c>
      <c r="F106" s="1953"/>
      <c r="G106" s="1220"/>
      <c r="H106" s="1220"/>
      <c r="I106" s="1177"/>
      <c r="J106" s="1953"/>
      <c r="K106" s="1953"/>
      <c r="L106" s="1151"/>
      <c r="O106" s="1375"/>
    </row>
    <row r="107" spans="2:16">
      <c r="B107" s="1150"/>
      <c r="C107" s="1153"/>
      <c r="D107" s="1953"/>
      <c r="E107" s="1158" t="s">
        <v>721</v>
      </c>
      <c r="F107" s="1159" t="s">
        <v>722</v>
      </c>
      <c r="G107" s="1160"/>
      <c r="H107" s="1160"/>
      <c r="I107" s="1161" t="s">
        <v>723</v>
      </c>
      <c r="J107" s="1162" t="s">
        <v>724</v>
      </c>
      <c r="K107" s="1953"/>
      <c r="L107" s="1151"/>
    </row>
    <row r="108" spans="2:16">
      <c r="B108" s="1150"/>
      <c r="C108" s="1153"/>
      <c r="D108" s="1953"/>
      <c r="E108" s="1228">
        <v>7.1</v>
      </c>
      <c r="F108" s="2035" t="s">
        <v>792</v>
      </c>
      <c r="G108" s="2036"/>
      <c r="H108" s="2037"/>
      <c r="I108" s="1229" t="str">
        <f t="array" ref="I108">IFERROR(INDEX('ESDS-Reference Table'!$G$1:$G$493,MATCH(1,('ESDS-Reference Table'!$F$1:$F$493=E108)*('ESDS-Reference Table'!$H$1:$H$493=$F$21)*('ESDS-Reference Table'!$I$1:$I$493=$F$23),0)),"Select Region and Activity")</f>
        <v>Mandatory</v>
      </c>
      <c r="J108" s="1165" t="s">
        <v>726</v>
      </c>
      <c r="K108" s="1953">
        <f t="shared" ref="K108:K128" si="3">N(J108)</f>
        <v>0</v>
      </c>
      <c r="L108" s="1151"/>
    </row>
    <row r="109" spans="2:16" ht="15" customHeight="1">
      <c r="B109" s="1150"/>
      <c r="C109" s="1153"/>
      <c r="D109" s="1953"/>
      <c r="E109" s="1222" t="s">
        <v>266</v>
      </c>
      <c r="F109" s="2399" t="s">
        <v>793</v>
      </c>
      <c r="G109" s="2030"/>
      <c r="H109" s="2031"/>
      <c r="I109" s="1230" t="str">
        <f t="array" ref="I109">IFERROR(INDEX('ESDS-Reference Table'!$G$1:$G$493,MATCH(1,('ESDS-Reference Table'!$F$1:$F$493=E109)*('ESDS-Reference Table'!$H$1:$H$493=$F$21)*('ESDS-Reference Table'!$I$1:$I$493=$F$23),0)),"Select Region and Activity")</f>
        <v>Mandatory, if providing flooring materials</v>
      </c>
      <c r="J109" s="1165" t="s">
        <v>726</v>
      </c>
      <c r="K109" s="1953">
        <f t="shared" si="3"/>
        <v>0</v>
      </c>
      <c r="L109" s="1151"/>
    </row>
    <row r="110" spans="2:16">
      <c r="B110" s="1150"/>
      <c r="C110" s="1153"/>
      <c r="D110" s="1953"/>
      <c r="E110" s="1222" t="s">
        <v>269</v>
      </c>
      <c r="F110" s="2399" t="s">
        <v>793</v>
      </c>
      <c r="G110" s="2030"/>
      <c r="H110" s="2031"/>
      <c r="I110" s="1230" t="str">
        <f t="array" ref="I110">IFERROR(INDEX('ESDS-Reference Table'!$G$1:$G$493,MATCH(1,('ESDS-Reference Table'!$F$1:$F$493=E110)*('ESDS-Reference Table'!$H$1:$H$493=$F$21)*('ESDS-Reference Table'!$I$1:$I$493=$F$23),0)),"Select Region and Activity")</f>
        <v>0 or 6</v>
      </c>
      <c r="J110" s="1165">
        <v>0</v>
      </c>
      <c r="K110" s="1953">
        <f t="shared" si="3"/>
        <v>0</v>
      </c>
      <c r="L110" s="1151"/>
    </row>
    <row r="111" spans="2:16">
      <c r="B111" s="1150"/>
      <c r="C111" s="1153"/>
      <c r="D111" s="1953"/>
      <c r="E111" s="1222" t="s">
        <v>272</v>
      </c>
      <c r="F111" s="2029" t="s">
        <v>794</v>
      </c>
      <c r="G111" s="2397"/>
      <c r="H111" s="2398"/>
      <c r="I111" s="1230" t="str">
        <f t="array" ref="I111">IFERROR(INDEX('ESDS-Reference Table'!$G$1:$G$493,MATCH(1,('ESDS-Reference Table'!$F$1:$F$493=E111)*('ESDS-Reference Table'!$H$1:$H$493=$F$21)*('ESDS-Reference Table'!$I$1:$I$493=$F$23),0)),"Select Region and Activity")</f>
        <v>Mandatory</v>
      </c>
      <c r="J111" s="1165" t="s">
        <v>726</v>
      </c>
      <c r="K111" s="1953">
        <f t="shared" si="3"/>
        <v>0</v>
      </c>
      <c r="L111" s="1151"/>
      <c r="N111" s="336"/>
      <c r="P111" s="335"/>
    </row>
    <row r="112" spans="2:16">
      <c r="B112" s="1150"/>
      <c r="C112" s="1153"/>
      <c r="D112" s="1953"/>
      <c r="E112" s="1222" t="s">
        <v>273</v>
      </c>
      <c r="F112" s="2026" t="s">
        <v>794</v>
      </c>
      <c r="G112" s="2027"/>
      <c r="H112" s="2028"/>
      <c r="I112" s="1230" t="str">
        <f t="array" ref="I112">IFERROR(INDEX('ESDS-Reference Table'!$G$1:$G$493,MATCH(1,('ESDS-Reference Table'!$F$1:$F$493=E112)*('ESDS-Reference Table'!$H$1:$H$493=$F$21)*('ESDS-Reference Table'!$I$1:$I$493=$F$23),0)),"Select Region and Activity")</f>
        <v>n/a</v>
      </c>
      <c r="J112" s="1165"/>
      <c r="K112" s="1953">
        <f t="shared" si="3"/>
        <v>0</v>
      </c>
      <c r="L112" s="1151"/>
      <c r="N112" s="336"/>
      <c r="P112" s="335"/>
    </row>
    <row r="113" spans="2:16">
      <c r="B113" s="1150"/>
      <c r="C113" s="1153"/>
      <c r="D113" s="1953"/>
      <c r="E113" s="1222" t="s">
        <v>274</v>
      </c>
      <c r="F113" s="2029" t="s">
        <v>795</v>
      </c>
      <c r="G113" s="2397"/>
      <c r="H113" s="2398"/>
      <c r="I113" s="1230" t="str">
        <f t="array" ref="I113">IFERROR(INDEX('ESDS-Reference Table'!$G$1:$G$493,MATCH(1,('ESDS-Reference Table'!$F$1:$F$493=E113)*('ESDS-Reference Table'!$H$1:$H$493=$F$21)*('ESDS-Reference Table'!$I$1:$I$493=$F$23),0)),"Select Region and Activity")</f>
        <v>Mandatory</v>
      </c>
      <c r="J113" s="1165" t="s">
        <v>726</v>
      </c>
      <c r="K113" s="1953">
        <f t="shared" si="3"/>
        <v>0</v>
      </c>
      <c r="L113" s="1151"/>
      <c r="N113" s="336"/>
      <c r="P113" s="335"/>
    </row>
    <row r="114" spans="2:16">
      <c r="B114" s="1150"/>
      <c r="C114" s="1153"/>
      <c r="D114" s="1953"/>
      <c r="E114" s="1222" t="s">
        <v>275</v>
      </c>
      <c r="F114" s="2029" t="s">
        <v>795</v>
      </c>
      <c r="G114" s="2397"/>
      <c r="H114" s="2398"/>
      <c r="I114" s="1230" t="str">
        <f t="array" ref="I114">IFERROR(INDEX('ESDS-Reference Table'!$G$1:$G$493,MATCH(1,('ESDS-Reference Table'!$F$1:$F$493=E114)*('ESDS-Reference Table'!$H$1:$H$493=$F$21)*('ESDS-Reference Table'!$I$1:$I$493=$F$23),0)),"Select Region and Activity")</f>
        <v>n/a</v>
      </c>
      <c r="J114" s="1165"/>
      <c r="K114" s="1953">
        <f t="shared" si="3"/>
        <v>0</v>
      </c>
      <c r="L114" s="1151"/>
      <c r="N114" s="336"/>
      <c r="P114" s="335"/>
    </row>
    <row r="115" spans="2:16">
      <c r="B115" s="1150"/>
      <c r="C115" s="1153"/>
      <c r="D115" s="1953"/>
      <c r="E115" s="1226">
        <v>7.5</v>
      </c>
      <c r="F115" s="2399" t="s">
        <v>796</v>
      </c>
      <c r="G115" s="2030"/>
      <c r="H115" s="2031"/>
      <c r="I115" s="1230" t="str">
        <f t="array" ref="I115">IFERROR(INDEX('ESDS-Reference Table'!$G$1:$G$493,MATCH(1,('ESDS-Reference Table'!$F$1:$F$493=E115)*('ESDS-Reference Table'!$H$1:$H$493=$F$21)*('ESDS-Reference Table'!$I$1:$I$493=$F$23),0)),"Select Region and Activity")</f>
        <v>Mandatory</v>
      </c>
      <c r="J115" s="1165" t="s">
        <v>726</v>
      </c>
      <c r="K115" s="1953">
        <f t="shared" si="3"/>
        <v>0</v>
      </c>
      <c r="L115" s="1151"/>
    </row>
    <row r="116" spans="2:16">
      <c r="B116" s="1150"/>
      <c r="C116" s="1153"/>
      <c r="D116" s="1953"/>
      <c r="E116" s="1226">
        <v>7.6</v>
      </c>
      <c r="F116" s="2399" t="s">
        <v>797</v>
      </c>
      <c r="G116" s="2030"/>
      <c r="H116" s="2031"/>
      <c r="I116" s="1230" t="str">
        <f t="array" ref="I116">IFERROR(INDEX('ESDS-Reference Table'!$G$1:$G$493,MATCH(1,('ESDS-Reference Table'!$F$1:$F$493=E116)*('ESDS-Reference Table'!$H$1:$H$493=$F$21)*('ESDS-Reference Table'!$I$1:$I$493=$F$23),0)),"Select Region and Activity")</f>
        <v>Mandatory</v>
      </c>
      <c r="J116" s="1165" t="s">
        <v>726</v>
      </c>
      <c r="K116" s="1953">
        <f t="shared" si="3"/>
        <v>0</v>
      </c>
      <c r="L116" s="1151"/>
    </row>
    <row r="117" spans="2:16">
      <c r="B117" s="1150"/>
      <c r="C117" s="1153"/>
      <c r="D117" s="1953"/>
      <c r="E117" s="1226">
        <v>7.7</v>
      </c>
      <c r="F117" s="2399" t="s">
        <v>798</v>
      </c>
      <c r="G117" s="2030"/>
      <c r="H117" s="2031"/>
      <c r="I117" s="1230" t="str">
        <f t="array" ref="I117">IFERROR(INDEX('ESDS-Reference Table'!$G$1:$G$493,MATCH(1,('ESDS-Reference Table'!$F$1:$F$493=E117)*('ESDS-Reference Table'!$H$1:$H$493=$F$21)*('ESDS-Reference Table'!$I$1:$I$493=$F$23),0)),"Select Region and Activity")</f>
        <v>Mandatory</v>
      </c>
      <c r="J117" s="1165" t="s">
        <v>726</v>
      </c>
      <c r="K117" s="1953">
        <f t="shared" si="3"/>
        <v>0</v>
      </c>
      <c r="L117" s="1151"/>
    </row>
    <row r="118" spans="2:16">
      <c r="B118" s="1150"/>
      <c r="C118" s="1153"/>
      <c r="D118" s="1953"/>
      <c r="E118" s="1226">
        <v>7.8</v>
      </c>
      <c r="F118" s="2399" t="s">
        <v>799</v>
      </c>
      <c r="G118" s="2030"/>
      <c r="H118" s="2031"/>
      <c r="I118" s="1230" t="str">
        <f t="array" ref="I118">IFERROR(INDEX('ESDS-Reference Table'!$G$1:$G$493,MATCH(1,('ESDS-Reference Table'!$F$1:$F$493=E118)*('ESDS-Reference Table'!$H$1:$H$493=$F$21)*('ESDS-Reference Table'!$I$1:$I$493=$F$23),0)),"Select Region and Activity")</f>
        <v>Mandatory</v>
      </c>
      <c r="J118" s="1165" t="s">
        <v>726</v>
      </c>
      <c r="K118" s="1953">
        <f t="shared" si="3"/>
        <v>0</v>
      </c>
      <c r="L118" s="1151"/>
    </row>
    <row r="119" spans="2:16" s="1380" customFormat="1">
      <c r="B119" s="1231"/>
      <c r="C119" s="1153"/>
      <c r="D119" s="1232"/>
      <c r="E119" s="1233">
        <v>7.9</v>
      </c>
      <c r="F119" s="2399" t="s">
        <v>800</v>
      </c>
      <c r="G119" s="2030"/>
      <c r="H119" s="2031"/>
      <c r="I119" s="1230" t="str">
        <f t="array" ref="I119">IFERROR(INDEX('ESDS-Reference Table'!$G$1:$G$493,MATCH(1,('ESDS-Reference Table'!$F$1:$F$493=E119)*('ESDS-Reference Table'!$H$1:$H$493=$F$21)*('ESDS-Reference Table'!$I$1:$I$493=$F$23),0)),"Select Region and Activity")</f>
        <v>Mandatory</v>
      </c>
      <c r="J119" s="1165" t="s">
        <v>726</v>
      </c>
      <c r="K119" s="1953">
        <f t="shared" si="3"/>
        <v>0</v>
      </c>
      <c r="L119" s="1234"/>
      <c r="N119" s="1375"/>
    </row>
    <row r="120" spans="2:16">
      <c r="B120" s="1150"/>
      <c r="C120" s="1153"/>
      <c r="D120" s="1953"/>
      <c r="E120" s="1235" t="s">
        <v>279</v>
      </c>
      <c r="F120" s="2399" t="s">
        <v>801</v>
      </c>
      <c r="G120" s="2030"/>
      <c r="H120" s="2031"/>
      <c r="I120" s="1230" t="str">
        <f t="array" ref="I120">IFERROR(INDEX('ESDS-Reference Table'!$G$1:$G$493,MATCH(1,('ESDS-Reference Table'!$F$1:$F$493=E120)*('ESDS-Reference Table'!$H$1:$H$493=$F$21)*('ESDS-Reference Table'!$I$1:$I$493=$F$23),0)),"Select Region and Activity")</f>
        <v>Mandatory</v>
      </c>
      <c r="J120" s="1165" t="s">
        <v>726</v>
      </c>
      <c r="K120" s="1953">
        <f t="shared" si="3"/>
        <v>0</v>
      </c>
      <c r="L120" s="1151"/>
      <c r="N120" s="336"/>
    </row>
    <row r="121" spans="2:16">
      <c r="B121" s="1150"/>
      <c r="C121" s="1153"/>
      <c r="D121" s="1953"/>
      <c r="E121" s="1226">
        <v>7.11</v>
      </c>
      <c r="F121" s="2399" t="s">
        <v>802</v>
      </c>
      <c r="G121" s="2030"/>
      <c r="H121" s="2031"/>
      <c r="I121" s="1230" t="str">
        <f t="array" ref="I121">IFERROR(INDEX('ESDS-Reference Table'!$G$1:$G$493,MATCH(1,('ESDS-Reference Table'!$F$1:$F$493=E121)*('ESDS-Reference Table'!$H$1:$H$493=$F$21)*('ESDS-Reference Table'!$I$1:$I$493=$F$23),0)),"Select Region and Activity")</f>
        <v>Mandatory</v>
      </c>
      <c r="J121" s="1165" t="s">
        <v>726</v>
      </c>
      <c r="K121" s="1953">
        <f t="shared" si="3"/>
        <v>0</v>
      </c>
      <c r="L121" s="1151"/>
    </row>
    <row r="122" spans="2:16">
      <c r="B122" s="1150"/>
      <c r="C122" s="1153"/>
      <c r="D122" s="1953"/>
      <c r="E122" s="1226">
        <v>7.12</v>
      </c>
      <c r="F122" s="2399" t="s">
        <v>803</v>
      </c>
      <c r="G122" s="2030"/>
      <c r="H122" s="2031"/>
      <c r="I122" s="1230" t="str">
        <f t="array" ref="I122">IFERROR(INDEX('ESDS-Reference Table'!$G$1:$G$493,MATCH(1,('ESDS-Reference Table'!$F$1:$F$493=E122)*('ESDS-Reference Table'!$H$1:$H$493=$F$21)*('ESDS-Reference Table'!$I$1:$I$493=$F$23),0)),"Select Region and Activity")</f>
        <v>Mandatory</v>
      </c>
      <c r="J122" s="1165" t="s">
        <v>726</v>
      </c>
      <c r="K122" s="1953">
        <f t="shared" si="3"/>
        <v>0</v>
      </c>
      <c r="L122" s="1151"/>
    </row>
    <row r="123" spans="2:16">
      <c r="B123" s="1150"/>
      <c r="C123" s="1153"/>
      <c r="D123" s="1953"/>
      <c r="E123" s="1222" t="s">
        <v>281</v>
      </c>
      <c r="F123" s="2399" t="s">
        <v>804</v>
      </c>
      <c r="G123" s="2030"/>
      <c r="H123" s="2031"/>
      <c r="I123" s="1230" t="str">
        <f t="array" ref="I123">IFERROR(INDEX('ESDS-Reference Table'!$G$1:$G$493,MATCH(1,('ESDS-Reference Table'!$F$1:$F$493=E123)*('ESDS-Reference Table'!$H$1:$H$493=$F$21)*('ESDS-Reference Table'!$I$1:$I$493=$F$23),0)),"Select Region and Activity")</f>
        <v>Mandatory</v>
      </c>
      <c r="J123" s="1165" t="s">
        <v>726</v>
      </c>
      <c r="K123" s="1953">
        <f t="shared" si="3"/>
        <v>0</v>
      </c>
      <c r="L123" s="1151"/>
      <c r="N123" s="336"/>
    </row>
    <row r="124" spans="2:16">
      <c r="B124" s="1150"/>
      <c r="C124" s="1153"/>
      <c r="D124" s="1953"/>
      <c r="E124" s="1222" t="s">
        <v>282</v>
      </c>
      <c r="F124" s="2399" t="s">
        <v>804</v>
      </c>
      <c r="G124" s="2030"/>
      <c r="H124" s="2031"/>
      <c r="I124" s="1230" t="str">
        <f t="array" ref="I124">IFERROR(INDEX('ESDS-Reference Table'!$G$1:$G$493,MATCH(1,('ESDS-Reference Table'!$F$1:$F$493=E124)*('ESDS-Reference Table'!$H$1:$H$493=$F$21)*('ESDS-Reference Table'!$I$1:$I$493=$F$23),0)),"Select Region and Activity")</f>
        <v>0,2,3,4,5,6,7 or 8</v>
      </c>
      <c r="J124" s="1165">
        <v>0</v>
      </c>
      <c r="K124" s="1953">
        <f t="shared" si="3"/>
        <v>0</v>
      </c>
      <c r="L124" s="1151"/>
      <c r="N124" s="336"/>
    </row>
    <row r="125" spans="2:16">
      <c r="B125" s="1150"/>
      <c r="C125" s="1153"/>
      <c r="D125" s="1953"/>
      <c r="E125" s="1226">
        <v>7.14</v>
      </c>
      <c r="F125" s="2399" t="s">
        <v>805</v>
      </c>
      <c r="G125" s="2030"/>
      <c r="H125" s="2031"/>
      <c r="I125" s="1230" t="str">
        <f t="array" ref="I125">IFERROR(INDEX('ESDS-Reference Table'!$G$1:$G$493,MATCH(1,('ESDS-Reference Table'!$F$1:$F$493=E125)*('ESDS-Reference Table'!$H$1:$H$493=$F$21)*('ESDS-Reference Table'!$I$1:$I$493=$F$23),0)),"Select Region and Activity")</f>
        <v>Mandatory</v>
      </c>
      <c r="J125" s="1165" t="s">
        <v>726</v>
      </c>
      <c r="K125" s="1953">
        <f t="shared" si="3"/>
        <v>0</v>
      </c>
      <c r="L125" s="1151"/>
    </row>
    <row r="126" spans="2:16">
      <c r="B126" s="1150"/>
      <c r="C126" s="1153"/>
      <c r="D126" s="1953"/>
      <c r="E126" s="1226">
        <v>7.15</v>
      </c>
      <c r="F126" s="2399" t="s">
        <v>806</v>
      </c>
      <c r="G126" s="2030"/>
      <c r="H126" s="2031"/>
      <c r="I126" s="1230" t="str">
        <f t="array" ref="I126">IFERROR(INDEX('ESDS-Reference Table'!$G$1:$G$493,MATCH(1,('ESDS-Reference Table'!$F$1:$F$493=E126)*('ESDS-Reference Table'!$H$1:$H$493=$F$21)*('ESDS-Reference Table'!$I$1:$I$493=$F$23),0)),"Select Region and Activity")</f>
        <v>Mandatory</v>
      </c>
      <c r="J126" s="1165" t="s">
        <v>726</v>
      </c>
      <c r="K126" s="1953">
        <f t="shared" si="3"/>
        <v>0</v>
      </c>
      <c r="L126" s="1151"/>
    </row>
    <row r="127" spans="2:16">
      <c r="B127" s="1150"/>
      <c r="C127" s="1153"/>
      <c r="D127" s="1953"/>
      <c r="E127" s="1226">
        <v>7.16</v>
      </c>
      <c r="F127" s="2399" t="s">
        <v>807</v>
      </c>
      <c r="G127" s="2030"/>
      <c r="H127" s="2031"/>
      <c r="I127" s="1230" t="str">
        <f t="array" ref="I127">IFERROR(INDEX('ESDS-Reference Table'!$G$1:$G$493,MATCH(1,('ESDS-Reference Table'!$F$1:$F$493=E127)*('ESDS-Reference Table'!$H$1:$H$493=$F$21)*('ESDS-Reference Table'!$I$1:$I$493=$F$23),0)),"Select Region and Activity")</f>
        <v>Mandatory</v>
      </c>
      <c r="J127" s="1165" t="s">
        <v>726</v>
      </c>
      <c r="K127" s="1953">
        <f t="shared" si="3"/>
        <v>0</v>
      </c>
      <c r="L127" s="1151"/>
    </row>
    <row r="128" spans="2:16">
      <c r="B128" s="1150"/>
      <c r="C128" s="1153"/>
      <c r="D128" s="1953"/>
      <c r="E128" s="1227">
        <v>7.17</v>
      </c>
      <c r="F128" s="2402" t="s">
        <v>808</v>
      </c>
      <c r="G128" s="2389"/>
      <c r="H128" s="2403"/>
      <c r="I128" s="1207" t="str">
        <f t="array" ref="I128">IFERROR(INDEX('ESDS-Reference Table'!$G$1:$G$493,MATCH(1,('ESDS-Reference Table'!$F$1:$F$493=E128)*('ESDS-Reference Table'!$H$1:$H$493=$F$21)*('ESDS-Reference Table'!$I$1:$I$493=$F$23),0)),"Select Region and Activity")</f>
        <v>Mandatory</v>
      </c>
      <c r="J128" s="1165" t="s">
        <v>726</v>
      </c>
      <c r="K128" s="1953">
        <f t="shared" si="3"/>
        <v>0</v>
      </c>
      <c r="L128" s="1151"/>
    </row>
    <row r="129" spans="2:12">
      <c r="B129" s="1150"/>
      <c r="C129" s="1153"/>
      <c r="D129" s="1953"/>
      <c r="E129" s="1171"/>
      <c r="F129" s="1172"/>
      <c r="G129" s="1173"/>
      <c r="H129" s="1173"/>
      <c r="I129" s="1174" t="s">
        <v>809</v>
      </c>
      <c r="J129" s="1175">
        <f>SUM(J108:J128)</f>
        <v>0</v>
      </c>
      <c r="K129" s="1953"/>
      <c r="L129" s="1151"/>
    </row>
    <row r="130" spans="2:12" ht="7.5" customHeight="1" thickBot="1">
      <c r="B130" s="1236"/>
      <c r="C130" s="1214"/>
      <c r="D130" s="1214"/>
      <c r="E130" s="1211"/>
      <c r="F130" s="1212"/>
      <c r="G130" s="1211"/>
      <c r="H130" s="1211"/>
      <c r="I130" s="1213"/>
      <c r="J130" s="1212"/>
      <c r="K130" s="1214"/>
      <c r="L130" s="1215"/>
    </row>
    <row r="131" spans="2:12" ht="7.5" customHeight="1">
      <c r="B131" s="1147"/>
      <c r="C131" s="1148"/>
      <c r="D131" s="1148"/>
      <c r="E131" s="1218"/>
      <c r="F131" s="1148"/>
      <c r="G131" s="1218"/>
      <c r="H131" s="1218"/>
      <c r="I131" s="1219"/>
      <c r="J131" s="1148"/>
      <c r="K131" s="1148"/>
      <c r="L131" s="1149"/>
    </row>
    <row r="132" spans="2:12">
      <c r="B132" s="1150"/>
      <c r="C132" s="1153"/>
      <c r="D132" s="1953"/>
      <c r="E132" s="1220" t="s">
        <v>810</v>
      </c>
      <c r="F132" s="1953"/>
      <c r="G132" s="1220"/>
      <c r="H132" s="1220"/>
      <c r="I132" s="1177"/>
      <c r="J132" s="1953"/>
      <c r="K132" s="1953"/>
      <c r="L132" s="1151"/>
    </row>
    <row r="133" spans="2:12">
      <c r="B133" s="1150"/>
      <c r="C133" s="1153"/>
      <c r="D133" s="1953"/>
      <c r="E133" s="1158" t="s">
        <v>721</v>
      </c>
      <c r="F133" s="1159" t="s">
        <v>722</v>
      </c>
      <c r="G133" s="1160"/>
      <c r="H133" s="1160"/>
      <c r="I133" s="1161" t="s">
        <v>723</v>
      </c>
      <c r="J133" s="1162" t="s">
        <v>724</v>
      </c>
      <c r="K133" s="1953"/>
      <c r="L133" s="1151"/>
    </row>
    <row r="134" spans="2:12">
      <c r="B134" s="1150"/>
      <c r="C134" s="1153"/>
      <c r="D134" s="1953"/>
      <c r="E134" s="1221" t="s">
        <v>289</v>
      </c>
      <c r="F134" s="2035" t="s">
        <v>811</v>
      </c>
      <c r="G134" s="2384"/>
      <c r="H134" s="2401"/>
      <c r="I134" s="1229" t="str">
        <f t="array" ref="I134">IFERROR(INDEX('ESDS-Reference Table'!$G$1:$G$493,MATCH(1,('ESDS-Reference Table'!$F$1:$F$493=E134)*('ESDS-Reference Table'!$H$1:$H$493=$F$21)*('ESDS-Reference Table'!$I$1:$I$493=$F$23),0)),"Select Region and Activity")</f>
        <v>Mandatory</v>
      </c>
      <c r="J134" s="1165" t="s">
        <v>726</v>
      </c>
      <c r="K134" s="1953">
        <f>N(J134)</f>
        <v>0</v>
      </c>
      <c r="L134" s="1151"/>
    </row>
    <row r="135" spans="2:12">
      <c r="B135" s="1150"/>
      <c r="C135" s="1153"/>
      <c r="D135" s="1953"/>
      <c r="E135" s="1237" t="s">
        <v>291</v>
      </c>
      <c r="F135" s="1238" t="s">
        <v>812</v>
      </c>
      <c r="G135" s="1239"/>
      <c r="H135" s="1240"/>
      <c r="I135" s="1230" t="str">
        <f t="array" ref="I135">IFERROR(INDEX('ESDS-Reference Table'!$G$1:$G$493,MATCH(1,('ESDS-Reference Table'!$F$1:$F$493=E135)*('ESDS-Reference Table'!$H$1:$H$493=$F$21)*('ESDS-Reference Table'!$I$1:$I$493=$F$23),0)),"Select Region and Activity")</f>
        <v>0 or 7</v>
      </c>
      <c r="J135" s="1165">
        <v>7</v>
      </c>
      <c r="K135" s="1953"/>
      <c r="L135" s="1151"/>
    </row>
    <row r="136" spans="2:12">
      <c r="B136" s="1150"/>
      <c r="C136" s="1153"/>
      <c r="D136" s="1953"/>
      <c r="E136" s="1224">
        <v>8.1999999999999993</v>
      </c>
      <c r="F136" s="2029" t="s">
        <v>813</v>
      </c>
      <c r="G136" s="2030"/>
      <c r="H136" s="2031"/>
      <c r="I136" s="1230" t="str">
        <f t="array" ref="I136">IFERROR(INDEX('ESDS-Reference Table'!$G$1:$G$493,MATCH(1,('ESDS-Reference Table'!$F$1:$F$493=E136)*('ESDS-Reference Table'!$H$1:$H$493=$F$21)*('ESDS-Reference Table'!$I$1:$I$493=$F$23),0)),"Select Region and Activity")</f>
        <v>Mandatory for Multifamily Projects</v>
      </c>
      <c r="J136" s="1165" t="s">
        <v>726</v>
      </c>
      <c r="K136" s="1953">
        <f>N(J136)</f>
        <v>0</v>
      </c>
      <c r="L136" s="1151"/>
    </row>
    <row r="137" spans="2:12">
      <c r="B137" s="1150"/>
      <c r="C137" s="1153"/>
      <c r="D137" s="1953"/>
      <c r="E137" s="1224">
        <v>8.3000000000000007</v>
      </c>
      <c r="F137" s="2029" t="s">
        <v>814</v>
      </c>
      <c r="G137" s="2030"/>
      <c r="H137" s="2031"/>
      <c r="I137" s="1230" t="str">
        <f t="array" ref="I137">IFERROR(INDEX('ESDS-Reference Table'!$G$1:$G$493,MATCH(1,('ESDS-Reference Table'!$F$1:$F$493=E137)*('ESDS-Reference Table'!$H$1:$H$493=$F$21)*('ESDS-Reference Table'!$I$1:$I$493=$F$23),0)),"Select Region and Activity")</f>
        <v>Mandatory</v>
      </c>
      <c r="J137" s="1165" t="s">
        <v>726</v>
      </c>
      <c r="K137" s="1953">
        <f>N(J137)</f>
        <v>0</v>
      </c>
      <c r="L137" s="1151"/>
    </row>
    <row r="138" spans="2:12">
      <c r="B138" s="1150"/>
      <c r="C138" s="1153"/>
      <c r="D138" s="1953"/>
      <c r="E138" s="1224">
        <v>8.4</v>
      </c>
      <c r="F138" s="2399" t="s">
        <v>815</v>
      </c>
      <c r="G138" s="2030"/>
      <c r="H138" s="2031"/>
      <c r="I138" s="1230" t="str">
        <f t="array" ref="I138">IFERROR(INDEX('ESDS-Reference Table'!$G$1:$G$493,MATCH(1,('ESDS-Reference Table'!$F$1:$F$493=E138)*('ESDS-Reference Table'!$H$1:$H$493=$F$21)*('ESDS-Reference Table'!$I$1:$I$493=$F$23),0)),"Select Region and Activity")</f>
        <v>0,3,5 or 8</v>
      </c>
      <c r="J138" s="1165">
        <v>0</v>
      </c>
      <c r="K138" s="1953">
        <f>N(J138)</f>
        <v>0</v>
      </c>
      <c r="L138" s="1151"/>
    </row>
    <row r="139" spans="2:12">
      <c r="B139" s="1150"/>
      <c r="C139" s="1153"/>
      <c r="D139" s="1953"/>
      <c r="E139" s="1241">
        <v>8.5</v>
      </c>
      <c r="F139" s="2402" t="s">
        <v>816</v>
      </c>
      <c r="G139" s="2389"/>
      <c r="H139" s="2403"/>
      <c r="I139" s="1207" t="str">
        <f t="array" ref="I139">IFERROR(INDEX('ESDS-Reference Table'!$G$1:$G$493,MATCH(1,('ESDS-Reference Table'!$F$1:$F$493=E139)*('ESDS-Reference Table'!$H$1:$H$493=$F$21)*('ESDS-Reference Table'!$I$1:$I$493=$F$23),0)),"Select Region and Activity")</f>
        <v>Mandatory</v>
      </c>
      <c r="J139" s="1165" t="s">
        <v>726</v>
      </c>
      <c r="K139" s="1953">
        <f>N(J139)</f>
        <v>0</v>
      </c>
      <c r="L139" s="1151"/>
    </row>
    <row r="140" spans="2:12">
      <c r="B140" s="1150"/>
      <c r="C140" s="1153"/>
      <c r="D140" s="1953"/>
      <c r="E140" s="1171"/>
      <c r="F140" s="1172"/>
      <c r="G140" s="1173"/>
      <c r="H140" s="1173"/>
      <c r="I140" s="1174" t="s">
        <v>817</v>
      </c>
      <c r="J140" s="1175">
        <f>SUM(J134:J139)</f>
        <v>7</v>
      </c>
      <c r="K140" s="1953"/>
      <c r="L140" s="1151"/>
    </row>
    <row r="141" spans="2:12" ht="15" thickBot="1">
      <c r="B141" s="1150"/>
      <c r="C141" s="1153"/>
      <c r="D141" s="1953"/>
      <c r="E141" s="1953"/>
      <c r="F141" s="1953"/>
      <c r="G141" s="1953"/>
      <c r="H141" s="1953"/>
      <c r="I141" s="1953"/>
      <c r="J141" s="1953"/>
      <c r="K141" s="1953"/>
      <c r="L141" s="1151"/>
    </row>
    <row r="142" spans="2:12">
      <c r="B142" s="1150"/>
      <c r="C142" s="1153"/>
      <c r="D142" s="1953"/>
      <c r="E142" s="1953"/>
      <c r="F142" s="1953"/>
      <c r="G142" s="1953"/>
      <c r="H142" s="1953"/>
      <c r="I142" s="1242" t="s">
        <v>818</v>
      </c>
      <c r="J142" s="1243">
        <f>J33</f>
        <v>6</v>
      </c>
      <c r="K142" s="1953"/>
      <c r="L142" s="1151"/>
    </row>
    <row r="143" spans="2:12">
      <c r="B143" s="1150"/>
      <c r="C143" s="1153"/>
      <c r="D143" s="1953"/>
      <c r="E143" s="1953"/>
      <c r="F143" s="1953"/>
      <c r="G143" s="1953"/>
      <c r="H143" s="1953"/>
      <c r="I143" s="1244" t="s">
        <v>819</v>
      </c>
      <c r="J143" s="1245">
        <f>J48</f>
        <v>17</v>
      </c>
      <c r="K143" s="1953"/>
      <c r="L143" s="1151"/>
    </row>
    <row r="144" spans="2:12">
      <c r="B144" s="1150"/>
      <c r="C144" s="1153"/>
      <c r="D144" s="1953"/>
      <c r="E144" s="1953"/>
      <c r="F144" s="1953"/>
      <c r="G144" s="1953"/>
      <c r="H144" s="1953"/>
      <c r="I144" s="1244" t="s">
        <v>820</v>
      </c>
      <c r="J144" s="1245">
        <f>J60</f>
        <v>5</v>
      </c>
      <c r="K144" s="1953"/>
      <c r="L144" s="1151"/>
    </row>
    <row r="145" spans="2:12">
      <c r="B145" s="1150"/>
      <c r="C145" s="1153"/>
      <c r="D145" s="1953"/>
      <c r="E145" s="1953"/>
      <c r="F145" s="1953"/>
      <c r="G145" s="1953"/>
      <c r="H145" s="1953"/>
      <c r="I145" s="1244" t="s">
        <v>821</v>
      </c>
      <c r="J145" s="1245">
        <f>J69</f>
        <v>9</v>
      </c>
      <c r="K145" s="1953"/>
      <c r="L145" s="1151"/>
    </row>
    <row r="146" spans="2:12">
      <c r="B146" s="1150"/>
      <c r="C146" s="1153"/>
      <c r="D146" s="1953"/>
      <c r="E146" s="1953"/>
      <c r="F146" s="1953"/>
      <c r="G146" s="1953"/>
      <c r="H146" s="1953"/>
      <c r="I146" s="1244" t="s">
        <v>822</v>
      </c>
      <c r="J146" s="1245">
        <f>J92</f>
        <v>3</v>
      </c>
      <c r="K146" s="1953"/>
      <c r="L146" s="1151"/>
    </row>
    <row r="147" spans="2:12">
      <c r="B147" s="1150"/>
      <c r="C147" s="1153"/>
      <c r="D147" s="1953"/>
      <c r="E147" s="1953"/>
      <c r="F147" s="1953"/>
      <c r="G147" s="1953"/>
      <c r="H147" s="1953"/>
      <c r="I147" s="1244" t="s">
        <v>823</v>
      </c>
      <c r="J147" s="1245">
        <f>J103</f>
        <v>9</v>
      </c>
      <c r="K147" s="1953"/>
      <c r="L147" s="1151"/>
    </row>
    <row r="148" spans="2:12">
      <c r="B148" s="1150"/>
      <c r="C148" s="1153"/>
      <c r="D148" s="1953"/>
      <c r="E148" s="1953"/>
      <c r="F148" s="1953"/>
      <c r="G148" s="1953"/>
      <c r="H148" s="1953"/>
      <c r="I148" s="1244" t="s">
        <v>824</v>
      </c>
      <c r="J148" s="1245">
        <f>J129</f>
        <v>0</v>
      </c>
      <c r="K148" s="1953"/>
      <c r="L148" s="1151"/>
    </row>
    <row r="149" spans="2:12" ht="15" thickBot="1">
      <c r="B149" s="1150"/>
      <c r="C149" s="1153"/>
      <c r="D149" s="1953"/>
      <c r="E149" s="1953"/>
      <c r="F149" s="1953"/>
      <c r="G149" s="1953"/>
      <c r="H149" s="1953"/>
      <c r="I149" s="1246" t="s">
        <v>825</v>
      </c>
      <c r="J149" s="1247">
        <f>J140</f>
        <v>7</v>
      </c>
      <c r="K149" s="1953"/>
      <c r="L149" s="1151"/>
    </row>
    <row r="150" spans="2:12" ht="15.6" thickTop="1" thickBot="1">
      <c r="B150" s="1150"/>
      <c r="C150" s="1153"/>
      <c r="D150" s="1953"/>
      <c r="E150" s="1953"/>
      <c r="F150" s="1953"/>
      <c r="G150" s="1953"/>
      <c r="H150" s="1953"/>
      <c r="I150" s="1248" t="s">
        <v>826</v>
      </c>
      <c r="J150" s="1249">
        <f>SUM(J142:J149)</f>
        <v>56</v>
      </c>
      <c r="K150" s="1953"/>
      <c r="L150" s="1151"/>
    </row>
    <row r="151" spans="2:12" ht="9" customHeight="1" thickBot="1">
      <c r="B151" s="1236"/>
      <c r="C151" s="1214"/>
      <c r="D151" s="1214"/>
      <c r="E151" s="1214"/>
      <c r="F151" s="1214"/>
      <c r="G151" s="1214"/>
      <c r="H151" s="1214"/>
      <c r="I151" s="1214"/>
      <c r="J151" s="1214"/>
      <c r="K151" s="1214"/>
      <c r="L151" s="1215"/>
    </row>
  </sheetData>
  <sheetProtection algorithmName="SHA-512" hashValue="Sg2jp4rvaUcJHayRzUsvzR8RWeR/bwHo9hUvCI7EVIdo5nIRGDVt4B7y4J0F5KVZGlfPWr04cCJNTQkdCVYWwg==" saltValue="81mHp0ETDUKF82GNqPwhxA==" spinCount="100000" sheet="1" formatCells="0" formatColumns="0" formatRows="0"/>
  <dataConsolidate/>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91" priority="10">
      <formula>I74="n/a"</formula>
    </cfRule>
  </conditionalFormatting>
  <conditionalFormatting sqref="J27">
    <cfRule type="expression" dxfId="90" priority="17">
      <formula>I27="n/a"</formula>
    </cfRule>
  </conditionalFormatting>
  <conditionalFormatting sqref="J28">
    <cfRule type="expression" dxfId="89" priority="16">
      <formula>I28="n/a"</formula>
    </cfRule>
  </conditionalFormatting>
  <conditionalFormatting sqref="J29">
    <cfRule type="expression" dxfId="88" priority="15">
      <formula>I29="n/a"</formula>
    </cfRule>
  </conditionalFormatting>
  <conditionalFormatting sqref="J30:J32">
    <cfRule type="expression" dxfId="87" priority="14">
      <formula>I30="n/a"</formula>
    </cfRule>
  </conditionalFormatting>
  <conditionalFormatting sqref="J37:J47">
    <cfRule type="expression" dxfId="86" priority="13">
      <formula>I37="n/a"</formula>
    </cfRule>
  </conditionalFormatting>
  <conditionalFormatting sqref="J52:J59">
    <cfRule type="expression" dxfId="85" priority="12">
      <formula>I52="n/a"</formula>
    </cfRule>
  </conditionalFormatting>
  <conditionalFormatting sqref="J64:J68">
    <cfRule type="expression" dxfId="84" priority="11">
      <formula>I64="n/a"</formula>
    </cfRule>
  </conditionalFormatting>
  <conditionalFormatting sqref="J96:J102">
    <cfRule type="expression" dxfId="83" priority="9">
      <formula>I96="n/a"</formula>
    </cfRule>
  </conditionalFormatting>
  <conditionalFormatting sqref="J108:J128">
    <cfRule type="expression" dxfId="82" priority="8">
      <formula>I108="n/a"</formula>
    </cfRule>
  </conditionalFormatting>
  <conditionalFormatting sqref="J134:J139">
    <cfRule type="expression" dxfId="81" priority="7">
      <formula>I134="n/a"</formula>
    </cfRule>
  </conditionalFormatting>
  <conditionalFormatting sqref="G22 G24">
    <cfRule type="expression" dxfId="80" priority="19">
      <formula>$F$23&lt;&gt;"Rehab"</formula>
    </cfRule>
  </conditionalFormatting>
  <conditionalFormatting sqref="H24">
    <cfRule type="expression" dxfId="79" priority="22">
      <formula>$F$23&lt;&gt;"Rehab"</formula>
    </cfRule>
  </conditionalFormatting>
  <conditionalFormatting sqref="D15 C15:C69">
    <cfRule type="expression" dxfId="78" priority="20">
      <formula>$F$21="Rural"</formula>
    </cfRule>
    <cfRule type="expression" dxfId="77" priority="21">
      <formula>$F$21="Urban"</formula>
    </cfRule>
  </conditionalFormatting>
  <conditionalFormatting sqref="C72:C129">
    <cfRule type="expression" dxfId="76" priority="3">
      <formula>$F$21="Rural"</formula>
    </cfRule>
    <cfRule type="expression" dxfId="75" priority="4">
      <formula>$F$21="Urban"</formula>
    </cfRule>
  </conditionalFormatting>
  <conditionalFormatting sqref="C132:C150">
    <cfRule type="expression" dxfId="74" priority="1">
      <formula>$F$21="Rural"</formula>
    </cfRule>
    <cfRule type="expression" dxfId="73" priority="2">
      <formula>$F$21="Urban"</formula>
    </cfRule>
  </conditionalFormatting>
  <dataValidations count="37">
    <dataValidation type="list" allowBlank="1" showInputMessage="1" showErrorMessage="1" sqref="J124" xr:uid="{00000000-0002-0000-0B00-000000000000}">
      <formula1>INDIRECT($F$21&amp;(SUBSTITUTE(F23," ",""))&amp;$E$124)</formula1>
    </dataValidation>
    <dataValidation type="list" allowBlank="1" showInputMessage="1" showErrorMessage="1" sqref="J114" xr:uid="{00000000-0002-0000-0B00-000001000000}">
      <formula1>INDIRECT($F$21&amp;(SUBSTITUTE(F23," ",""))&amp;$E$114)</formula1>
    </dataValidation>
    <dataValidation type="list" allowBlank="1" showInputMessage="1" showErrorMessage="1" sqref="J112" xr:uid="{00000000-0002-0000-0B00-000002000000}">
      <formula1>INDIRECT($F$21&amp;(SUBSTITUTE(F23," ",""))&amp;$E$112)</formula1>
    </dataValidation>
    <dataValidation type="list" allowBlank="1" showInputMessage="1" showErrorMessage="1" sqref="J91" xr:uid="{00000000-0002-0000-0B00-000003000000}">
      <formula1>INDIRECT($F$21&amp;(SUBSTITUTE(F23," ",""))&amp;$E$91)</formula1>
    </dataValidation>
    <dataValidation type="list" allowBlank="1" showInputMessage="1" showErrorMessage="1" sqref="J90" xr:uid="{00000000-0002-0000-0B00-000004000000}">
      <formula1>INDIRECT($F$21&amp;(SUBSTITUTE(F23," ",""))&amp;$E$90)</formula1>
    </dataValidation>
    <dataValidation type="list" allowBlank="1" showInputMessage="1" showErrorMessage="1" sqref="J89" xr:uid="{00000000-0002-0000-0B00-000005000000}">
      <formula1>INDIRECT($F$21&amp;(SUBSTITUTE(F23," ",""))&amp;$E$89)</formula1>
    </dataValidation>
    <dataValidation type="list" allowBlank="1" showInputMessage="1" showErrorMessage="1" sqref="J88" xr:uid="{00000000-0002-0000-0B00-000006000000}">
      <formula1>INDIRECT($F$21&amp;(SUBSTITUTE(F23," ",""))&amp;$E$88)</formula1>
    </dataValidation>
    <dataValidation type="list" allowBlank="1" showInputMessage="1" showErrorMessage="1" sqref="J86" xr:uid="{00000000-0002-0000-0B00-000007000000}">
      <formula1>INDIRECT($F$21&amp;(SUBSTITUTE(F23," ",""))&amp;$E$86)</formula1>
    </dataValidation>
    <dataValidation type="list" allowBlank="1" showInputMessage="1" showErrorMessage="1" sqref="J84" xr:uid="{00000000-0002-0000-0B00-000008000000}">
      <formula1>INDIRECT($F$21&amp;(SUBSTITUTE(F23," ",""))&amp;$E$84)</formula1>
    </dataValidation>
    <dataValidation type="list" allowBlank="1" showInputMessage="1" showErrorMessage="1" sqref="J83" xr:uid="{00000000-0002-0000-0B00-000009000000}">
      <formula1>INDIRECT($F$21&amp;(SUBSTITUTE(F23," ",""))&amp;$E$83)</formula1>
    </dataValidation>
    <dataValidation type="list" allowBlank="1" showInputMessage="1" showErrorMessage="1" sqref="J77" xr:uid="{00000000-0002-0000-0B00-00000A000000}">
      <formula1>INDIRECT($F$21&amp;(SUBSTITUTE(F23," ",""))&amp;$E$77)</formula1>
    </dataValidation>
    <dataValidation type="list" allowBlank="1" showInputMessage="1" showErrorMessage="1" sqref="J75" xr:uid="{00000000-0002-0000-0B00-00000B000000}">
      <formula1>INDIRECT($F$21&amp;(SUBSTITUTE(F23," ",""))&amp;$E$75)</formula1>
    </dataValidation>
    <dataValidation type="list" allowBlank="1" showInputMessage="1" showErrorMessage="1" sqref="J76" xr:uid="{00000000-0002-0000-0B00-00000C000000}">
      <formula1>INDIRECT($F$21&amp;(SUBSTITUTE(F23," ",""))&amp;$E$76)</formula1>
    </dataValidation>
    <dataValidation type="list" allowBlank="1" showInputMessage="1" showErrorMessage="1" sqref="J66" xr:uid="{00000000-0002-0000-0B00-00000D000000}">
      <formula1>INDIRECT($F$21&amp;(SUBSTITUTE(F23," ",""))&amp;$E$66)</formula1>
    </dataValidation>
    <dataValidation type="list" allowBlank="1" showInputMessage="1" showErrorMessage="1" sqref="J44" xr:uid="{00000000-0002-0000-0B00-00000E000000}">
      <formula1>INDIRECT($F$21&amp;(SUBSTITUTE(F23," ",""))&amp;$E$44)</formula1>
    </dataValidation>
    <dataValidation type="list" allowBlank="1" showInputMessage="1" showErrorMessage="1" sqref="J38" xr:uid="{00000000-0002-0000-0B00-00000F000000}">
      <formula1>INDIRECT($F$21&amp;(SUBSTITUTE(F23," ",""))&amp;$E$38)</formula1>
    </dataValidation>
    <dataValidation type="list" allowBlank="1" showInputMessage="1" showErrorMessage="1" sqref="F21:G21" xr:uid="{00000000-0002-0000-0B00-000010000000}">
      <formula1>Region</formula1>
    </dataValidation>
    <dataValidation type="list" allowBlank="1" showInputMessage="1" showErrorMessage="1" sqref="F23:G23" xr:uid="{00000000-0002-0000-0B00-000011000000}">
      <formula1>Type</formula1>
    </dataValidation>
    <dataValidation type="list" allowBlank="1" showInputMessage="1" showErrorMessage="1" sqref="J27 J30 J37 J39 J42:J43 J52:J54 J57 J59 J64 J74 J79 J81:J82 J87 J96:J97 J108:J109 J111 J113 J115:J123 J125:J128 J134 J136:J137 J139" xr:uid="{00000000-0002-0000-0B00-000012000000}">
      <formula1>"x,n/a"</formula1>
    </dataValidation>
    <dataValidation type="list" allowBlank="1" showInputMessage="1" showErrorMessage="1" sqref="J138" xr:uid="{00000000-0002-0000-0B00-000013000000}">
      <formula1>"0,3,5,8"</formula1>
    </dataValidation>
    <dataValidation type="list" allowBlank="1" showInputMessage="1" showErrorMessage="1" sqref="J110" xr:uid="{00000000-0002-0000-0B00-000014000000}">
      <formula1>"0,6"</formula1>
    </dataValidation>
    <dataValidation type="list" allowBlank="1" showInputMessage="1" showErrorMessage="1" sqref="J99" xr:uid="{00000000-0002-0000-0B00-000015000000}">
      <formula1>"0,0.5,1,1.5,2,2.5,3,3.5,4,4.5,5,5.5,6,6.5,7,7.5,8,8.5,9,9.5,10"</formula1>
    </dataValidation>
    <dataValidation type="list" allowBlank="1" showInputMessage="1" showErrorMessage="1" sqref="J85" xr:uid="{00000000-0002-0000-0B00-000016000000}">
      <formula1>"0,1"</formula1>
    </dataValidation>
    <dataValidation type="list" allowBlank="1" showInputMessage="1" showErrorMessage="1" sqref="J78" xr:uid="{00000000-0002-0000-0B00-000017000000}">
      <formula1>"0,1,2,3,4"</formula1>
    </dataValidation>
    <dataValidation type="list" allowBlank="1" showInputMessage="1" showErrorMessage="1" sqref="J68 J135" xr:uid="{00000000-0002-0000-0B00-000018000000}">
      <formula1>"0,7"</formula1>
    </dataValidation>
    <dataValidation type="list" allowBlank="1" showInputMessage="1" showErrorMessage="1" sqref="J67" xr:uid="{00000000-0002-0000-0B00-000019000000}">
      <formula1>"0,1,2,4,6,8,10,12"</formula1>
    </dataValidation>
    <dataValidation type="list" allowBlank="1" showInputMessage="1" showErrorMessage="1" sqref="J65" xr:uid="{00000000-0002-0000-0B00-00001A000000}">
      <formula1>"0,1,2,3,4,5,6"</formula1>
    </dataValidation>
    <dataValidation type="list" allowBlank="1" showInputMessage="1" showErrorMessage="1" sqref="J58" xr:uid="{00000000-0002-0000-0B00-00001B000000}">
      <formula1>"0,2,4,6"</formula1>
    </dataValidation>
    <dataValidation type="list" allowBlank="1" showInputMessage="1" showErrorMessage="1" sqref="J56 J98" xr:uid="{00000000-0002-0000-0B00-00001C000000}">
      <formula1>"0,1,2,3,4,5"</formula1>
    </dataValidation>
    <dataValidation type="list" allowBlank="1" showInputMessage="1" showErrorMessage="1" sqref="J47 J80" xr:uid="{00000000-0002-0000-0B00-00001D000000}">
      <formula1>"0,3"</formula1>
    </dataValidation>
    <dataValidation type="list" allowBlank="1" showInputMessage="1" showErrorMessage="1" sqref="J45 J100:J101" xr:uid="{00000000-0002-0000-0B00-00001E000000}">
      <formula1>"0,2"</formula1>
    </dataValidation>
    <dataValidation type="list" allowBlank="1" showInputMessage="1" showErrorMessage="1" sqref="J41" xr:uid="{00000000-0002-0000-0B00-00001F000000}">
      <formula1>"X,n/a,5"</formula1>
    </dataValidation>
    <dataValidation type="list" allowBlank="1" showInputMessage="1" showErrorMessage="1" sqref="J40 J46 J55" xr:uid="{00000000-0002-0000-0B00-000020000000}">
      <formula1>"0,5"</formula1>
    </dataValidation>
    <dataValidation type="list" allowBlank="1" showInputMessage="1" showErrorMessage="1" sqref="J32" xr:uid="{00000000-0002-0000-0B00-000021000000}">
      <formula1>"0,3,6"</formula1>
    </dataValidation>
    <dataValidation type="list" allowBlank="1" showInputMessage="1" showErrorMessage="1" sqref="J31" xr:uid="{00000000-0002-0000-0B00-000022000000}">
      <formula1>"0,2,4,6,8,10,12"</formula1>
    </dataValidation>
    <dataValidation type="list" allowBlank="1" showInputMessage="1" showErrorMessage="1" sqref="J29 J102" xr:uid="{00000000-0002-0000-0B00-000023000000}">
      <formula1>"0,1,2,3"</formula1>
    </dataValidation>
    <dataValidation type="list" allowBlank="1" showInputMessage="1" showErrorMessage="1" sqref="J28" xr:uid="{00000000-0002-0000-0B00-000024000000}">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4:H48"/>
  <sheetViews>
    <sheetView showGridLines="0" topLeftCell="A19" zoomScaleNormal="100" workbookViewId="0" xr3:uid="{C67EF94B-0B3B-5838-830C-E3A509766221}">
      <selection activeCell="K34" sqref="K34"/>
    </sheetView>
  </sheetViews>
  <sheetFormatPr defaultColWidth="9.140625" defaultRowHeight="14.45"/>
  <cols>
    <col min="1" max="2" width="1.7109375" style="335" customWidth="1"/>
    <col min="3" max="3" width="42.5703125" style="335" customWidth="1"/>
    <col min="4" max="4" width="11" style="335" customWidth="1"/>
    <col min="5" max="5" width="19.42578125" style="335" bestFit="1" customWidth="1"/>
    <col min="6" max="6" width="10.140625" style="335" customWidth="1"/>
    <col min="7" max="7" width="11" style="335" customWidth="1"/>
    <col min="8" max="8" width="1.7109375" style="335" customWidth="1"/>
    <col min="9" max="16384" width="9.140625" style="335"/>
  </cols>
  <sheetData>
    <row r="14" spans="2:8" ht="9" customHeight="1" thickBot="1"/>
    <row r="15" spans="2:8" ht="9" customHeight="1">
      <c r="B15" s="363"/>
      <c r="C15" s="364"/>
      <c r="D15" s="364"/>
      <c r="E15" s="364"/>
      <c r="F15" s="364"/>
      <c r="G15" s="364"/>
      <c r="H15" s="365"/>
    </row>
    <row r="16" spans="2:8" ht="18.600000000000001">
      <c r="B16" s="366"/>
      <c r="C16" s="2057" t="s">
        <v>827</v>
      </c>
      <c r="D16" s="2057"/>
      <c r="E16" s="2057"/>
      <c r="F16" s="2057"/>
      <c r="G16" s="2057"/>
      <c r="H16" s="367"/>
    </row>
    <row r="17" spans="2:8">
      <c r="B17" s="366"/>
      <c r="C17" s="368"/>
      <c r="D17" s="346"/>
      <c r="E17" s="346"/>
      <c r="F17" s="346"/>
      <c r="G17" s="346"/>
      <c r="H17" s="367"/>
    </row>
    <row r="18" spans="2:8" ht="15" thickBot="1">
      <c r="B18" s="366"/>
      <c r="C18" s="2360" t="str">
        <f>IF('1'!G5="","Enter Project Name on Form 1",(CONCATENATE("Project Name: ",'1'!G5)))</f>
        <v>Project Name: DESC 22nd Avenue PSH</v>
      </c>
      <c r="D18" s="2360"/>
      <c r="E18" s="2360"/>
      <c r="F18" s="2360"/>
      <c r="G18" s="347"/>
      <c r="H18" s="367"/>
    </row>
    <row r="19" spans="2:8" ht="15" thickBot="1">
      <c r="B19" s="366"/>
      <c r="C19" s="368"/>
      <c r="D19" s="346"/>
      <c r="E19" s="346"/>
      <c r="F19" s="346"/>
      <c r="G19" s="346"/>
      <c r="H19" s="367"/>
    </row>
    <row r="20" spans="2:8" ht="29.1">
      <c r="B20" s="366"/>
      <c r="C20" s="925" t="s">
        <v>828</v>
      </c>
      <c r="D20" s="926" t="s">
        <v>829</v>
      </c>
      <c r="E20" s="927" t="s">
        <v>830</v>
      </c>
      <c r="F20" s="926" t="s">
        <v>831</v>
      </c>
      <c r="G20" s="928" t="s">
        <v>832</v>
      </c>
      <c r="H20" s="367"/>
    </row>
    <row r="21" spans="2:8">
      <c r="B21" s="366"/>
      <c r="C21" s="921" t="s">
        <v>7</v>
      </c>
      <c r="D21" s="739" t="s">
        <v>22</v>
      </c>
      <c r="E21" s="740" t="s">
        <v>31</v>
      </c>
      <c r="F21" s="739" t="s">
        <v>34</v>
      </c>
      <c r="G21" s="923">
        <v>67</v>
      </c>
      <c r="H21" s="367"/>
    </row>
    <row r="22" spans="2:8">
      <c r="B22" s="366"/>
      <c r="C22" s="922" t="s">
        <v>10</v>
      </c>
      <c r="D22" s="897" t="s">
        <v>22</v>
      </c>
      <c r="E22" s="898" t="s">
        <v>31</v>
      </c>
      <c r="F22" s="897" t="s">
        <v>34</v>
      </c>
      <c r="G22" s="924">
        <v>23</v>
      </c>
      <c r="H22" s="367"/>
    </row>
    <row r="23" spans="2:8">
      <c r="B23" s="366"/>
      <c r="C23" s="922"/>
      <c r="D23" s="897"/>
      <c r="E23" s="898"/>
      <c r="F23" s="897"/>
      <c r="G23" s="924"/>
      <c r="H23" s="367"/>
    </row>
    <row r="24" spans="2:8">
      <c r="B24" s="366"/>
      <c r="C24" s="922"/>
      <c r="D24" s="897"/>
      <c r="E24" s="898"/>
      <c r="F24" s="897"/>
      <c r="G24" s="924"/>
      <c r="H24" s="367"/>
    </row>
    <row r="25" spans="2:8">
      <c r="B25" s="366"/>
      <c r="C25" s="922"/>
      <c r="D25" s="897"/>
      <c r="E25" s="898"/>
      <c r="F25" s="897"/>
      <c r="G25" s="924"/>
      <c r="H25" s="367"/>
    </row>
    <row r="26" spans="2:8">
      <c r="B26" s="366"/>
      <c r="C26" s="922"/>
      <c r="D26" s="897"/>
      <c r="E26" s="898"/>
      <c r="F26" s="897"/>
      <c r="G26" s="924"/>
      <c r="H26" s="367"/>
    </row>
    <row r="27" spans="2:8">
      <c r="B27" s="366"/>
      <c r="C27" s="922"/>
      <c r="D27" s="897"/>
      <c r="E27" s="898"/>
      <c r="F27" s="897"/>
      <c r="G27" s="924"/>
      <c r="H27" s="367"/>
    </row>
    <row r="28" spans="2:8">
      <c r="B28" s="366"/>
      <c r="C28" s="922"/>
      <c r="D28" s="897"/>
      <c r="E28" s="898"/>
      <c r="F28" s="897"/>
      <c r="G28" s="924"/>
      <c r="H28" s="367"/>
    </row>
    <row r="29" spans="2:8">
      <c r="B29" s="366"/>
      <c r="C29" s="922"/>
      <c r="D29" s="897"/>
      <c r="E29" s="898"/>
      <c r="F29" s="897"/>
      <c r="G29" s="924"/>
      <c r="H29" s="367"/>
    </row>
    <row r="30" spans="2:8">
      <c r="B30" s="366"/>
      <c r="C30" s="922"/>
      <c r="D30" s="897"/>
      <c r="E30" s="898"/>
      <c r="F30" s="897"/>
      <c r="G30" s="924"/>
      <c r="H30" s="367"/>
    </row>
    <row r="31" spans="2:8">
      <c r="B31" s="366"/>
      <c r="C31" s="922"/>
      <c r="D31" s="897"/>
      <c r="E31" s="898"/>
      <c r="F31" s="897"/>
      <c r="G31" s="924"/>
      <c r="H31" s="367"/>
    </row>
    <row r="32" spans="2:8" ht="15" thickBot="1">
      <c r="B32" s="366"/>
      <c r="C32" s="1381"/>
      <c r="D32" s="1382"/>
      <c r="E32" s="1383"/>
      <c r="F32" s="1382"/>
      <c r="G32" s="1384"/>
      <c r="H32" s="367"/>
    </row>
    <row r="33" spans="2:8" ht="15.6" thickTop="1" thickBot="1">
      <c r="B33" s="366"/>
      <c r="C33" s="346"/>
      <c r="D33" s="346"/>
      <c r="E33" s="346"/>
      <c r="F33" s="369"/>
      <c r="G33" s="374">
        <f>SUM(G21:G32)</f>
        <v>90</v>
      </c>
      <c r="H33" s="367"/>
    </row>
    <row r="34" spans="2:8" ht="15" thickTop="1">
      <c r="B34" s="366"/>
      <c r="C34" s="370" t="s">
        <v>833</v>
      </c>
      <c r="D34" s="346"/>
      <c r="E34" s="346"/>
      <c r="F34" s="346"/>
      <c r="G34" s="346"/>
      <c r="H34" s="367"/>
    </row>
    <row r="35" spans="2:8">
      <c r="B35" s="366"/>
      <c r="C35" s="2038" t="s">
        <v>834</v>
      </c>
      <c r="D35" s="2039"/>
      <c r="E35" s="2039"/>
      <c r="F35" s="2039"/>
      <c r="G35" s="2040"/>
      <c r="H35" s="367"/>
    </row>
    <row r="36" spans="2:8">
      <c r="B36" s="366"/>
      <c r="C36" s="2041"/>
      <c r="D36" s="2042"/>
      <c r="E36" s="2042"/>
      <c r="F36" s="2042"/>
      <c r="G36" s="2043"/>
      <c r="H36" s="367"/>
    </row>
    <row r="37" spans="2:8">
      <c r="B37" s="366"/>
      <c r="C37" s="2041"/>
      <c r="D37" s="2042"/>
      <c r="E37" s="2042"/>
      <c r="F37" s="2042"/>
      <c r="G37" s="2043"/>
      <c r="H37" s="367"/>
    </row>
    <row r="38" spans="2:8">
      <c r="B38" s="366"/>
      <c r="C38" s="2041"/>
      <c r="D38" s="2042"/>
      <c r="E38" s="2042"/>
      <c r="F38" s="2042"/>
      <c r="G38" s="2043"/>
      <c r="H38" s="367"/>
    </row>
    <row r="39" spans="2:8">
      <c r="B39" s="366"/>
      <c r="C39" s="2041"/>
      <c r="D39" s="2042"/>
      <c r="E39" s="2042"/>
      <c r="F39" s="2042"/>
      <c r="G39" s="2043"/>
      <c r="H39" s="367"/>
    </row>
    <row r="40" spans="2:8">
      <c r="B40" s="366"/>
      <c r="C40" s="2041"/>
      <c r="D40" s="2042"/>
      <c r="E40" s="2042"/>
      <c r="F40" s="2042"/>
      <c r="G40" s="2043"/>
      <c r="H40" s="367"/>
    </row>
    <row r="41" spans="2:8">
      <c r="B41" s="366"/>
      <c r="C41" s="2041"/>
      <c r="D41" s="2042"/>
      <c r="E41" s="2042"/>
      <c r="F41" s="2042"/>
      <c r="G41" s="2043"/>
      <c r="H41" s="367"/>
    </row>
    <row r="42" spans="2:8">
      <c r="B42" s="366"/>
      <c r="C42" s="2041"/>
      <c r="D42" s="2042"/>
      <c r="E42" s="2042"/>
      <c r="F42" s="2042"/>
      <c r="G42" s="2043"/>
      <c r="H42" s="367"/>
    </row>
    <row r="43" spans="2:8">
      <c r="B43" s="366"/>
      <c r="C43" s="2041"/>
      <c r="D43" s="2042"/>
      <c r="E43" s="2042"/>
      <c r="F43" s="2042"/>
      <c r="G43" s="2043"/>
      <c r="H43" s="367"/>
    </row>
    <row r="44" spans="2:8">
      <c r="B44" s="366"/>
      <c r="C44" s="2041"/>
      <c r="D44" s="2042"/>
      <c r="E44" s="2042"/>
      <c r="F44" s="2042"/>
      <c r="G44" s="2043"/>
      <c r="H44" s="367"/>
    </row>
    <row r="45" spans="2:8">
      <c r="B45" s="366"/>
      <c r="C45" s="2041"/>
      <c r="D45" s="2042"/>
      <c r="E45" s="2042"/>
      <c r="F45" s="2042"/>
      <c r="G45" s="2043"/>
      <c r="H45" s="367"/>
    </row>
    <row r="46" spans="2:8">
      <c r="B46" s="366"/>
      <c r="C46" s="2041"/>
      <c r="D46" s="2042"/>
      <c r="E46" s="2042"/>
      <c r="F46" s="2042"/>
      <c r="G46" s="2043"/>
      <c r="H46" s="367"/>
    </row>
    <row r="47" spans="2:8" ht="9" customHeight="1">
      <c r="B47" s="366"/>
      <c r="C47" s="2044"/>
      <c r="D47" s="2045"/>
      <c r="E47" s="2045"/>
      <c r="F47" s="2045"/>
      <c r="G47" s="2046"/>
      <c r="H47" s="367"/>
    </row>
    <row r="48" spans="2:8" ht="15" thickBot="1">
      <c r="B48" s="371"/>
      <c r="C48" s="372"/>
      <c r="D48" s="372"/>
      <c r="E48" s="372"/>
      <c r="F48" s="372"/>
      <c r="G48" s="372"/>
      <c r="H48" s="373"/>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xr:uid="{00000000-0002-0000-0C00-000000000000}">
      <formula1>Res_Type</formula1>
    </dataValidation>
    <dataValidation type="list" allowBlank="1" showInputMessage="1" showErrorMessage="1" sqref="C21:C32" xr:uid="{00000000-0002-0000-0C00-000001000000}">
      <formula1>Population_Types</formula1>
    </dataValidation>
    <dataValidation type="list" allowBlank="1" showInputMessage="1" showErrorMessage="1" sqref="F21:F32" xr:uid="{00000000-0002-0000-0C00-000002000000}">
      <formula1>Units_or_Beds</formula1>
    </dataValidation>
    <dataValidation type="list" allowBlank="1" showInputMessage="1" showErrorMessage="1" sqref="D32" xr:uid="{00000000-0002-0000-0C00-000003000000}">
      <formula1>Yes_or_No</formula1>
    </dataValidation>
    <dataValidation type="list" allowBlank="1" showInputMessage="1" showErrorMessage="1" sqref="D21:D31" xr:uid="{00000000-0002-0000-0C00-000004000000}">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34"/>
  <sheetViews>
    <sheetView showGridLines="0" topLeftCell="A16" zoomScaleNormal="100" workbookViewId="0" xr3:uid="{274F5AE0-5452-572F-8038-C13FFDA59D49}">
      <selection activeCell="K39" sqref="K39"/>
    </sheetView>
  </sheetViews>
  <sheetFormatPr defaultColWidth="9.140625" defaultRowHeight="14.45"/>
  <cols>
    <col min="1" max="1" width="1.7109375" style="335" customWidth="1"/>
    <col min="2" max="2" width="1.7109375" style="354" customWidth="1"/>
    <col min="3" max="3" width="32" style="335" customWidth="1"/>
    <col min="4" max="4" width="20" style="335" customWidth="1"/>
    <col min="5" max="5" width="11.42578125" style="335" customWidth="1"/>
    <col min="6" max="7" width="21.42578125" style="335" customWidth="1"/>
    <col min="8" max="8" width="1.7109375" style="354" customWidth="1"/>
    <col min="9" max="16384" width="9.140625" style="335"/>
  </cols>
  <sheetData>
    <row r="1" spans="2:8" ht="9" customHeight="1" thickBot="1"/>
    <row r="2" spans="2:8" ht="9" customHeight="1">
      <c r="B2" s="375"/>
      <c r="C2" s="376"/>
      <c r="D2" s="376"/>
      <c r="E2" s="376"/>
      <c r="F2" s="376"/>
      <c r="G2" s="1411"/>
      <c r="H2" s="377"/>
    </row>
    <row r="3" spans="2:8" ht="18.600000000000001">
      <c r="B3" s="378"/>
      <c r="C3" s="2047" t="s">
        <v>835</v>
      </c>
      <c r="D3" s="2047"/>
      <c r="E3" s="2047"/>
      <c r="F3" s="2047"/>
      <c r="G3" s="2047"/>
      <c r="H3" s="379"/>
    </row>
    <row r="4" spans="2:8">
      <c r="B4" s="378"/>
      <c r="C4" s="347"/>
      <c r="D4" s="347"/>
      <c r="E4" s="347"/>
      <c r="F4" s="347"/>
      <c r="G4" s="1973"/>
      <c r="H4" s="379"/>
    </row>
    <row r="5" spans="2:8" ht="15" thickBot="1">
      <c r="B5" s="378"/>
      <c r="C5" s="2116" t="str">
        <f>IF('1'!G5="","Enter Project Name on Form 1",(CONCATENATE("Project Name: ",'1'!G5)))</f>
        <v>Project Name: DESC 22nd Avenue PSH</v>
      </c>
      <c r="D5" s="2116"/>
      <c r="E5" s="2116"/>
      <c r="F5" s="2116"/>
      <c r="G5" s="1973"/>
      <c r="H5" s="379"/>
    </row>
    <row r="6" spans="2:8" ht="15" thickBot="1">
      <c r="B6" s="378"/>
      <c r="C6" s="347"/>
      <c r="D6" s="347"/>
      <c r="E6" s="347"/>
      <c r="F6" s="347"/>
      <c r="G6" s="1973"/>
      <c r="H6" s="379"/>
    </row>
    <row r="7" spans="2:8" ht="26.45" thickBot="1">
      <c r="B7" s="378"/>
      <c r="C7" s="380" t="s">
        <v>836</v>
      </c>
      <c r="D7" s="1570" t="s">
        <v>837</v>
      </c>
      <c r="E7" s="1571" t="s">
        <v>838</v>
      </c>
      <c r="F7" s="1571" t="s">
        <v>839</v>
      </c>
      <c r="G7" s="1572" t="s">
        <v>840</v>
      </c>
      <c r="H7" s="379"/>
    </row>
    <row r="8" spans="2:8" ht="26.45">
      <c r="B8" s="378"/>
      <c r="C8" s="1565" t="s">
        <v>841</v>
      </c>
      <c r="D8" s="1574"/>
      <c r="E8" s="1573"/>
      <c r="F8" s="1573"/>
      <c r="G8" s="1575"/>
      <c r="H8" s="379"/>
    </row>
    <row r="9" spans="2:8">
      <c r="B9" s="378"/>
      <c r="C9" s="1568" t="s">
        <v>66</v>
      </c>
      <c r="D9" s="741">
        <v>70000</v>
      </c>
      <c r="E9" s="742">
        <v>1</v>
      </c>
      <c r="F9" s="743">
        <f>D9*E9</f>
        <v>70000</v>
      </c>
      <c r="G9" s="1576" t="s">
        <v>842</v>
      </c>
      <c r="H9" s="379"/>
    </row>
    <row r="10" spans="2:8">
      <c r="B10" s="378"/>
      <c r="C10" s="1569"/>
      <c r="D10" s="745"/>
      <c r="E10" s="746"/>
      <c r="F10" s="747">
        <f t="shared" ref="F10:F24" si="0">D10*E10</f>
        <v>0</v>
      </c>
      <c r="G10" s="1576"/>
      <c r="H10" s="379"/>
    </row>
    <row r="11" spans="2:8">
      <c r="B11" s="378"/>
      <c r="C11" s="1569"/>
      <c r="D11" s="745"/>
      <c r="E11" s="746"/>
      <c r="F11" s="747">
        <f t="shared" si="0"/>
        <v>0</v>
      </c>
      <c r="G11" s="1576"/>
      <c r="H11" s="379"/>
    </row>
    <row r="12" spans="2:8">
      <c r="B12" s="378"/>
      <c r="C12" s="1569"/>
      <c r="D12" s="745"/>
      <c r="E12" s="746"/>
      <c r="F12" s="747">
        <f t="shared" si="0"/>
        <v>0</v>
      </c>
      <c r="G12" s="1576"/>
      <c r="H12" s="379"/>
    </row>
    <row r="13" spans="2:8">
      <c r="B13" s="378"/>
      <c r="C13" s="1569"/>
      <c r="D13" s="745"/>
      <c r="E13" s="746"/>
      <c r="F13" s="747">
        <f t="shared" si="0"/>
        <v>0</v>
      </c>
      <c r="G13" s="1576"/>
      <c r="H13" s="379"/>
    </row>
    <row r="14" spans="2:8">
      <c r="B14" s="378"/>
      <c r="C14" s="1569"/>
      <c r="D14" s="745"/>
      <c r="E14" s="746"/>
      <c r="F14" s="747">
        <f t="shared" si="0"/>
        <v>0</v>
      </c>
      <c r="G14" s="1576"/>
      <c r="H14" s="379"/>
    </row>
    <row r="15" spans="2:8">
      <c r="B15" s="378"/>
      <c r="C15" s="1569"/>
      <c r="D15" s="745"/>
      <c r="E15" s="746"/>
      <c r="F15" s="747">
        <f t="shared" si="0"/>
        <v>0</v>
      </c>
      <c r="G15" s="1576"/>
      <c r="H15" s="379"/>
    </row>
    <row r="16" spans="2:8">
      <c r="B16" s="378"/>
      <c r="C16" s="1569"/>
      <c r="D16" s="745"/>
      <c r="E16" s="746"/>
      <c r="F16" s="747">
        <f t="shared" si="0"/>
        <v>0</v>
      </c>
      <c r="G16" s="1576"/>
      <c r="H16" s="379"/>
    </row>
    <row r="17" spans="2:8">
      <c r="B17" s="378"/>
      <c r="C17" s="1569"/>
      <c r="D17" s="745"/>
      <c r="E17" s="746"/>
      <c r="F17" s="747">
        <f t="shared" si="0"/>
        <v>0</v>
      </c>
      <c r="G17" s="1576"/>
      <c r="H17" s="379"/>
    </row>
    <row r="18" spans="2:8">
      <c r="B18" s="378"/>
      <c r="C18" s="1569"/>
      <c r="D18" s="745"/>
      <c r="E18" s="746"/>
      <c r="F18" s="747">
        <f t="shared" si="0"/>
        <v>0</v>
      </c>
      <c r="G18" s="1576"/>
      <c r="H18" s="379"/>
    </row>
    <row r="19" spans="2:8" ht="3.75" customHeight="1">
      <c r="B19" s="378"/>
      <c r="C19" s="1566"/>
      <c r="D19" s="1771"/>
      <c r="E19" s="1772"/>
      <c r="F19" s="1567">
        <f t="shared" si="0"/>
        <v>0</v>
      </c>
      <c r="G19" s="1567"/>
      <c r="H19" s="379"/>
    </row>
    <row r="20" spans="2:8">
      <c r="B20" s="378"/>
      <c r="C20" s="744" t="s">
        <v>843</v>
      </c>
      <c r="D20" s="745"/>
      <c r="E20" s="746"/>
      <c r="F20" s="747">
        <f t="shared" si="0"/>
        <v>0</v>
      </c>
      <c r="G20" s="1576"/>
      <c r="H20" s="379"/>
    </row>
    <row r="21" spans="2:8">
      <c r="B21" s="378"/>
      <c r="C21" s="744" t="s">
        <v>844</v>
      </c>
      <c r="D21" s="745"/>
      <c r="E21" s="746"/>
      <c r="F21" s="747">
        <f t="shared" si="0"/>
        <v>0</v>
      </c>
      <c r="G21" s="1576"/>
      <c r="H21" s="379"/>
    </row>
    <row r="22" spans="2:8">
      <c r="B22" s="378"/>
      <c r="C22" s="744" t="s">
        <v>845</v>
      </c>
      <c r="D22" s="745"/>
      <c r="E22" s="746"/>
      <c r="F22" s="747">
        <f t="shared" si="0"/>
        <v>0</v>
      </c>
      <c r="G22" s="1576"/>
      <c r="H22" s="379"/>
    </row>
    <row r="23" spans="2:8">
      <c r="B23" s="378"/>
      <c r="C23" s="744" t="s">
        <v>846</v>
      </c>
      <c r="D23" s="745"/>
      <c r="E23" s="746"/>
      <c r="F23" s="747">
        <f t="shared" si="0"/>
        <v>0</v>
      </c>
      <c r="G23" s="1576"/>
      <c r="H23" s="379"/>
    </row>
    <row r="24" spans="2:8" ht="15" thickBot="1">
      <c r="B24" s="378"/>
      <c r="C24" s="750" t="s">
        <v>847</v>
      </c>
      <c r="D24" s="751"/>
      <c r="E24" s="748"/>
      <c r="F24" s="749">
        <f t="shared" si="0"/>
        <v>0</v>
      </c>
      <c r="G24" s="1578"/>
      <c r="H24" s="379"/>
    </row>
    <row r="25" spans="2:8" ht="15.6" thickTop="1" thickBot="1">
      <c r="B25" s="378"/>
      <c r="C25" s="381" t="s">
        <v>848</v>
      </c>
      <c r="D25" s="382"/>
      <c r="E25" s="281">
        <f>SUM(E9:E24)</f>
        <v>1</v>
      </c>
      <c r="F25" s="123">
        <f>SUM(F9:F24)</f>
        <v>70000</v>
      </c>
      <c r="G25" s="1577"/>
      <c r="H25" s="379"/>
    </row>
    <row r="26" spans="2:8" s="354" customFormat="1">
      <c r="B26" s="378"/>
      <c r="C26" s="383"/>
      <c r="D26" s="347"/>
      <c r="E26" s="347"/>
      <c r="F26" s="384" t="s">
        <v>732</v>
      </c>
      <c r="G26" s="1973"/>
      <c r="H26" s="379"/>
    </row>
    <row r="27" spans="2:8" s="354" customFormat="1">
      <c r="B27" s="378"/>
      <c r="C27" s="347" t="s">
        <v>849</v>
      </c>
      <c r="D27" s="347"/>
      <c r="E27" s="347"/>
      <c r="F27" s="347"/>
      <c r="G27" s="1973"/>
      <c r="H27" s="379"/>
    </row>
    <row r="28" spans="2:8">
      <c r="B28" s="378"/>
      <c r="C28" s="2048" t="s">
        <v>850</v>
      </c>
      <c r="D28" s="2049"/>
      <c r="E28" s="2049"/>
      <c r="F28" s="2049"/>
      <c r="G28" s="2050"/>
      <c r="H28" s="379"/>
    </row>
    <row r="29" spans="2:8">
      <c r="B29" s="378"/>
      <c r="C29" s="2051"/>
      <c r="D29" s="2052"/>
      <c r="E29" s="2052"/>
      <c r="F29" s="2052"/>
      <c r="G29" s="2053"/>
      <c r="H29" s="379"/>
    </row>
    <row r="30" spans="2:8">
      <c r="B30" s="378"/>
      <c r="C30" s="2051"/>
      <c r="D30" s="2052"/>
      <c r="E30" s="2052"/>
      <c r="F30" s="2052"/>
      <c r="G30" s="2053"/>
      <c r="H30" s="379"/>
    </row>
    <row r="31" spans="2:8">
      <c r="B31" s="378"/>
      <c r="C31" s="2051"/>
      <c r="D31" s="2052"/>
      <c r="E31" s="2052"/>
      <c r="F31" s="2052"/>
      <c r="G31" s="2053"/>
      <c r="H31" s="379"/>
    </row>
    <row r="32" spans="2:8">
      <c r="B32" s="378"/>
      <c r="C32" s="2051"/>
      <c r="D32" s="2052"/>
      <c r="E32" s="2052"/>
      <c r="F32" s="2052"/>
      <c r="G32" s="2053"/>
      <c r="H32" s="379"/>
    </row>
    <row r="33" spans="2:8">
      <c r="B33" s="378"/>
      <c r="C33" s="2054"/>
      <c r="D33" s="2055"/>
      <c r="E33" s="2055"/>
      <c r="F33" s="2055"/>
      <c r="G33" s="2056"/>
      <c r="H33" s="379"/>
    </row>
    <row r="34" spans="2:8" ht="9" customHeight="1" thickBot="1">
      <c r="B34" s="385"/>
      <c r="C34" s="386"/>
      <c r="D34" s="386"/>
      <c r="E34" s="386"/>
      <c r="F34" s="386"/>
      <c r="G34" s="1773"/>
      <c r="H34" s="387"/>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count="1">
    <dataValidation type="list" allowBlank="1" showInputMessage="1" showErrorMessage="1" sqref="C9:C19" xr:uid="{00000000-0002-0000-0D00-000000000000}">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0:G79"/>
  <sheetViews>
    <sheetView showGridLines="0" topLeftCell="A58" zoomScaleNormal="100" workbookViewId="0" xr3:uid="{33642244-9AC9-5136-AF77-195C889548CE}">
      <selection activeCell="E80" sqref="E80"/>
    </sheetView>
  </sheetViews>
  <sheetFormatPr defaultColWidth="9.140625" defaultRowHeight="14.45"/>
  <cols>
    <col min="1" max="2" width="1.7109375" style="335" customWidth="1"/>
    <col min="3" max="3" width="29.140625" style="335" bestFit="1" customWidth="1"/>
    <col min="4" max="4" width="35.140625" style="335" bestFit="1" customWidth="1"/>
    <col min="5" max="5" width="20.5703125" style="335" bestFit="1" customWidth="1"/>
    <col min="6" max="6" width="42.85546875" style="335" customWidth="1"/>
    <col min="7" max="7" width="1.7109375" style="335" customWidth="1"/>
    <col min="8" max="16384" width="9.140625" style="335"/>
  </cols>
  <sheetData>
    <row r="10" spans="2:7" ht="9" customHeight="1" thickBot="1"/>
    <row r="11" spans="2:7" ht="9" customHeight="1">
      <c r="B11" s="8"/>
      <c r="C11" s="9"/>
      <c r="D11" s="9"/>
      <c r="E11" s="9"/>
      <c r="F11" s="9"/>
      <c r="G11" s="10"/>
    </row>
    <row r="12" spans="2:7" ht="18.600000000000001">
      <c r="B12" s="11"/>
      <c r="C12" s="2057" t="s">
        <v>851</v>
      </c>
      <c r="D12" s="2057"/>
      <c r="E12" s="2057"/>
      <c r="F12" s="2057"/>
      <c r="G12" s="12"/>
    </row>
    <row r="13" spans="2:7" ht="15.6">
      <c r="B13" s="4"/>
      <c r="C13" s="2"/>
      <c r="D13" s="2"/>
      <c r="E13" s="1"/>
      <c r="F13" s="1"/>
      <c r="G13" s="3"/>
    </row>
    <row r="14" spans="2:7" ht="15" thickBot="1">
      <c r="B14" s="4"/>
      <c r="C14" s="2116" t="str">
        <f>IF('1'!G5="","Enter Project Name on Form 1",(CONCATENATE("Project Name: ",'1'!G5)))</f>
        <v>Project Name: DESC 22nd Avenue PSH</v>
      </c>
      <c r="D14" s="2116"/>
      <c r="E14" s="2116"/>
      <c r="F14" s="1"/>
      <c r="G14" s="3"/>
    </row>
    <row r="15" spans="2:7" ht="15" thickBot="1">
      <c r="B15" s="4"/>
      <c r="C15" s="388"/>
      <c r="D15" s="346"/>
      <c r="E15" s="346"/>
      <c r="F15" s="124"/>
      <c r="G15" s="3"/>
    </row>
    <row r="16" spans="2:7" ht="26.45" thickBot="1">
      <c r="B16" s="4"/>
      <c r="C16" s="958" t="s">
        <v>468</v>
      </c>
      <c r="D16" s="2404" t="s">
        <v>469</v>
      </c>
      <c r="E16" s="2405" t="s">
        <v>852</v>
      </c>
      <c r="F16" s="2406" t="s">
        <v>853</v>
      </c>
      <c r="G16" s="3"/>
    </row>
    <row r="17" spans="2:7">
      <c r="B17" s="4"/>
      <c r="C17" s="959" t="s">
        <v>470</v>
      </c>
      <c r="D17" s="752" t="s">
        <v>471</v>
      </c>
      <c r="E17" s="1583">
        <v>42912</v>
      </c>
      <c r="F17" s="753" t="s">
        <v>854</v>
      </c>
      <c r="G17" s="3"/>
    </row>
    <row r="18" spans="2:7">
      <c r="B18" s="4"/>
      <c r="C18" s="953" t="s">
        <v>472</v>
      </c>
      <c r="D18" s="896" t="s">
        <v>473</v>
      </c>
      <c r="E18" s="756">
        <v>42972</v>
      </c>
      <c r="F18" s="754" t="s">
        <v>855</v>
      </c>
      <c r="G18" s="3"/>
    </row>
    <row r="19" spans="2:7">
      <c r="B19" s="4"/>
      <c r="C19" s="953" t="s">
        <v>472</v>
      </c>
      <c r="D19" s="896" t="s">
        <v>474</v>
      </c>
      <c r="E19" s="756">
        <v>43003</v>
      </c>
      <c r="F19" s="754" t="s">
        <v>856</v>
      </c>
      <c r="G19" s="3"/>
    </row>
    <row r="20" spans="2:7">
      <c r="B20" s="4"/>
      <c r="C20" s="953"/>
      <c r="D20" s="896"/>
      <c r="E20" s="756"/>
      <c r="F20" s="755"/>
      <c r="G20" s="3"/>
    </row>
    <row r="21" spans="2:7">
      <c r="B21" s="4"/>
      <c r="C21" s="960" t="s">
        <v>857</v>
      </c>
      <c r="D21" s="896" t="s">
        <v>476</v>
      </c>
      <c r="E21" s="756">
        <v>42977</v>
      </c>
      <c r="F21" s="754" t="s">
        <v>858</v>
      </c>
      <c r="G21" s="3"/>
    </row>
    <row r="22" spans="2:7">
      <c r="B22" s="4"/>
      <c r="C22" s="953" t="s">
        <v>857</v>
      </c>
      <c r="D22" s="896" t="s">
        <v>477</v>
      </c>
      <c r="E22" s="756">
        <v>43023</v>
      </c>
      <c r="F22" s="755" t="s">
        <v>859</v>
      </c>
      <c r="G22" s="3"/>
    </row>
    <row r="23" spans="2:7">
      <c r="B23" s="4"/>
      <c r="C23" s="953" t="s">
        <v>857</v>
      </c>
      <c r="D23" s="896" t="s">
        <v>478</v>
      </c>
      <c r="E23" s="756">
        <v>42940</v>
      </c>
      <c r="F23" s="755"/>
      <c r="G23" s="3"/>
    </row>
    <row r="24" spans="2:7">
      <c r="B24" s="4"/>
      <c r="C24" s="953" t="s">
        <v>857</v>
      </c>
      <c r="D24" s="896" t="s">
        <v>479</v>
      </c>
      <c r="E24" s="756">
        <v>42940</v>
      </c>
      <c r="F24" s="755" t="s">
        <v>860</v>
      </c>
      <c r="G24" s="3"/>
    </row>
    <row r="25" spans="2:7">
      <c r="B25" s="4"/>
      <c r="C25" s="953" t="s">
        <v>857</v>
      </c>
      <c r="D25" s="896" t="s">
        <v>480</v>
      </c>
      <c r="E25" s="756">
        <v>43221</v>
      </c>
      <c r="F25" s="755"/>
      <c r="G25" s="3"/>
    </row>
    <row r="26" spans="2:7">
      <c r="B26" s="4"/>
      <c r="C26" s="953" t="s">
        <v>857</v>
      </c>
      <c r="D26" s="896" t="s">
        <v>481</v>
      </c>
      <c r="E26" s="756">
        <v>43221</v>
      </c>
      <c r="F26" s="755" t="s">
        <v>861</v>
      </c>
      <c r="G26" s="3"/>
    </row>
    <row r="27" spans="2:7">
      <c r="B27" s="4"/>
      <c r="C27" s="953" t="s">
        <v>857</v>
      </c>
      <c r="D27" s="896" t="s">
        <v>482</v>
      </c>
      <c r="E27" s="756">
        <v>43221</v>
      </c>
      <c r="F27" s="755"/>
      <c r="G27" s="3"/>
    </row>
    <row r="28" spans="2:7">
      <c r="B28" s="4"/>
      <c r="C28" s="953" t="s">
        <v>857</v>
      </c>
      <c r="D28" s="896" t="s">
        <v>483</v>
      </c>
      <c r="E28" s="756"/>
      <c r="F28" s="755" t="s">
        <v>57</v>
      </c>
      <c r="G28" s="3"/>
    </row>
    <row r="29" spans="2:7">
      <c r="B29" s="4"/>
      <c r="C29" s="953" t="s">
        <v>857</v>
      </c>
      <c r="D29" s="896" t="s">
        <v>484</v>
      </c>
      <c r="E29" s="756">
        <v>42985</v>
      </c>
      <c r="F29" s="757"/>
      <c r="G29" s="3"/>
    </row>
    <row r="30" spans="2:7">
      <c r="B30" s="4"/>
      <c r="C30" s="953" t="s">
        <v>857</v>
      </c>
      <c r="D30" s="896" t="s">
        <v>485</v>
      </c>
      <c r="E30" s="756">
        <v>43282</v>
      </c>
      <c r="F30" s="757"/>
      <c r="G30" s="3"/>
    </row>
    <row r="31" spans="2:7">
      <c r="B31" s="4"/>
      <c r="C31" s="960"/>
      <c r="D31" s="896"/>
      <c r="E31" s="756"/>
      <c r="F31" s="757"/>
      <c r="G31" s="3"/>
    </row>
    <row r="32" spans="2:7">
      <c r="B32" s="4"/>
      <c r="C32" s="960" t="s">
        <v>486</v>
      </c>
      <c r="D32" s="896" t="s">
        <v>487</v>
      </c>
      <c r="E32" s="756">
        <v>42948</v>
      </c>
      <c r="F32" s="757"/>
      <c r="G32" s="3"/>
    </row>
    <row r="33" spans="2:7">
      <c r="B33" s="4"/>
      <c r="C33" s="960" t="s">
        <v>486</v>
      </c>
      <c r="D33" s="896" t="s">
        <v>488</v>
      </c>
      <c r="E33" s="756">
        <v>42978</v>
      </c>
      <c r="F33" s="757"/>
      <c r="G33" s="3"/>
    </row>
    <row r="34" spans="2:7">
      <c r="B34" s="4"/>
      <c r="C34" s="960" t="s">
        <v>486</v>
      </c>
      <c r="D34" s="896" t="s">
        <v>489</v>
      </c>
      <c r="E34" s="756">
        <v>43160</v>
      </c>
      <c r="F34" s="1915"/>
      <c r="G34" s="3"/>
    </row>
    <row r="35" spans="2:7">
      <c r="B35" s="4"/>
      <c r="C35" s="960" t="s">
        <v>486</v>
      </c>
      <c r="D35" s="896" t="s">
        <v>490</v>
      </c>
      <c r="E35" s="756">
        <v>43221</v>
      </c>
      <c r="F35" s="757"/>
      <c r="G35" s="3"/>
    </row>
    <row r="36" spans="2:7">
      <c r="B36" s="4"/>
      <c r="C36" s="960" t="s">
        <v>486</v>
      </c>
      <c r="D36" s="896" t="s">
        <v>491</v>
      </c>
      <c r="E36" s="756">
        <v>43070</v>
      </c>
      <c r="F36" s="757"/>
      <c r="G36" s="3"/>
    </row>
    <row r="37" spans="2:7">
      <c r="B37" s="4"/>
      <c r="C37" s="960" t="s">
        <v>486</v>
      </c>
      <c r="D37" s="896" t="s">
        <v>492</v>
      </c>
      <c r="E37" s="756">
        <v>43002</v>
      </c>
      <c r="F37" s="757"/>
      <c r="G37" s="3"/>
    </row>
    <row r="38" spans="2:7">
      <c r="B38" s="4"/>
      <c r="C38" s="960" t="s">
        <v>486</v>
      </c>
      <c r="D38" s="896" t="s">
        <v>493</v>
      </c>
      <c r="E38" s="756">
        <v>43313</v>
      </c>
      <c r="F38" s="757"/>
      <c r="G38" s="3"/>
    </row>
    <row r="39" spans="2:7">
      <c r="B39" s="4"/>
      <c r="C39" s="960" t="s">
        <v>486</v>
      </c>
      <c r="D39" s="896" t="s">
        <v>494</v>
      </c>
      <c r="E39" s="756">
        <v>43405</v>
      </c>
      <c r="F39" s="757"/>
      <c r="G39" s="3"/>
    </row>
    <row r="40" spans="2:7">
      <c r="B40" s="4"/>
      <c r="C40" s="960"/>
      <c r="D40" s="896"/>
      <c r="E40" s="756"/>
      <c r="F40" s="757"/>
      <c r="G40" s="3"/>
    </row>
    <row r="41" spans="2:7">
      <c r="B41" s="4"/>
      <c r="C41" s="953" t="s">
        <v>495</v>
      </c>
      <c r="D41" s="896" t="s">
        <v>496</v>
      </c>
      <c r="E41" s="756">
        <v>42964</v>
      </c>
      <c r="F41" s="757"/>
      <c r="G41" s="3"/>
    </row>
    <row r="42" spans="2:7">
      <c r="B42" s="4"/>
      <c r="C42" s="961" t="s">
        <v>497</v>
      </c>
      <c r="D42" s="758" t="s">
        <v>498</v>
      </c>
      <c r="E42" s="756">
        <v>42978</v>
      </c>
      <c r="F42" s="759"/>
      <c r="G42" s="3"/>
    </row>
    <row r="43" spans="2:7">
      <c r="B43" s="4"/>
      <c r="C43" s="953" t="s">
        <v>495</v>
      </c>
      <c r="D43" s="758" t="s">
        <v>862</v>
      </c>
      <c r="E43" s="756">
        <v>42990</v>
      </c>
      <c r="F43" s="757"/>
      <c r="G43" s="3"/>
    </row>
    <row r="44" spans="2:7">
      <c r="B44" s="4"/>
      <c r="C44" s="953" t="s">
        <v>495</v>
      </c>
      <c r="D44" s="758" t="s">
        <v>863</v>
      </c>
      <c r="E44" s="756">
        <v>42992</v>
      </c>
      <c r="F44" s="757"/>
      <c r="G44" s="3"/>
    </row>
    <row r="45" spans="2:7">
      <c r="B45" s="4"/>
      <c r="C45" s="953" t="s">
        <v>495</v>
      </c>
      <c r="D45" s="758" t="s">
        <v>864</v>
      </c>
      <c r="E45" s="756">
        <v>43017</v>
      </c>
      <c r="F45" s="757"/>
      <c r="G45" s="3"/>
    </row>
    <row r="46" spans="2:7">
      <c r="B46" s="4"/>
      <c r="C46" s="953" t="s">
        <v>497</v>
      </c>
      <c r="D46" s="758" t="s">
        <v>865</v>
      </c>
      <c r="E46" s="756">
        <v>43112</v>
      </c>
      <c r="F46" s="757"/>
      <c r="G46" s="3"/>
    </row>
    <row r="47" spans="2:7">
      <c r="B47" s="4"/>
      <c r="C47" s="953" t="s">
        <v>497</v>
      </c>
      <c r="D47" s="758" t="s">
        <v>500</v>
      </c>
      <c r="E47" s="756">
        <v>43337</v>
      </c>
      <c r="F47" s="757" t="s">
        <v>866</v>
      </c>
      <c r="G47" s="3"/>
    </row>
    <row r="48" spans="2:7">
      <c r="B48" s="4"/>
      <c r="C48" s="953" t="s">
        <v>495</v>
      </c>
      <c r="D48" s="896" t="s">
        <v>501</v>
      </c>
      <c r="E48" s="756">
        <v>42977</v>
      </c>
      <c r="F48" s="757"/>
      <c r="G48" s="3"/>
    </row>
    <row r="49" spans="2:7">
      <c r="B49" s="4"/>
      <c r="C49" s="953" t="s">
        <v>495</v>
      </c>
      <c r="D49" s="896" t="s">
        <v>502</v>
      </c>
      <c r="E49" s="756">
        <v>43220</v>
      </c>
      <c r="F49" s="757"/>
      <c r="G49" s="3"/>
    </row>
    <row r="50" spans="2:7">
      <c r="B50" s="4"/>
      <c r="C50" s="961" t="s">
        <v>497</v>
      </c>
      <c r="D50" s="758" t="s">
        <v>503</v>
      </c>
      <c r="E50" s="756"/>
      <c r="F50" s="760"/>
      <c r="G50" s="3"/>
    </row>
    <row r="51" spans="2:7">
      <c r="B51" s="4"/>
      <c r="C51" s="953" t="s">
        <v>495</v>
      </c>
      <c r="D51" s="896" t="s">
        <v>867</v>
      </c>
      <c r="E51" s="756">
        <v>43081</v>
      </c>
      <c r="F51" s="757"/>
      <c r="G51" s="3"/>
    </row>
    <row r="52" spans="2:7">
      <c r="B52" s="4"/>
      <c r="C52" s="953" t="s">
        <v>495</v>
      </c>
      <c r="D52" s="896" t="s">
        <v>868</v>
      </c>
      <c r="E52" s="756">
        <v>43084</v>
      </c>
      <c r="F52" s="757"/>
      <c r="G52" s="3"/>
    </row>
    <row r="53" spans="2:7">
      <c r="B53" s="4"/>
      <c r="C53" s="953" t="s">
        <v>495</v>
      </c>
      <c r="D53" s="896" t="s">
        <v>869</v>
      </c>
      <c r="E53" s="756"/>
      <c r="F53" s="757" t="s">
        <v>870</v>
      </c>
      <c r="G53" s="3"/>
    </row>
    <row r="54" spans="2:7">
      <c r="B54" s="4"/>
      <c r="C54" s="953" t="s">
        <v>497</v>
      </c>
      <c r="D54" s="896" t="s">
        <v>871</v>
      </c>
      <c r="E54" s="756">
        <v>43184</v>
      </c>
      <c r="F54" s="757"/>
      <c r="G54" s="3"/>
    </row>
    <row r="55" spans="2:7">
      <c r="B55" s="4"/>
      <c r="C55" s="953" t="s">
        <v>495</v>
      </c>
      <c r="D55" s="896" t="s">
        <v>505</v>
      </c>
      <c r="E55" s="756">
        <v>43449</v>
      </c>
      <c r="F55" s="757"/>
      <c r="G55" s="3"/>
    </row>
    <row r="56" spans="2:7">
      <c r="B56" s="4"/>
      <c r="C56" s="953" t="s">
        <v>495</v>
      </c>
      <c r="D56" s="896" t="s">
        <v>506</v>
      </c>
      <c r="E56" s="756">
        <v>44165</v>
      </c>
      <c r="F56" s="757"/>
      <c r="G56" s="3"/>
    </row>
    <row r="57" spans="2:7">
      <c r="B57" s="4"/>
      <c r="C57" s="953"/>
      <c r="D57" s="896"/>
      <c r="E57" s="756"/>
      <c r="F57" s="757"/>
      <c r="G57" s="3"/>
    </row>
    <row r="58" spans="2:7">
      <c r="B58" s="4"/>
      <c r="C58" s="953" t="s">
        <v>507</v>
      </c>
      <c r="D58" s="896" t="s">
        <v>508</v>
      </c>
      <c r="E58" s="756">
        <v>43285</v>
      </c>
      <c r="F58" s="757"/>
      <c r="G58" s="3"/>
    </row>
    <row r="59" spans="2:7">
      <c r="B59" s="4"/>
      <c r="C59" s="953" t="s">
        <v>507</v>
      </c>
      <c r="D59" s="896" t="s">
        <v>509</v>
      </c>
      <c r="E59" s="756">
        <v>43221</v>
      </c>
      <c r="F59" s="757"/>
      <c r="G59" s="3"/>
    </row>
    <row r="60" spans="2:7">
      <c r="B60" s="4"/>
      <c r="C60" s="953" t="s">
        <v>507</v>
      </c>
      <c r="D60" s="896" t="s">
        <v>510</v>
      </c>
      <c r="E60" s="756">
        <v>43221</v>
      </c>
      <c r="F60" s="757"/>
      <c r="G60" s="3"/>
    </row>
    <row r="61" spans="2:7">
      <c r="B61" s="4"/>
      <c r="C61" s="953" t="s">
        <v>507</v>
      </c>
      <c r="D61" s="896" t="s">
        <v>511</v>
      </c>
      <c r="E61" s="756">
        <v>43191</v>
      </c>
      <c r="F61" s="757"/>
      <c r="G61" s="3"/>
    </row>
    <row r="62" spans="2:7">
      <c r="B62" s="4"/>
      <c r="C62" s="953" t="s">
        <v>507</v>
      </c>
      <c r="D62" s="896" t="s">
        <v>512</v>
      </c>
      <c r="E62" s="756">
        <v>43446</v>
      </c>
      <c r="F62" s="755"/>
      <c r="G62" s="3"/>
    </row>
    <row r="63" spans="2:7" ht="15" customHeight="1">
      <c r="B63" s="4"/>
      <c r="C63" s="953" t="s">
        <v>507</v>
      </c>
      <c r="D63" s="896" t="s">
        <v>513</v>
      </c>
      <c r="E63" s="756">
        <v>43388</v>
      </c>
      <c r="F63" s="755"/>
      <c r="G63" s="3"/>
    </row>
    <row r="64" spans="2:7" ht="15.75" customHeight="1">
      <c r="B64" s="13"/>
      <c r="C64" s="953" t="s">
        <v>507</v>
      </c>
      <c r="D64" s="896" t="s">
        <v>514</v>
      </c>
      <c r="E64" s="756">
        <v>43313</v>
      </c>
      <c r="F64" s="755"/>
      <c r="G64" s="14"/>
    </row>
    <row r="65" spans="2:7">
      <c r="B65" s="4"/>
      <c r="C65" s="953" t="s">
        <v>515</v>
      </c>
      <c r="D65" s="896" t="s">
        <v>516</v>
      </c>
      <c r="E65" s="756">
        <v>43204</v>
      </c>
      <c r="F65" s="755"/>
      <c r="G65" s="3"/>
    </row>
    <row r="66" spans="2:7">
      <c r="B66" s="4"/>
      <c r="C66" s="953" t="s">
        <v>515</v>
      </c>
      <c r="D66" s="896" t="s">
        <v>517</v>
      </c>
      <c r="E66" s="756">
        <v>43449</v>
      </c>
      <c r="F66" s="755"/>
      <c r="G66" s="3"/>
    </row>
    <row r="67" spans="2:7">
      <c r="B67" s="4"/>
      <c r="C67" s="953" t="s">
        <v>515</v>
      </c>
      <c r="D67" s="896" t="s">
        <v>518</v>
      </c>
      <c r="E67" s="756">
        <v>43881</v>
      </c>
      <c r="F67" s="755"/>
      <c r="G67" s="3"/>
    </row>
    <row r="68" spans="2:7">
      <c r="B68" s="4"/>
      <c r="C68" s="953"/>
      <c r="D68" s="896"/>
      <c r="E68" s="756"/>
      <c r="F68" s="755"/>
      <c r="G68" s="3"/>
    </row>
    <row r="69" spans="2:7">
      <c r="B69" s="4"/>
      <c r="C69" s="953" t="s">
        <v>519</v>
      </c>
      <c r="D69" s="896" t="s">
        <v>520</v>
      </c>
      <c r="E69" s="756"/>
      <c r="F69" s="755" t="s">
        <v>698</v>
      </c>
      <c r="G69" s="3"/>
    </row>
    <row r="70" spans="2:7">
      <c r="B70" s="4"/>
      <c r="C70" s="953" t="s">
        <v>519</v>
      </c>
      <c r="D70" s="896" t="s">
        <v>521</v>
      </c>
      <c r="E70" s="756"/>
      <c r="F70" s="755" t="s">
        <v>698</v>
      </c>
      <c r="G70" s="3"/>
    </row>
    <row r="71" spans="2:7">
      <c r="B71" s="4"/>
      <c r="C71" s="953" t="s">
        <v>519</v>
      </c>
      <c r="D71" s="896" t="s">
        <v>522</v>
      </c>
      <c r="E71" s="756">
        <v>43891</v>
      </c>
      <c r="F71" s="1861"/>
      <c r="G71" s="3"/>
    </row>
    <row r="72" spans="2:7">
      <c r="B72" s="4"/>
      <c r="C72" s="953" t="s">
        <v>519</v>
      </c>
      <c r="D72" s="896" t="s">
        <v>523</v>
      </c>
      <c r="E72" s="756">
        <v>44027</v>
      </c>
      <c r="F72" s="1861"/>
      <c r="G72" s="3"/>
    </row>
    <row r="73" spans="2:7">
      <c r="B73" s="4"/>
      <c r="C73" s="953" t="s">
        <v>519</v>
      </c>
      <c r="D73" s="896" t="s">
        <v>524</v>
      </c>
      <c r="E73" s="756">
        <v>43881</v>
      </c>
      <c r="F73" s="755"/>
      <c r="G73" s="3"/>
    </row>
    <row r="74" spans="2:7">
      <c r="B74" s="4"/>
      <c r="C74" s="953" t="s">
        <v>519</v>
      </c>
      <c r="D74" s="896" t="s">
        <v>525</v>
      </c>
      <c r="E74" s="756"/>
      <c r="F74" s="755" t="s">
        <v>698</v>
      </c>
      <c r="G74" s="3"/>
    </row>
    <row r="75" spans="2:7" ht="24.95">
      <c r="B75" s="4"/>
      <c r="C75" s="953" t="s">
        <v>519</v>
      </c>
      <c r="D75" s="895" t="s">
        <v>526</v>
      </c>
      <c r="E75" s="756">
        <v>43861</v>
      </c>
      <c r="F75" s="755"/>
      <c r="G75" s="3"/>
    </row>
    <row r="76" spans="2:7">
      <c r="B76" s="4"/>
      <c r="C76" s="953" t="s">
        <v>519</v>
      </c>
      <c r="D76" s="896" t="s">
        <v>527</v>
      </c>
      <c r="E76" s="1862">
        <v>2020</v>
      </c>
      <c r="F76" s="755"/>
      <c r="G76" s="3"/>
    </row>
    <row r="77" spans="2:7">
      <c r="B77" s="4"/>
      <c r="C77" s="2407" t="s">
        <v>519</v>
      </c>
      <c r="D77" s="1144" t="s">
        <v>528</v>
      </c>
      <c r="E77" s="756">
        <v>43891</v>
      </c>
      <c r="F77" s="1145"/>
      <c r="G77" s="3"/>
    </row>
    <row r="78" spans="2:7" ht="15" thickBot="1">
      <c r="B78" s="4"/>
      <c r="C78" s="954"/>
      <c r="D78" s="950"/>
      <c r="E78" s="1584"/>
      <c r="F78" s="951"/>
      <c r="G78" s="3"/>
    </row>
    <row r="79" spans="2:7" ht="9" customHeight="1" thickBot="1">
      <c r="B79" s="5"/>
      <c r="C79" s="6"/>
      <c r="D79" s="6"/>
      <c r="E79" s="6"/>
      <c r="F79" s="6"/>
      <c r="G79" s="7"/>
    </row>
  </sheetData>
  <sheetProtection formatCells="0" formatColumns="0" formatRows="0" insertRows="0"/>
  <autoFilter ref="C16:F76" xr:uid="{00000000-0009-0000-0000-00000E000000}"/>
  <mergeCells count="2">
    <mergeCell ref="C12:F12"/>
    <mergeCell ref="C14:E14"/>
  </mergeCells>
  <dataValidations count="1">
    <dataValidation type="date" allowBlank="1" showInputMessage="1" showErrorMessage="1" errorTitle="Date Format" error="Please enter a date in the MM/DD/YYYY format" sqref="E17:E78" xr:uid="{00000000-0002-0000-0E00-000000000000}">
      <formula1>1</formula1>
      <formula2>402133</formula2>
    </dataValidation>
  </dataValidations>
  <pageMargins left="0.7" right="0.7" top="0.75" bottom="0.75" header="0.3" footer="0.3"/>
  <pageSetup scale="59"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1:V127"/>
  <sheetViews>
    <sheetView showGridLines="0" topLeftCell="A114" zoomScaleNormal="100" zoomScaleSheetLayoutView="100" workbookViewId="0" xr3:uid="{D624DF06-3800-545C-AC8D-BADC89115800}">
      <selection activeCell="F135" sqref="F135"/>
    </sheetView>
  </sheetViews>
  <sheetFormatPr defaultColWidth="9.140625" defaultRowHeight="14.45"/>
  <cols>
    <col min="1" max="2" width="1.7109375" style="335" customWidth="1"/>
    <col min="3" max="3" width="2.85546875" style="335" customWidth="1"/>
    <col min="4" max="4" width="5.7109375" style="335" customWidth="1"/>
    <col min="5" max="5" width="8.5703125" style="335" customWidth="1"/>
    <col min="6" max="6" width="12.85546875" style="335" customWidth="1"/>
    <col min="7" max="7" width="10.7109375" style="335" customWidth="1"/>
    <col min="8" max="8" width="1.42578125" style="335" customWidth="1"/>
    <col min="9" max="9" width="7.85546875" style="335" customWidth="1"/>
    <col min="10" max="11" width="11.42578125" style="335" customWidth="1"/>
    <col min="12" max="12" width="9.5703125" style="335" bestFit="1" customWidth="1"/>
    <col min="13" max="13" width="10.7109375" style="335" customWidth="1"/>
    <col min="14" max="14" width="10.42578125" style="335" bestFit="1" customWidth="1"/>
    <col min="15" max="15" width="11.42578125" style="335" customWidth="1"/>
    <col min="16" max="17" width="0" style="335" hidden="1" customWidth="1"/>
    <col min="18" max="18" width="0.7109375" style="335" customWidth="1"/>
    <col min="19" max="19" width="10.85546875" style="335" customWidth="1"/>
    <col min="20" max="20" width="12.42578125" style="335" customWidth="1"/>
    <col min="21" max="21" width="9.140625" style="335"/>
    <col min="22" max="22" width="1.7109375" style="335" customWidth="1"/>
    <col min="23" max="16384" width="9.140625" style="335"/>
  </cols>
  <sheetData>
    <row r="11" spans="2:22" ht="9" customHeight="1" thickBot="1"/>
    <row r="12" spans="2:22" ht="9" customHeight="1">
      <c r="B12" s="389"/>
      <c r="C12" s="390"/>
      <c r="D12" s="390"/>
      <c r="E12" s="390"/>
      <c r="F12" s="390"/>
      <c r="G12" s="390"/>
      <c r="H12" s="390"/>
      <c r="I12" s="341"/>
      <c r="J12" s="341"/>
      <c r="K12" s="341"/>
      <c r="L12" s="341"/>
      <c r="M12" s="390"/>
      <c r="N12" s="390"/>
      <c r="O12" s="24"/>
      <c r="P12" s="24"/>
      <c r="Q12" s="24"/>
      <c r="R12" s="24"/>
      <c r="S12" s="24"/>
      <c r="T12" s="24"/>
      <c r="U12" s="24"/>
      <c r="V12" s="25"/>
    </row>
    <row r="13" spans="2:22" ht="18.600000000000001">
      <c r="B13" s="391"/>
      <c r="C13" s="2057" t="s">
        <v>872</v>
      </c>
      <c r="D13" s="2057"/>
      <c r="E13" s="2057"/>
      <c r="F13" s="2057"/>
      <c r="G13" s="2057"/>
      <c r="H13" s="2057"/>
      <c r="I13" s="2057"/>
      <c r="J13" s="2057"/>
      <c r="K13" s="2057"/>
      <c r="L13" s="2057"/>
      <c r="M13" s="2057"/>
      <c r="N13" s="2057"/>
      <c r="O13" s="2057"/>
      <c r="P13" s="2057"/>
      <c r="Q13" s="2057"/>
      <c r="R13" s="2057"/>
      <c r="S13" s="2057"/>
      <c r="T13" s="2057"/>
      <c r="U13" s="2057"/>
      <c r="V13" s="31"/>
    </row>
    <row r="14" spans="2:22" ht="15" customHeight="1">
      <c r="B14" s="391"/>
      <c r="C14" s="61"/>
      <c r="D14" s="61"/>
      <c r="E14" s="61"/>
      <c r="F14" s="61"/>
      <c r="G14" s="61"/>
      <c r="H14" s="61"/>
      <c r="I14" s="346"/>
      <c r="J14" s="1973"/>
      <c r="K14" s="346"/>
      <c r="L14" s="346"/>
      <c r="M14" s="61"/>
      <c r="N14" s="61"/>
      <c r="O14" s="18"/>
      <c r="P14" s="18"/>
      <c r="Q14" s="18"/>
      <c r="R14" s="18"/>
      <c r="S14" s="18"/>
      <c r="T14" s="18"/>
      <c r="U14" s="18"/>
      <c r="V14" s="31"/>
    </row>
    <row r="15" spans="2:22" ht="15" thickBot="1">
      <c r="B15" s="392"/>
      <c r="C15" s="2116" t="str">
        <f>IF('1'!G5="","Enter Project Name on Form 1",(CONCATENATE("Project Name: ",'1'!G5)))</f>
        <v>Project Name: DESC 22nd Avenue PSH</v>
      </c>
      <c r="D15" s="2116"/>
      <c r="E15" s="2116"/>
      <c r="F15" s="2116"/>
      <c r="G15" s="2116"/>
      <c r="H15" s="2116"/>
      <c r="I15" s="2116"/>
      <c r="J15" s="2116"/>
      <c r="K15" s="2116"/>
      <c r="L15" s="2116"/>
      <c r="M15" s="2116"/>
      <c r="N15" s="2116"/>
      <c r="O15" s="41"/>
      <c r="P15" s="41"/>
      <c r="Q15" s="41"/>
      <c r="R15" s="41"/>
      <c r="S15" s="61"/>
      <c r="T15" s="61"/>
      <c r="U15" s="61"/>
      <c r="V15" s="394"/>
    </row>
    <row r="16" spans="2:22" ht="7.5" customHeight="1" thickBot="1">
      <c r="B16" s="392"/>
      <c r="C16" s="41"/>
      <c r="D16" s="17"/>
      <c r="E16" s="393"/>
      <c r="F16" s="393"/>
      <c r="G16" s="393"/>
      <c r="H16" s="393"/>
      <c r="I16" s="393"/>
      <c r="J16" s="393"/>
      <c r="K16" s="41"/>
      <c r="L16" s="393"/>
      <c r="M16" s="41"/>
      <c r="N16" s="41"/>
      <c r="O16" s="41"/>
      <c r="P16" s="41"/>
      <c r="Q16" s="41"/>
      <c r="R16" s="41"/>
      <c r="S16" s="61"/>
      <c r="T16" s="61"/>
      <c r="U16" s="61"/>
      <c r="V16" s="394"/>
    </row>
    <row r="17" spans="2:22">
      <c r="B17" s="391"/>
      <c r="C17" s="112" t="s">
        <v>873</v>
      </c>
      <c r="D17" s="1370"/>
      <c r="E17" s="393"/>
      <c r="F17" s="2408">
        <v>42982</v>
      </c>
      <c r="G17" s="346"/>
      <c r="H17" s="346"/>
      <c r="I17" s="2409" t="s">
        <v>874</v>
      </c>
      <c r="J17" s="2409" t="s">
        <v>875</v>
      </c>
      <c r="K17" s="2410" t="s">
        <v>702</v>
      </c>
      <c r="L17" s="2411"/>
      <c r="M17" s="2411"/>
      <c r="N17" s="2411"/>
      <c r="O17" s="2411"/>
      <c r="P17" s="2411"/>
      <c r="Q17" s="2411"/>
      <c r="R17" s="2412"/>
      <c r="S17" s="2413" t="s">
        <v>703</v>
      </c>
      <c r="T17" s="2413"/>
      <c r="U17" s="2414"/>
      <c r="V17" s="394"/>
    </row>
    <row r="18" spans="2:22">
      <c r="B18" s="391"/>
      <c r="C18" s="41"/>
      <c r="D18" s="393"/>
      <c r="E18" s="393"/>
      <c r="F18" s="393"/>
      <c r="G18" s="393"/>
      <c r="H18" s="393"/>
      <c r="I18" s="2058"/>
      <c r="J18" s="2058"/>
      <c r="K18" s="2060" t="s">
        <v>876</v>
      </c>
      <c r="L18" s="395" t="s">
        <v>877</v>
      </c>
      <c r="M18" s="395" t="s">
        <v>877</v>
      </c>
      <c r="N18" s="395" t="s">
        <v>877</v>
      </c>
      <c r="O18" s="395" t="s">
        <v>877</v>
      </c>
      <c r="P18" s="395" t="s">
        <v>877</v>
      </c>
      <c r="Q18" s="395" t="s">
        <v>877</v>
      </c>
      <c r="R18" s="396"/>
      <c r="S18" s="2062" t="s">
        <v>878</v>
      </c>
      <c r="T18" s="395" t="s">
        <v>877</v>
      </c>
      <c r="U18" s="397" t="s">
        <v>877</v>
      </c>
      <c r="V18" s="394"/>
    </row>
    <row r="19" spans="2:22">
      <c r="B19" s="391"/>
      <c r="C19" s="41"/>
      <c r="D19" s="393"/>
      <c r="E19" s="393"/>
      <c r="F19" s="393"/>
      <c r="G19" s="393"/>
      <c r="H19" s="393"/>
      <c r="I19" s="2058"/>
      <c r="J19" s="2058"/>
      <c r="K19" s="2060"/>
      <c r="L19" s="2065" t="s">
        <v>864</v>
      </c>
      <c r="M19" s="2065" t="s">
        <v>879</v>
      </c>
      <c r="N19" s="2065" t="s">
        <v>863</v>
      </c>
      <c r="O19" s="2065" t="s">
        <v>865</v>
      </c>
      <c r="P19" s="2065"/>
      <c r="Q19" s="2063"/>
      <c r="R19" s="396"/>
      <c r="S19" s="2062"/>
      <c r="T19" s="2065" t="s">
        <v>642</v>
      </c>
      <c r="U19" s="2067"/>
      <c r="V19" s="394"/>
    </row>
    <row r="20" spans="2:22" ht="15" thickBot="1">
      <c r="B20" s="391"/>
      <c r="C20" s="41"/>
      <c r="D20" s="393"/>
      <c r="E20" s="64"/>
      <c r="F20" s="64"/>
      <c r="G20" s="64"/>
      <c r="H20" s="64"/>
      <c r="I20" s="2059"/>
      <c r="J20" s="2059"/>
      <c r="K20" s="2061"/>
      <c r="L20" s="2066"/>
      <c r="M20" s="2066"/>
      <c r="N20" s="2066"/>
      <c r="O20" s="2066"/>
      <c r="P20" s="2066"/>
      <c r="Q20" s="2064"/>
      <c r="R20" s="2415"/>
      <c r="S20" s="2416"/>
      <c r="T20" s="2066"/>
      <c r="U20" s="2068"/>
      <c r="V20" s="345"/>
    </row>
    <row r="21" spans="2:22" ht="15" thickBot="1">
      <c r="B21" s="391"/>
      <c r="C21" s="2417" t="s">
        <v>880</v>
      </c>
      <c r="D21" s="2417"/>
      <c r="E21" s="2417"/>
      <c r="F21" s="2417"/>
      <c r="G21" s="2417"/>
      <c r="H21" s="43"/>
      <c r="I21" s="43"/>
      <c r="J21" s="43"/>
      <c r="K21" s="43"/>
      <c r="L21" s="393"/>
      <c r="M21" s="41"/>
      <c r="N21" s="41"/>
      <c r="O21" s="15"/>
      <c r="P21" s="398"/>
      <c r="Q21" s="398"/>
      <c r="R21" s="61"/>
      <c r="S21" s="61"/>
      <c r="T21" s="398"/>
      <c r="U21" s="398"/>
      <c r="V21" s="345"/>
    </row>
    <row r="22" spans="2:22">
      <c r="B22" s="391"/>
      <c r="C22" s="41"/>
      <c r="D22" s="2418" t="s">
        <v>881</v>
      </c>
      <c r="E22" s="2418"/>
      <c r="F22" s="2418"/>
      <c r="G22" s="2418"/>
      <c r="H22" s="2418"/>
      <c r="I22" s="761">
        <f t="shared" ref="I22:I28" ca="1" si="0">IFERROR(J22/J$120," ")</f>
        <v>0.10563070509359458</v>
      </c>
      <c r="J22" s="1329">
        <f>3250000</f>
        <v>3250000</v>
      </c>
      <c r="K22" s="762">
        <f t="shared" ref="K22:K27" si="1">SUM(L22:Q22)</f>
        <v>1950000</v>
      </c>
      <c r="L22" s="763"/>
      <c r="M22" s="764">
        <f>0.6*J22-N22</f>
        <v>1050000</v>
      </c>
      <c r="N22" s="764">
        <f>'7A'!E27*0.9</f>
        <v>900000</v>
      </c>
      <c r="O22" s="764"/>
      <c r="P22" s="764"/>
      <c r="Q22" s="764"/>
      <c r="R22" s="410"/>
      <c r="S22" s="773">
        <f t="shared" ref="S22:S27" si="2">SUM(T22:U22)</f>
        <v>1300000</v>
      </c>
      <c r="T22" s="763">
        <f>0.4*J22</f>
        <v>1300000</v>
      </c>
      <c r="U22" s="774"/>
      <c r="V22" s="345"/>
    </row>
    <row r="23" spans="2:22">
      <c r="B23" s="391"/>
      <c r="C23" s="41"/>
      <c r="D23" s="126" t="s">
        <v>882</v>
      </c>
      <c r="E23" s="126"/>
      <c r="F23" s="126"/>
      <c r="G23" s="126"/>
      <c r="H23" s="126"/>
      <c r="I23" s="765">
        <f t="shared" ca="1" si="0"/>
        <v>0</v>
      </c>
      <c r="J23" s="1327"/>
      <c r="K23" s="766">
        <f t="shared" si="1"/>
        <v>0</v>
      </c>
      <c r="L23" s="767"/>
      <c r="M23" s="768"/>
      <c r="N23" s="768"/>
      <c r="O23" s="768"/>
      <c r="P23" s="768"/>
      <c r="Q23" s="768"/>
      <c r="R23" s="399"/>
      <c r="S23" s="775">
        <f t="shared" si="2"/>
        <v>0</v>
      </c>
      <c r="T23" s="767"/>
      <c r="U23" s="776"/>
      <c r="V23" s="345"/>
    </row>
    <row r="24" spans="2:22">
      <c r="B24" s="391"/>
      <c r="C24" s="41"/>
      <c r="D24" s="40" t="s">
        <v>883</v>
      </c>
      <c r="E24" s="40"/>
      <c r="F24" s="40"/>
      <c r="G24" s="40"/>
      <c r="H24" s="40"/>
      <c r="I24" s="765">
        <f t="shared" ca="1" si="0"/>
        <v>0</v>
      </c>
      <c r="J24" s="1327"/>
      <c r="K24" s="766">
        <f t="shared" si="1"/>
        <v>0</v>
      </c>
      <c r="L24" s="767"/>
      <c r="M24" s="768"/>
      <c r="N24" s="768"/>
      <c r="O24" s="768"/>
      <c r="P24" s="768"/>
      <c r="Q24" s="768"/>
      <c r="R24" s="399"/>
      <c r="S24" s="775">
        <f t="shared" si="2"/>
        <v>0</v>
      </c>
      <c r="T24" s="767"/>
      <c r="U24" s="776"/>
      <c r="V24" s="345"/>
    </row>
    <row r="25" spans="2:22">
      <c r="B25" s="391"/>
      <c r="C25" s="41"/>
      <c r="D25" s="40" t="s">
        <v>884</v>
      </c>
      <c r="E25" s="40"/>
      <c r="F25" s="40"/>
      <c r="G25" s="40"/>
      <c r="H25" s="40"/>
      <c r="I25" s="765">
        <f t="shared" ca="1" si="0"/>
        <v>5.2815352546797291E-3</v>
      </c>
      <c r="J25" s="1327">
        <f>0.05*J22</f>
        <v>162500</v>
      </c>
      <c r="K25" s="766">
        <f t="shared" si="1"/>
        <v>97500</v>
      </c>
      <c r="L25" s="767"/>
      <c r="M25" s="768">
        <f>0.05*K22</f>
        <v>97500</v>
      </c>
      <c r="N25" s="768"/>
      <c r="O25" s="768"/>
      <c r="P25" s="768"/>
      <c r="Q25" s="768"/>
      <c r="R25" s="399"/>
      <c r="S25" s="775">
        <f t="shared" si="2"/>
        <v>65000</v>
      </c>
      <c r="T25" s="767">
        <f>0.05*T22</f>
        <v>65000</v>
      </c>
      <c r="U25" s="776"/>
      <c r="V25" s="345"/>
    </row>
    <row r="26" spans="2:22">
      <c r="B26" s="391"/>
      <c r="C26" s="41"/>
      <c r="D26" s="46" t="s">
        <v>885</v>
      </c>
      <c r="E26" s="46"/>
      <c r="F26" s="46"/>
      <c r="G26" s="46"/>
      <c r="H26" s="46"/>
      <c r="I26" s="765">
        <f t="shared" ca="1" si="0"/>
        <v>0</v>
      </c>
      <c r="J26" s="1327"/>
      <c r="K26" s="766">
        <f t="shared" si="1"/>
        <v>0</v>
      </c>
      <c r="L26" s="767"/>
      <c r="M26" s="768"/>
      <c r="N26" s="768"/>
      <c r="O26" s="768"/>
      <c r="P26" s="768"/>
      <c r="Q26" s="768"/>
      <c r="R26" s="399"/>
      <c r="S26" s="775">
        <f t="shared" si="2"/>
        <v>0</v>
      </c>
      <c r="T26" s="767"/>
      <c r="U26" s="776"/>
      <c r="V26" s="345"/>
    </row>
    <row r="27" spans="2:22">
      <c r="B27" s="391"/>
      <c r="C27" s="41"/>
      <c r="D27" s="46" t="s">
        <v>886</v>
      </c>
      <c r="E27" s="2069"/>
      <c r="F27" s="2419"/>
      <c r="G27" s="2070"/>
      <c r="H27" s="130"/>
      <c r="I27" s="769">
        <f t="shared" ca="1" si="0"/>
        <v>0</v>
      </c>
      <c r="J27" s="1328"/>
      <c r="K27" s="770">
        <f t="shared" si="1"/>
        <v>0</v>
      </c>
      <c r="L27" s="771"/>
      <c r="M27" s="772"/>
      <c r="N27" s="772"/>
      <c r="O27" s="772"/>
      <c r="P27" s="772"/>
      <c r="Q27" s="772"/>
      <c r="R27" s="399"/>
      <c r="S27" s="777">
        <f t="shared" si="2"/>
        <v>0</v>
      </c>
      <c r="T27" s="771"/>
      <c r="U27" s="778"/>
      <c r="V27" s="345"/>
    </row>
    <row r="28" spans="2:22" ht="15" thickBot="1">
      <c r="B28" s="391"/>
      <c r="C28" s="41"/>
      <c r="D28" s="40"/>
      <c r="E28" s="40"/>
      <c r="F28" s="40"/>
      <c r="G28" s="44" t="s">
        <v>887</v>
      </c>
      <c r="H28" s="44"/>
      <c r="I28" s="290">
        <f t="shared" ca="1" si="0"/>
        <v>0.11091224034827431</v>
      </c>
      <c r="J28" s="32">
        <f t="shared" ref="J28:Q28" si="3">SUM(J22:J27)</f>
        <v>3412500</v>
      </c>
      <c r="K28" s="22">
        <f t="shared" si="3"/>
        <v>2047500</v>
      </c>
      <c r="L28" s="1385">
        <f t="shared" si="3"/>
        <v>0</v>
      </c>
      <c r="M28" s="1386">
        <f t="shared" si="3"/>
        <v>1147500</v>
      </c>
      <c r="N28" s="1386">
        <f t="shared" si="3"/>
        <v>900000</v>
      </c>
      <c r="O28" s="1386">
        <f t="shared" si="3"/>
        <v>0</v>
      </c>
      <c r="P28" s="1386">
        <f t="shared" si="3"/>
        <v>0</v>
      </c>
      <c r="Q28" s="1386">
        <f t="shared" si="3"/>
        <v>0</v>
      </c>
      <c r="R28" s="400"/>
      <c r="S28" s="401">
        <f>SUM(S22:S27)</f>
        <v>1365000</v>
      </c>
      <c r="T28" s="1385">
        <f>SUM(T22:T27)</f>
        <v>1365000</v>
      </c>
      <c r="U28" s="1387">
        <f>SUM(U22:U27)</f>
        <v>0</v>
      </c>
      <c r="V28" s="345"/>
    </row>
    <row r="29" spans="2:22" ht="3.75" customHeight="1">
      <c r="B29" s="391"/>
      <c r="C29" s="40"/>
      <c r="D29" s="40"/>
      <c r="E29" s="40"/>
      <c r="F29" s="40"/>
      <c r="G29" s="40"/>
      <c r="H29" s="40"/>
      <c r="I29" s="393"/>
      <c r="J29" s="407"/>
      <c r="K29" s="41"/>
      <c r="L29" s="16"/>
      <c r="M29" s="16"/>
      <c r="N29" s="16"/>
      <c r="O29" s="16"/>
      <c r="P29" s="41"/>
      <c r="Q29" s="16"/>
      <c r="R29" s="399"/>
      <c r="S29" s="16"/>
      <c r="T29" s="16"/>
      <c r="U29" s="16"/>
      <c r="V29" s="345"/>
    </row>
    <row r="30" spans="2:22" ht="15" thickBot="1">
      <c r="B30" s="391"/>
      <c r="C30" s="2417" t="s">
        <v>888</v>
      </c>
      <c r="D30" s="2417"/>
      <c r="E30" s="2417"/>
      <c r="F30" s="2417"/>
      <c r="G30" s="2417"/>
      <c r="H30" s="43"/>
      <c r="I30" s="43"/>
      <c r="J30" s="43"/>
      <c r="K30" s="43"/>
      <c r="L30" s="393"/>
      <c r="M30" s="41"/>
      <c r="N30" s="41"/>
      <c r="O30" s="15"/>
      <c r="P30" s="398"/>
      <c r="Q30" s="398"/>
      <c r="R30" s="396"/>
      <c r="S30" s="61"/>
      <c r="T30" s="398"/>
      <c r="U30" s="398"/>
      <c r="V30" s="345"/>
    </row>
    <row r="31" spans="2:22">
      <c r="B31" s="391"/>
      <c r="C31" s="41"/>
      <c r="D31" s="2420" t="s">
        <v>889</v>
      </c>
      <c r="E31" s="2420"/>
      <c r="F31" s="2420"/>
      <c r="G31" s="2420"/>
      <c r="H31" s="2420"/>
      <c r="I31" s="761">
        <f t="shared" ref="I31:I47" ca="1" si="4">IFERROR(J31/J$120," ")</f>
        <v>0</v>
      </c>
      <c r="J31" s="1329"/>
      <c r="K31" s="779">
        <f t="shared" ref="K31:K46" si="5">SUM(L31:Q31)</f>
        <v>0</v>
      </c>
      <c r="L31" s="763"/>
      <c r="M31" s="780"/>
      <c r="N31" s="780"/>
      <c r="O31" s="780"/>
      <c r="P31" s="780"/>
      <c r="Q31" s="780"/>
      <c r="R31" s="410"/>
      <c r="S31" s="786">
        <f t="shared" ref="S31:S46" si="6">SUM(T31:U31)</f>
        <v>0</v>
      </c>
      <c r="T31" s="763"/>
      <c r="U31" s="774"/>
      <c r="V31" s="345"/>
    </row>
    <row r="32" spans="2:22">
      <c r="B32" s="391"/>
      <c r="C32" s="41"/>
      <c r="D32" s="40" t="s">
        <v>890</v>
      </c>
      <c r="E32" s="40"/>
      <c r="F32" s="40"/>
      <c r="G32" s="40"/>
      <c r="H32" s="40"/>
      <c r="I32" s="765">
        <f t="shared" ca="1" si="4"/>
        <v>0.53884527042701402</v>
      </c>
      <c r="J32" s="1863">
        <v>16578959</v>
      </c>
      <c r="K32" s="781">
        <f t="shared" ca="1" si="5"/>
        <v>16578959</v>
      </c>
      <c r="L32" s="767">
        <f ca="1">3000000-L28-L31-SUM(L33:L46)-L63-L68-L76-L87-L93-L107-L118</f>
        <v>1117012.0969050592</v>
      </c>
      <c r="M32" s="782">
        <f ca="1">'7A'!E26-'6A'!M28-'6A'!M31-SUM('6A'!M33:M46)-'6A'!M63-'6A'!M68-'6A'!M76-'6A'!M87-'6A'!M93-'6A'!M107-'6A'!M118</f>
        <v>5309860.3774638502</v>
      </c>
      <c r="N32" s="782"/>
      <c r="O32" s="1867">
        <f ca="1">J32-SUM(L32:N32)</f>
        <v>10152086.525631091</v>
      </c>
      <c r="P32" s="782"/>
      <c r="Q32" s="782"/>
      <c r="R32" s="399"/>
      <c r="S32" s="775">
        <f t="shared" si="6"/>
        <v>0</v>
      </c>
      <c r="T32" s="767"/>
      <c r="U32" s="776"/>
      <c r="V32" s="345"/>
    </row>
    <row r="33" spans="2:22">
      <c r="B33" s="391"/>
      <c r="C33" s="41"/>
      <c r="D33" s="40" t="s">
        <v>891</v>
      </c>
      <c r="E33" s="40"/>
      <c r="F33" s="40"/>
      <c r="G33" s="40"/>
      <c r="H33" s="40"/>
      <c r="I33" s="765">
        <f t="shared" ca="1" si="4"/>
        <v>0</v>
      </c>
      <c r="J33" s="1327"/>
      <c r="K33" s="781">
        <f t="shared" si="5"/>
        <v>0</v>
      </c>
      <c r="L33" s="767"/>
      <c r="M33" s="782"/>
      <c r="N33" s="782"/>
      <c r="O33" s="782"/>
      <c r="P33" s="782"/>
      <c r="Q33" s="782"/>
      <c r="R33" s="399"/>
      <c r="S33" s="775">
        <f t="shared" si="6"/>
        <v>0</v>
      </c>
      <c r="T33" s="767"/>
      <c r="U33" s="776"/>
      <c r="V33" s="345"/>
    </row>
    <row r="34" spans="2:22">
      <c r="B34" s="391"/>
      <c r="C34" s="41"/>
      <c r="D34" s="40" t="s">
        <v>892</v>
      </c>
      <c r="E34" s="40"/>
      <c r="F34" s="40"/>
      <c r="G34" s="40"/>
      <c r="H34" s="40"/>
      <c r="I34" s="765">
        <f t="shared" ca="1" si="4"/>
        <v>0</v>
      </c>
      <c r="J34" s="1327"/>
      <c r="K34" s="781">
        <f t="shared" si="5"/>
        <v>0</v>
      </c>
      <c r="L34" s="767"/>
      <c r="M34" s="782"/>
      <c r="N34" s="782"/>
      <c r="O34" s="782"/>
      <c r="P34" s="782"/>
      <c r="Q34" s="782"/>
      <c r="R34" s="399"/>
      <c r="S34" s="775">
        <f t="shared" si="6"/>
        <v>0</v>
      </c>
      <c r="T34" s="767"/>
      <c r="U34" s="776"/>
      <c r="V34" s="345"/>
    </row>
    <row r="35" spans="2:22">
      <c r="B35" s="391"/>
      <c r="C35" s="41"/>
      <c r="D35" s="40" t="s">
        <v>893</v>
      </c>
      <c r="E35" s="40"/>
      <c r="F35" s="40"/>
      <c r="G35" s="40"/>
      <c r="H35" s="40"/>
      <c r="I35" s="765">
        <f t="shared" ca="1" si="4"/>
        <v>0</v>
      </c>
      <c r="J35" s="1327"/>
      <c r="K35" s="781">
        <f t="shared" si="5"/>
        <v>0</v>
      </c>
      <c r="L35" s="767"/>
      <c r="M35" s="782"/>
      <c r="N35" s="782"/>
      <c r="O35" s="782"/>
      <c r="P35" s="782"/>
      <c r="Q35" s="782"/>
      <c r="R35" s="399"/>
      <c r="S35" s="775">
        <f t="shared" si="6"/>
        <v>0</v>
      </c>
      <c r="T35" s="767"/>
      <c r="U35" s="776"/>
      <c r="V35" s="345"/>
    </row>
    <row r="36" spans="2:22">
      <c r="B36" s="391"/>
      <c r="C36" s="41"/>
      <c r="D36" s="40" t="s">
        <v>894</v>
      </c>
      <c r="E36" s="40"/>
      <c r="F36" s="40"/>
      <c r="G36" s="2421">
        <f>IFERROR(J36/(J32+J34+J35+J44),)</f>
        <v>0.1</v>
      </c>
      <c r="H36" s="49"/>
      <c r="I36" s="765">
        <f t="shared" ca="1" si="4"/>
        <v>5.3884527042701413E-2</v>
      </c>
      <c r="J36" s="1327">
        <f>0.1*J32</f>
        <v>1657895.9000000001</v>
      </c>
      <c r="K36" s="781">
        <f t="shared" si="5"/>
        <v>1657895.9000000001</v>
      </c>
      <c r="L36" s="1866"/>
      <c r="M36" s="782">
        <f>0.3*J36</f>
        <v>497368.77</v>
      </c>
      <c r="N36" s="782"/>
      <c r="O36" s="782">
        <f>J36-SUM(L36:N36)</f>
        <v>1160527.1300000001</v>
      </c>
      <c r="P36" s="782"/>
      <c r="Q36" s="782"/>
      <c r="R36" s="399"/>
      <c r="S36" s="775">
        <f t="shared" si="6"/>
        <v>0</v>
      </c>
      <c r="T36" s="767"/>
      <c r="U36" s="776"/>
      <c r="V36" s="345"/>
    </row>
    <row r="37" spans="2:22">
      <c r="B37" s="391"/>
      <c r="C37" s="41"/>
      <c r="D37" s="40" t="s">
        <v>895</v>
      </c>
      <c r="E37" s="40"/>
      <c r="F37" s="40"/>
      <c r="G37" s="2421">
        <f>IFERROR(J37/(J33+J34+J35+J44),)</f>
        <v>0</v>
      </c>
      <c r="H37" s="49"/>
      <c r="I37" s="765">
        <f t="shared" ca="1" si="4"/>
        <v>0</v>
      </c>
      <c r="J37" s="1327"/>
      <c r="K37" s="781">
        <f t="shared" si="5"/>
        <v>0</v>
      </c>
      <c r="L37" s="767"/>
      <c r="M37" s="782"/>
      <c r="N37" s="782"/>
      <c r="O37" s="782"/>
      <c r="P37" s="782"/>
      <c r="Q37" s="782"/>
      <c r="R37" s="399"/>
      <c r="S37" s="775">
        <f t="shared" si="6"/>
        <v>0</v>
      </c>
      <c r="T37" s="767"/>
      <c r="U37" s="776"/>
      <c r="V37" s="345"/>
    </row>
    <row r="38" spans="2:22">
      <c r="B38" s="391"/>
      <c r="C38" s="41"/>
      <c r="D38" s="40" t="s">
        <v>896</v>
      </c>
      <c r="E38" s="40"/>
      <c r="F38" s="40"/>
      <c r="G38" s="40"/>
      <c r="H38" s="40"/>
      <c r="I38" s="765">
        <f t="shared" ca="1" si="4"/>
        <v>0</v>
      </c>
      <c r="J38" s="1327"/>
      <c r="K38" s="781">
        <f t="shared" si="5"/>
        <v>0</v>
      </c>
      <c r="L38" s="767"/>
      <c r="M38" s="782"/>
      <c r="N38" s="782"/>
      <c r="O38" s="782"/>
      <c r="P38" s="782"/>
      <c r="Q38" s="782"/>
      <c r="R38" s="399"/>
      <c r="S38" s="775">
        <f t="shared" si="6"/>
        <v>0</v>
      </c>
      <c r="T38" s="767"/>
      <c r="U38" s="776"/>
      <c r="V38" s="345"/>
    </row>
    <row r="39" spans="2:22">
      <c r="B39" s="391"/>
      <c r="C39" s="41"/>
      <c r="D39" s="40" t="s">
        <v>897</v>
      </c>
      <c r="E39" s="40"/>
      <c r="F39" s="40"/>
      <c r="G39" s="40"/>
      <c r="H39" s="40"/>
      <c r="I39" s="765">
        <f t="shared" ca="1" si="4"/>
        <v>0</v>
      </c>
      <c r="J39" s="1327"/>
      <c r="K39" s="781">
        <f t="shared" si="5"/>
        <v>0</v>
      </c>
      <c r="L39" s="767"/>
      <c r="M39" s="782"/>
      <c r="N39" s="782"/>
      <c r="O39" s="782"/>
      <c r="P39" s="782"/>
      <c r="Q39" s="782"/>
      <c r="R39" s="399"/>
      <c r="S39" s="775">
        <f t="shared" si="6"/>
        <v>0</v>
      </c>
      <c r="T39" s="767"/>
      <c r="U39" s="776"/>
      <c r="V39" s="345"/>
    </row>
    <row r="40" spans="2:22">
      <c r="B40" s="391"/>
      <c r="C40" s="41"/>
      <c r="D40" s="40" t="s">
        <v>898</v>
      </c>
      <c r="E40" s="40"/>
      <c r="F40" s="40"/>
      <c r="G40" s="40"/>
      <c r="H40" s="40"/>
      <c r="I40" s="765">
        <f t="shared" ca="1" si="4"/>
        <v>0</v>
      </c>
      <c r="J40" s="1327"/>
      <c r="K40" s="781">
        <f t="shared" si="5"/>
        <v>0</v>
      </c>
      <c r="L40" s="767"/>
      <c r="M40" s="782"/>
      <c r="N40" s="782"/>
      <c r="O40" s="782"/>
      <c r="P40" s="782"/>
      <c r="Q40" s="782"/>
      <c r="R40" s="399"/>
      <c r="S40" s="775">
        <f t="shared" si="6"/>
        <v>0</v>
      </c>
      <c r="T40" s="767"/>
      <c r="U40" s="776"/>
      <c r="V40" s="345"/>
    </row>
    <row r="41" spans="2:22">
      <c r="B41" s="391"/>
      <c r="C41" s="41"/>
      <c r="D41" s="40" t="s">
        <v>899</v>
      </c>
      <c r="E41" s="40"/>
      <c r="F41" s="40"/>
      <c r="G41" s="40"/>
      <c r="H41" s="40"/>
      <c r="I41" s="765">
        <f t="shared" ca="1" si="4"/>
        <v>3.5101895846486814E-3</v>
      </c>
      <c r="J41" s="1327">
        <f>24000*4.5</f>
        <v>108000</v>
      </c>
      <c r="K41" s="781">
        <f t="shared" si="5"/>
        <v>108000</v>
      </c>
      <c r="L41" s="767"/>
      <c r="M41" s="782">
        <f>J41</f>
        <v>108000</v>
      </c>
      <c r="N41" s="782"/>
      <c r="O41" s="782"/>
      <c r="P41" s="782"/>
      <c r="Q41" s="782"/>
      <c r="R41" s="399"/>
      <c r="S41" s="775">
        <f t="shared" si="6"/>
        <v>0</v>
      </c>
      <c r="T41" s="767"/>
      <c r="U41" s="776"/>
      <c r="V41" s="345"/>
    </row>
    <row r="42" spans="2:22">
      <c r="B42" s="391"/>
      <c r="C42" s="41"/>
      <c r="D42" s="40" t="s">
        <v>900</v>
      </c>
      <c r="E42" s="40"/>
      <c r="F42" s="40"/>
      <c r="G42" s="40"/>
      <c r="H42" s="40"/>
      <c r="I42" s="765">
        <f t="shared" ca="1" si="4"/>
        <v>0</v>
      </c>
      <c r="J42" s="1327"/>
      <c r="K42" s="781">
        <f t="shared" si="5"/>
        <v>0</v>
      </c>
      <c r="L42" s="767"/>
      <c r="M42" s="782"/>
      <c r="N42" s="782"/>
      <c r="O42" s="782"/>
      <c r="P42" s="782"/>
      <c r="Q42" s="782"/>
      <c r="R42" s="399"/>
      <c r="S42" s="775">
        <f t="shared" si="6"/>
        <v>0</v>
      </c>
      <c r="T42" s="767"/>
      <c r="U42" s="776"/>
      <c r="V42" s="345"/>
    </row>
    <row r="43" spans="2:22">
      <c r="B43" s="391"/>
      <c r="C43" s="41"/>
      <c r="D43" s="40" t="s">
        <v>901</v>
      </c>
      <c r="E43" s="40"/>
      <c r="F43" s="40"/>
      <c r="G43" s="40"/>
      <c r="H43" s="40"/>
      <c r="I43" s="765">
        <f t="shared" ca="1" si="4"/>
        <v>5.4423372313128424E-2</v>
      </c>
      <c r="J43" s="1864">
        <f>0.101*(J32)</f>
        <v>1674474.8590000002</v>
      </c>
      <c r="K43" s="781">
        <f t="shared" ca="1" si="5"/>
        <v>1674474.8590000002</v>
      </c>
      <c r="L43" s="767">
        <f ca="1">0.101*(L36+L32)</f>
        <v>112818.22178741098</v>
      </c>
      <c r="M43" s="782">
        <f ca="1">0.101*M32</f>
        <v>536295.89812384895</v>
      </c>
      <c r="N43" s="782">
        <f>0.101*N32</f>
        <v>0</v>
      </c>
      <c r="O43" s="782">
        <f ca="1">0.101*O32</f>
        <v>1025360.7390887402</v>
      </c>
      <c r="P43" s="782"/>
      <c r="Q43" s="782"/>
      <c r="R43" s="399"/>
      <c r="S43" s="775">
        <f t="shared" si="6"/>
        <v>0</v>
      </c>
      <c r="T43" s="767"/>
      <c r="U43" s="776"/>
      <c r="V43" s="345"/>
    </row>
    <row r="44" spans="2:22">
      <c r="B44" s="391"/>
      <c r="C44" s="41"/>
      <c r="D44" s="40" t="s">
        <v>902</v>
      </c>
      <c r="E44" s="40"/>
      <c r="F44" s="40"/>
      <c r="G44" s="40"/>
      <c r="H44" s="40"/>
      <c r="I44" s="765">
        <f t="shared" ca="1" si="4"/>
        <v>0</v>
      </c>
      <c r="J44" s="1327"/>
      <c r="K44" s="781">
        <f t="shared" si="5"/>
        <v>0</v>
      </c>
      <c r="L44" s="767"/>
      <c r="M44" s="782"/>
      <c r="N44" s="782"/>
      <c r="O44" s="782"/>
      <c r="P44" s="782"/>
      <c r="Q44" s="782"/>
      <c r="R44" s="399"/>
      <c r="S44" s="775">
        <f t="shared" si="6"/>
        <v>0</v>
      </c>
      <c r="T44" s="767"/>
      <c r="U44" s="776"/>
      <c r="V44" s="345"/>
    </row>
    <row r="45" spans="2:22">
      <c r="B45" s="391"/>
      <c r="C45" s="41"/>
      <c r="D45" s="40" t="s">
        <v>903</v>
      </c>
      <c r="E45" s="40"/>
      <c r="F45" s="40"/>
      <c r="G45" s="40"/>
      <c r="H45" s="40"/>
      <c r="I45" s="765">
        <f t="shared" ca="1" si="4"/>
        <v>1.0725579286426527E-2</v>
      </c>
      <c r="J45" s="1327">
        <v>330000</v>
      </c>
      <c r="K45" s="781">
        <f t="shared" si="5"/>
        <v>330000</v>
      </c>
      <c r="L45" s="767">
        <f>J45-SUM(M45:O45)</f>
        <v>165000</v>
      </c>
      <c r="M45" s="782"/>
      <c r="N45" s="782"/>
      <c r="O45" s="782">
        <f>J45/2</f>
        <v>165000</v>
      </c>
      <c r="P45" s="782"/>
      <c r="Q45" s="782"/>
      <c r="R45" s="399"/>
      <c r="S45" s="775">
        <f t="shared" si="6"/>
        <v>0</v>
      </c>
      <c r="T45" s="767"/>
      <c r="U45" s="776"/>
      <c r="V45" s="345"/>
    </row>
    <row r="46" spans="2:22">
      <c r="B46" s="391"/>
      <c r="C46" s="41"/>
      <c r="D46" s="45" t="s">
        <v>886</v>
      </c>
      <c r="E46" s="2069"/>
      <c r="F46" s="2419"/>
      <c r="G46" s="2070"/>
      <c r="H46" s="45"/>
      <c r="I46" s="769">
        <f t="shared" ca="1" si="4"/>
        <v>0</v>
      </c>
      <c r="J46" s="1328"/>
      <c r="K46" s="783">
        <f t="shared" si="5"/>
        <v>0</v>
      </c>
      <c r="L46" s="784"/>
      <c r="M46" s="785"/>
      <c r="N46" s="785"/>
      <c r="O46" s="785"/>
      <c r="P46" s="785"/>
      <c r="Q46" s="785"/>
      <c r="R46" s="399"/>
      <c r="S46" s="787">
        <f t="shared" si="6"/>
        <v>0</v>
      </c>
      <c r="T46" s="784"/>
      <c r="U46" s="788"/>
      <c r="V46" s="345"/>
    </row>
    <row r="47" spans="2:22" ht="15" thickBot="1">
      <c r="B47" s="391"/>
      <c r="C47" s="41"/>
      <c r="D47" s="40"/>
      <c r="E47" s="40"/>
      <c r="F47" s="40"/>
      <c r="G47" s="44" t="s">
        <v>887</v>
      </c>
      <c r="H47" s="44"/>
      <c r="I47" s="290">
        <f t="shared" ca="1" si="4"/>
        <v>0.66138893865391912</v>
      </c>
      <c r="J47" s="32">
        <f t="shared" ref="J47:Q47" si="7">SUM(J31:J46)</f>
        <v>20349329.759</v>
      </c>
      <c r="K47" s="22">
        <f t="shared" ca="1" si="7"/>
        <v>20349329.759</v>
      </c>
      <c r="L47" s="1385">
        <f t="shared" ca="1" si="7"/>
        <v>1394830.3186924702</v>
      </c>
      <c r="M47" s="1386">
        <f t="shared" ca="1" si="7"/>
        <v>6451525.0455876999</v>
      </c>
      <c r="N47" s="1386">
        <f t="shared" si="7"/>
        <v>0</v>
      </c>
      <c r="O47" s="1386">
        <f t="shared" ca="1" si="7"/>
        <v>12502974.394719832</v>
      </c>
      <c r="P47" s="1386">
        <f t="shared" si="7"/>
        <v>0</v>
      </c>
      <c r="Q47" s="1386">
        <f t="shared" si="7"/>
        <v>0</v>
      </c>
      <c r="R47" s="400"/>
      <c r="S47" s="401">
        <f>SUM(S31:S46)</f>
        <v>0</v>
      </c>
      <c r="T47" s="1385">
        <f>SUM(T31:T46)</f>
        <v>0</v>
      </c>
      <c r="U47" s="1387">
        <f>SUM(U31:U46)</f>
        <v>0</v>
      </c>
      <c r="V47" s="345"/>
    </row>
    <row r="48" spans="2:22" ht="9" customHeight="1" thickBot="1">
      <c r="B48" s="402"/>
      <c r="C48" s="26"/>
      <c r="D48" s="26"/>
      <c r="E48" s="26"/>
      <c r="F48" s="26"/>
      <c r="G48" s="26"/>
      <c r="H48" s="26"/>
      <c r="I48" s="352"/>
      <c r="J48" s="403"/>
      <c r="K48" s="404"/>
      <c r="L48" s="405"/>
      <c r="M48" s="27"/>
      <c r="N48" s="27"/>
      <c r="O48" s="27"/>
      <c r="P48" s="404"/>
      <c r="Q48" s="27"/>
      <c r="R48" s="406"/>
      <c r="S48" s="27"/>
      <c r="T48" s="405"/>
      <c r="U48" s="27"/>
      <c r="V48" s="353"/>
    </row>
    <row r="49" spans="2:22" ht="15" thickBot="1">
      <c r="B49" s="391"/>
      <c r="C49" s="2417" t="s">
        <v>904</v>
      </c>
      <c r="D49" s="2417"/>
      <c r="E49" s="2417"/>
      <c r="F49" s="2417"/>
      <c r="G49" s="2417"/>
      <c r="H49" s="43"/>
      <c r="I49" s="43"/>
      <c r="J49" s="43"/>
      <c r="K49" s="43"/>
      <c r="L49" s="393"/>
      <c r="M49" s="41"/>
      <c r="N49" s="41"/>
      <c r="O49" s="15"/>
      <c r="P49" s="398"/>
      <c r="Q49" s="398"/>
      <c r="R49" s="396"/>
      <c r="S49" s="61"/>
      <c r="T49" s="398"/>
      <c r="U49" s="398"/>
      <c r="V49" s="345"/>
    </row>
    <row r="50" spans="2:22">
      <c r="B50" s="391"/>
      <c r="C50" s="41"/>
      <c r="D50" s="2420" t="s">
        <v>905</v>
      </c>
      <c r="E50" s="2420"/>
      <c r="F50" s="2420"/>
      <c r="G50" s="2420"/>
      <c r="H50" s="2420"/>
      <c r="I50" s="761">
        <f t="shared" ref="I50:I63" ca="1" si="8">IFERROR(J50/J$120," ")</f>
        <v>4.8752633120120574E-4</v>
      </c>
      <c r="J50" s="1329">
        <v>15000</v>
      </c>
      <c r="K50" s="779">
        <f t="shared" ref="K50:K62" si="9">SUM(L50:Q50)</f>
        <v>15000</v>
      </c>
      <c r="L50" s="763">
        <f t="shared" ref="L50:L56" si="10">J50-S50</f>
        <v>15000</v>
      </c>
      <c r="M50" s="780"/>
      <c r="N50" s="780"/>
      <c r="O50" s="780"/>
      <c r="P50" s="780"/>
      <c r="Q50" s="780"/>
      <c r="R50" s="410"/>
      <c r="S50" s="786">
        <f t="shared" ref="S50:S62" si="11">SUM(T50:U50)</f>
        <v>0</v>
      </c>
      <c r="T50" s="763"/>
      <c r="U50" s="774"/>
      <c r="V50" s="345"/>
    </row>
    <row r="51" spans="2:22">
      <c r="B51" s="391"/>
      <c r="C51" s="41"/>
      <c r="D51" s="40" t="s">
        <v>906</v>
      </c>
      <c r="E51" s="40"/>
      <c r="F51" s="40"/>
      <c r="G51" s="40"/>
      <c r="H51" s="40"/>
      <c r="I51" s="765">
        <f t="shared" ca="1" si="8"/>
        <v>1.7875965477377544E-4</v>
      </c>
      <c r="J51" s="1327">
        <v>5500</v>
      </c>
      <c r="K51" s="781">
        <f t="shared" si="9"/>
        <v>5500</v>
      </c>
      <c r="L51" s="767">
        <f t="shared" si="10"/>
        <v>5500</v>
      </c>
      <c r="M51" s="782"/>
      <c r="N51" s="782"/>
      <c r="O51" s="782"/>
      <c r="P51" s="782"/>
      <c r="Q51" s="782"/>
      <c r="R51" s="399"/>
      <c r="S51" s="775">
        <f t="shared" si="11"/>
        <v>0</v>
      </c>
      <c r="T51" s="767"/>
      <c r="U51" s="776"/>
      <c r="V51" s="345"/>
    </row>
    <row r="52" spans="2:22">
      <c r="B52" s="391"/>
      <c r="C52" s="41"/>
      <c r="D52" s="40" t="s">
        <v>907</v>
      </c>
      <c r="E52" s="40"/>
      <c r="F52" s="40"/>
      <c r="G52" s="40"/>
      <c r="H52" s="40"/>
      <c r="I52" s="765">
        <f t="shared" ca="1" si="8"/>
        <v>4.308383944969002E-2</v>
      </c>
      <c r="J52" s="1327">
        <v>1325585</v>
      </c>
      <c r="K52" s="781">
        <f t="shared" si="9"/>
        <v>1325585</v>
      </c>
      <c r="L52" s="767">
        <f>0.3*J52</f>
        <v>397675.5</v>
      </c>
      <c r="M52" s="782">
        <f>0.5*J52</f>
        <v>662792.5</v>
      </c>
      <c r="N52" s="782">
        <f>1000000-N28-N47-N50-N51-SUM(N53:N62)-N68-N76-N87-N93-N107-N118</f>
        <v>90000</v>
      </c>
      <c r="O52" s="782">
        <f>J52-SUM(L52:N52)</f>
        <v>175117</v>
      </c>
      <c r="P52" s="782"/>
      <c r="Q52" s="782"/>
      <c r="R52" s="399"/>
      <c r="S52" s="775">
        <f t="shared" si="11"/>
        <v>0</v>
      </c>
      <c r="T52" s="767"/>
      <c r="U52" s="776"/>
      <c r="V52" s="345"/>
    </row>
    <row r="53" spans="2:22">
      <c r="B53" s="391"/>
      <c r="C53" s="41"/>
      <c r="D53" s="40" t="s">
        <v>908</v>
      </c>
      <c r="E53" s="40"/>
      <c r="F53" s="40"/>
      <c r="G53" s="40"/>
      <c r="H53" s="40"/>
      <c r="I53" s="765">
        <f t="shared" ca="1" si="8"/>
        <v>1.6250877706706858E-3</v>
      </c>
      <c r="J53" s="1327">
        <v>50000</v>
      </c>
      <c r="K53" s="781">
        <f t="shared" si="9"/>
        <v>50000</v>
      </c>
      <c r="L53" s="767">
        <f t="shared" si="10"/>
        <v>50000</v>
      </c>
      <c r="M53" s="782"/>
      <c r="N53" s="782"/>
      <c r="O53" s="782"/>
      <c r="P53" s="782"/>
      <c r="Q53" s="782"/>
      <c r="R53" s="399"/>
      <c r="S53" s="775">
        <f t="shared" si="11"/>
        <v>0</v>
      </c>
      <c r="T53" s="767"/>
      <c r="U53" s="776"/>
      <c r="V53" s="345"/>
    </row>
    <row r="54" spans="2:22">
      <c r="B54" s="391"/>
      <c r="C54" s="41"/>
      <c r="D54" s="46" t="s">
        <v>909</v>
      </c>
      <c r="E54" s="46"/>
      <c r="F54" s="46"/>
      <c r="G54" s="46"/>
      <c r="H54" s="46"/>
      <c r="I54" s="765">
        <f t="shared" ca="1" si="8"/>
        <v>4.8752633120120574E-4</v>
      </c>
      <c r="J54" s="1327">
        <f>15000</f>
        <v>15000</v>
      </c>
      <c r="K54" s="781">
        <f t="shared" si="9"/>
        <v>15000</v>
      </c>
      <c r="L54" s="767">
        <f t="shared" si="10"/>
        <v>15000</v>
      </c>
      <c r="M54" s="782"/>
      <c r="N54" s="782"/>
      <c r="O54" s="782"/>
      <c r="P54" s="782"/>
      <c r="Q54" s="782"/>
      <c r="R54" s="399"/>
      <c r="S54" s="775">
        <f t="shared" si="11"/>
        <v>0</v>
      </c>
      <c r="T54" s="767"/>
      <c r="U54" s="776"/>
      <c r="V54" s="345"/>
    </row>
    <row r="55" spans="2:22">
      <c r="B55" s="391"/>
      <c r="C55" s="41"/>
      <c r="D55" s="40" t="s">
        <v>910</v>
      </c>
      <c r="E55" s="40"/>
      <c r="F55" s="40"/>
      <c r="G55" s="40"/>
      <c r="H55" s="40"/>
      <c r="I55" s="765">
        <f t="shared" ca="1" si="8"/>
        <v>8.125438853353429E-4</v>
      </c>
      <c r="J55" s="1327">
        <f>25000</f>
        <v>25000</v>
      </c>
      <c r="K55" s="781">
        <f t="shared" si="9"/>
        <v>25000</v>
      </c>
      <c r="L55" s="767">
        <f t="shared" si="10"/>
        <v>25000</v>
      </c>
      <c r="M55" s="782"/>
      <c r="N55" s="782"/>
      <c r="O55" s="782"/>
      <c r="P55" s="782"/>
      <c r="Q55" s="782"/>
      <c r="R55" s="399"/>
      <c r="S55" s="775">
        <f t="shared" si="11"/>
        <v>0</v>
      </c>
      <c r="T55" s="767"/>
      <c r="U55" s="776"/>
      <c r="V55" s="345"/>
    </row>
    <row r="56" spans="2:22">
      <c r="B56" s="391"/>
      <c r="C56" s="41"/>
      <c r="D56" s="40" t="s">
        <v>911</v>
      </c>
      <c r="E56" s="40"/>
      <c r="F56" s="40"/>
      <c r="G56" s="40"/>
      <c r="H56" s="40"/>
      <c r="I56" s="765">
        <f t="shared" ca="1" si="8"/>
        <v>4.8752633120120574E-4</v>
      </c>
      <c r="J56" s="1327">
        <v>15000</v>
      </c>
      <c r="K56" s="781">
        <f t="shared" si="9"/>
        <v>15000</v>
      </c>
      <c r="L56" s="767">
        <f t="shared" si="10"/>
        <v>15000</v>
      </c>
      <c r="M56" s="782"/>
      <c r="N56" s="782"/>
      <c r="O56" s="782"/>
      <c r="P56" s="782"/>
      <c r="Q56" s="782"/>
      <c r="R56" s="399"/>
      <c r="S56" s="775">
        <f t="shared" si="11"/>
        <v>0</v>
      </c>
      <c r="T56" s="767"/>
      <c r="U56" s="776"/>
      <c r="V56" s="345"/>
    </row>
    <row r="57" spans="2:22">
      <c r="B57" s="391"/>
      <c r="C57" s="41"/>
      <c r="D57" s="40" t="s">
        <v>912</v>
      </c>
      <c r="E57" s="40"/>
      <c r="F57" s="40"/>
      <c r="G57" s="40"/>
      <c r="H57" s="40"/>
      <c r="I57" s="765">
        <f t="shared" ca="1" si="8"/>
        <v>0</v>
      </c>
      <c r="J57" s="1327"/>
      <c r="K57" s="781">
        <f t="shared" si="9"/>
        <v>0</v>
      </c>
      <c r="L57" s="767"/>
      <c r="M57" s="782"/>
      <c r="N57" s="782"/>
      <c r="O57" s="782"/>
      <c r="P57" s="782"/>
      <c r="Q57" s="782"/>
      <c r="R57" s="399"/>
      <c r="S57" s="775">
        <f t="shared" si="11"/>
        <v>0</v>
      </c>
      <c r="T57" s="767"/>
      <c r="U57" s="776"/>
      <c r="V57" s="345"/>
    </row>
    <row r="58" spans="2:22">
      <c r="B58" s="391"/>
      <c r="C58" s="41"/>
      <c r="D58" s="46" t="s">
        <v>913</v>
      </c>
      <c r="E58" s="46"/>
      <c r="F58" s="46"/>
      <c r="G58" s="46"/>
      <c r="H58" s="46"/>
      <c r="I58" s="765">
        <f t="shared" ca="1" si="8"/>
        <v>6.800778032363132E-2</v>
      </c>
      <c r="J58" s="1864">
        <f ca="1">0.08*(K120-J106-J93-J58-J59-J61)</f>
        <v>2092434.0688246025</v>
      </c>
      <c r="K58" s="781">
        <f t="shared" ca="1" si="9"/>
        <v>2092434.0688246025</v>
      </c>
      <c r="L58" s="767"/>
      <c r="M58" s="782">
        <f ca="1">J58*0.5</f>
        <v>1046217.0344123013</v>
      </c>
      <c r="N58" s="782"/>
      <c r="O58" s="782">
        <f ca="1">J58-SUM(L58:N58)</f>
        <v>1046217.0344123013</v>
      </c>
      <c r="P58" s="782"/>
      <c r="Q58" s="782"/>
      <c r="R58" s="399"/>
      <c r="S58" s="775">
        <f t="shared" si="11"/>
        <v>0</v>
      </c>
      <c r="T58" s="767"/>
      <c r="U58" s="776"/>
      <c r="V58" s="345"/>
    </row>
    <row r="59" spans="2:22">
      <c r="B59" s="391"/>
      <c r="C59" s="41"/>
      <c r="D59" s="46" t="s">
        <v>914</v>
      </c>
      <c r="E59" s="46"/>
      <c r="F59" s="46"/>
      <c r="G59" s="46"/>
      <c r="H59" s="46"/>
      <c r="I59" s="765">
        <f t="shared" ca="1" si="8"/>
        <v>0</v>
      </c>
      <c r="J59" s="1864"/>
      <c r="K59" s="781">
        <f t="shared" si="9"/>
        <v>0</v>
      </c>
      <c r="L59" s="767"/>
      <c r="M59" s="782">
        <f>J59*0.5</f>
        <v>0</v>
      </c>
      <c r="N59" s="782"/>
      <c r="O59" s="782">
        <f>J59-SUM(L59:N59)</f>
        <v>0</v>
      </c>
      <c r="P59" s="782"/>
      <c r="Q59" s="782"/>
      <c r="R59" s="399"/>
      <c r="S59" s="775">
        <f t="shared" si="11"/>
        <v>0</v>
      </c>
      <c r="T59" s="767"/>
      <c r="U59" s="776"/>
      <c r="V59" s="345"/>
    </row>
    <row r="60" spans="2:22">
      <c r="B60" s="391"/>
      <c r="C60" s="41"/>
      <c r="D60" s="46" t="s">
        <v>915</v>
      </c>
      <c r="E60" s="46"/>
      <c r="F60" s="46"/>
      <c r="G60" s="46"/>
      <c r="H60" s="46"/>
      <c r="I60" s="765">
        <f t="shared" ca="1" si="8"/>
        <v>1.6250877706706858E-3</v>
      </c>
      <c r="J60" s="1327">
        <v>50000</v>
      </c>
      <c r="K60" s="781">
        <f t="shared" si="9"/>
        <v>50000</v>
      </c>
      <c r="L60" s="789"/>
      <c r="M60" s="790">
        <f>J60</f>
        <v>50000</v>
      </c>
      <c r="N60" s="790"/>
      <c r="O60" s="790"/>
      <c r="P60" s="790"/>
      <c r="Q60" s="790"/>
      <c r="R60" s="399"/>
      <c r="S60" s="775">
        <f t="shared" si="11"/>
        <v>0</v>
      </c>
      <c r="T60" s="789"/>
      <c r="U60" s="792"/>
      <c r="V60" s="345"/>
    </row>
    <row r="61" spans="2:22">
      <c r="B61" s="391"/>
      <c r="C61" s="41"/>
      <c r="D61" s="72" t="s">
        <v>916</v>
      </c>
      <c r="E61" s="72"/>
      <c r="F61" s="72"/>
      <c r="G61" s="72"/>
      <c r="H61" s="72"/>
      <c r="I61" s="765">
        <f t="shared" ca="1" si="8"/>
        <v>1.6250877706706858E-3</v>
      </c>
      <c r="J61" s="1327">
        <v>50000</v>
      </c>
      <c r="K61" s="781">
        <f t="shared" si="9"/>
        <v>50000</v>
      </c>
      <c r="L61" s="789"/>
      <c r="M61" s="790"/>
      <c r="N61" s="790"/>
      <c r="O61" s="790">
        <f>J61</f>
        <v>50000</v>
      </c>
      <c r="P61" s="790"/>
      <c r="Q61" s="790"/>
      <c r="R61" s="399"/>
      <c r="S61" s="775">
        <f t="shared" si="11"/>
        <v>0</v>
      </c>
      <c r="T61" s="789"/>
      <c r="U61" s="792"/>
      <c r="V61" s="345"/>
    </row>
    <row r="62" spans="2:22">
      <c r="B62" s="391"/>
      <c r="C62" s="41"/>
      <c r="D62" s="45" t="s">
        <v>886</v>
      </c>
      <c r="E62" s="2069"/>
      <c r="F62" s="2419"/>
      <c r="G62" s="2070"/>
      <c r="H62" s="45"/>
      <c r="I62" s="769">
        <f t="shared" ca="1" si="8"/>
        <v>0</v>
      </c>
      <c r="J62" s="1328"/>
      <c r="K62" s="783">
        <f t="shared" si="9"/>
        <v>0</v>
      </c>
      <c r="L62" s="771"/>
      <c r="M62" s="791"/>
      <c r="N62" s="791"/>
      <c r="O62" s="791"/>
      <c r="P62" s="791"/>
      <c r="Q62" s="791"/>
      <c r="R62" s="399"/>
      <c r="S62" s="787">
        <f t="shared" si="11"/>
        <v>0</v>
      </c>
      <c r="T62" s="771"/>
      <c r="U62" s="778"/>
      <c r="V62" s="345"/>
    </row>
    <row r="63" spans="2:22" ht="15" thickBot="1">
      <c r="B63" s="391"/>
      <c r="C63" s="41"/>
      <c r="D63" s="40"/>
      <c r="E63" s="40"/>
      <c r="F63" s="40"/>
      <c r="G63" s="44" t="s">
        <v>887</v>
      </c>
      <c r="H63" s="44"/>
      <c r="I63" s="290">
        <f t="shared" ca="1" si="8"/>
        <v>0.11842076561904612</v>
      </c>
      <c r="J63" s="32">
        <f t="shared" ref="J63:Q63" ca="1" si="12">SUM(J50:J62)</f>
        <v>3643519.0688246023</v>
      </c>
      <c r="K63" s="22">
        <f t="shared" ca="1" si="12"/>
        <v>3643519.0688246023</v>
      </c>
      <c r="L63" s="1385">
        <f t="shared" si="12"/>
        <v>523175.5</v>
      </c>
      <c r="M63" s="1386">
        <f t="shared" ca="1" si="12"/>
        <v>1759009.5344123011</v>
      </c>
      <c r="N63" s="1386">
        <f t="shared" si="12"/>
        <v>90000</v>
      </c>
      <c r="O63" s="1386">
        <f t="shared" ca="1" si="12"/>
        <v>1271334.0344123011</v>
      </c>
      <c r="P63" s="1386">
        <f t="shared" si="12"/>
        <v>0</v>
      </c>
      <c r="Q63" s="1386">
        <f t="shared" si="12"/>
        <v>0</v>
      </c>
      <c r="R63" s="400"/>
      <c r="S63" s="401">
        <f>SUM(S50:S62)</f>
        <v>0</v>
      </c>
      <c r="T63" s="1385">
        <f>SUM(T50:T62)</f>
        <v>0</v>
      </c>
      <c r="U63" s="1387">
        <f>SUM(U50:U62)</f>
        <v>0</v>
      </c>
      <c r="V63" s="345"/>
    </row>
    <row r="64" spans="2:22" ht="3.75" customHeight="1">
      <c r="B64" s="391"/>
      <c r="C64" s="40"/>
      <c r="D64" s="40"/>
      <c r="E64" s="40"/>
      <c r="F64" s="40"/>
      <c r="G64" s="40"/>
      <c r="H64" s="40"/>
      <c r="I64" s="346"/>
      <c r="J64" s="407"/>
      <c r="K64" s="408"/>
      <c r="L64" s="409"/>
      <c r="M64" s="299"/>
      <c r="N64" s="299"/>
      <c r="O64" s="299"/>
      <c r="P64" s="408"/>
      <c r="Q64" s="299"/>
      <c r="R64" s="410"/>
      <c r="S64" s="299"/>
      <c r="T64" s="409"/>
      <c r="U64" s="299"/>
      <c r="V64" s="345"/>
    </row>
    <row r="65" spans="2:22" ht="15" thickBot="1">
      <c r="B65" s="391"/>
      <c r="C65" s="2417" t="s">
        <v>917</v>
      </c>
      <c r="D65" s="2417"/>
      <c r="E65" s="2417"/>
      <c r="F65" s="2417"/>
      <c r="G65" s="2417"/>
      <c r="H65" s="43"/>
      <c r="I65" s="43"/>
      <c r="J65" s="43"/>
      <c r="K65" s="43"/>
      <c r="L65" s="393"/>
      <c r="M65" s="41"/>
      <c r="N65" s="41"/>
      <c r="O65" s="15"/>
      <c r="P65" s="398"/>
      <c r="Q65" s="398"/>
      <c r="R65" s="396"/>
      <c r="S65" s="61"/>
      <c r="T65" s="398"/>
      <c r="U65" s="398"/>
      <c r="V65" s="345"/>
    </row>
    <row r="66" spans="2:22">
      <c r="B66" s="391"/>
      <c r="C66" s="41"/>
      <c r="D66" s="2420" t="s">
        <v>918</v>
      </c>
      <c r="E66" s="2420"/>
      <c r="F66" s="2420"/>
      <c r="G66" s="2420"/>
      <c r="H66" s="2420"/>
      <c r="I66" s="761">
        <f ca="1">IFERROR(J66/J$120," ")</f>
        <v>1.739055176027821E-3</v>
      </c>
      <c r="J66" s="1329">
        <f>0.015*'7A'!F16</f>
        <v>53506.5</v>
      </c>
      <c r="K66" s="779">
        <f>SUM(L66:Q66)</f>
        <v>53506.5</v>
      </c>
      <c r="L66" s="763"/>
      <c r="M66" s="780"/>
      <c r="N66" s="780"/>
      <c r="O66" s="780">
        <f>J66</f>
        <v>53506.5</v>
      </c>
      <c r="P66" s="780"/>
      <c r="Q66" s="780"/>
      <c r="R66" s="410"/>
      <c r="S66" s="786">
        <f>SUM(T66:U66)</f>
        <v>0</v>
      </c>
      <c r="T66" s="763"/>
      <c r="U66" s="774"/>
      <c r="V66" s="345"/>
    </row>
    <row r="67" spans="2:22">
      <c r="B67" s="391"/>
      <c r="C67" s="41"/>
      <c r="D67" s="40" t="s">
        <v>919</v>
      </c>
      <c r="E67" s="40"/>
      <c r="F67" s="40"/>
      <c r="G67" s="40"/>
      <c r="H67" s="40"/>
      <c r="I67" s="769">
        <f ca="1">IFERROR(J67/J$120," ")</f>
        <v>9.9780389119180114E-3</v>
      </c>
      <c r="J67" s="1328">
        <v>307000</v>
      </c>
      <c r="K67" s="783">
        <f>SUM(L67:Q67)</f>
        <v>307000</v>
      </c>
      <c r="L67" s="784"/>
      <c r="M67" s="785"/>
      <c r="N67" s="785"/>
      <c r="O67" s="785">
        <f>J67</f>
        <v>307000</v>
      </c>
      <c r="P67" s="785"/>
      <c r="Q67" s="785"/>
      <c r="R67" s="399"/>
      <c r="S67" s="787">
        <f>SUM(T67:U67)</f>
        <v>0</v>
      </c>
      <c r="T67" s="784"/>
      <c r="U67" s="788"/>
      <c r="V67" s="345"/>
    </row>
    <row r="68" spans="2:22" ht="15" thickBot="1">
      <c r="B68" s="391"/>
      <c r="C68" s="41"/>
      <c r="D68" s="40"/>
      <c r="E68" s="40"/>
      <c r="F68" s="40"/>
      <c r="G68" s="44" t="s">
        <v>887</v>
      </c>
      <c r="H68" s="44"/>
      <c r="I68" s="290">
        <f ca="1">IFERROR(J68/J$120," ")</f>
        <v>1.1717094087945832E-2</v>
      </c>
      <c r="J68" s="32">
        <f t="shared" ref="J68:Q68" si="13">SUM(J66:J67)</f>
        <v>360506.5</v>
      </c>
      <c r="K68" s="22">
        <f t="shared" si="13"/>
        <v>360506.5</v>
      </c>
      <c r="L68" s="1385">
        <f t="shared" si="13"/>
        <v>0</v>
      </c>
      <c r="M68" s="1386">
        <f t="shared" si="13"/>
        <v>0</v>
      </c>
      <c r="N68" s="1386">
        <f t="shared" si="13"/>
        <v>0</v>
      </c>
      <c r="O68" s="1386">
        <f t="shared" si="13"/>
        <v>360506.5</v>
      </c>
      <c r="P68" s="1386">
        <f t="shared" si="13"/>
        <v>0</v>
      </c>
      <c r="Q68" s="1386">
        <f t="shared" si="13"/>
        <v>0</v>
      </c>
      <c r="R68" s="400"/>
      <c r="S68" s="401">
        <f>SUM(S66:S67)</f>
        <v>0</v>
      </c>
      <c r="T68" s="1385">
        <f>SUM(T66:T67)</f>
        <v>0</v>
      </c>
      <c r="U68" s="1387">
        <f>SUM(U66:U67)</f>
        <v>0</v>
      </c>
      <c r="V68" s="345"/>
    </row>
    <row r="69" spans="2:22" ht="3.75" customHeight="1">
      <c r="B69" s="391"/>
      <c r="C69" s="40"/>
      <c r="D69" s="44"/>
      <c r="E69" s="44"/>
      <c r="F69" s="44"/>
      <c r="G69" s="44"/>
      <c r="H69" s="44"/>
      <c r="I69" s="393"/>
      <c r="J69" s="393"/>
      <c r="K69" s="41"/>
      <c r="L69" s="16"/>
      <c r="M69" s="16"/>
      <c r="N69" s="16"/>
      <c r="O69" s="16"/>
      <c r="P69" s="41"/>
      <c r="Q69" s="16"/>
      <c r="R69" s="399"/>
      <c r="S69" s="16"/>
      <c r="T69" s="16"/>
      <c r="U69" s="16"/>
      <c r="V69" s="345"/>
    </row>
    <row r="70" spans="2:22" ht="15" thickBot="1">
      <c r="B70" s="391"/>
      <c r="C70" s="2417" t="s">
        <v>920</v>
      </c>
      <c r="D70" s="2417"/>
      <c r="E70" s="2417"/>
      <c r="F70" s="2417"/>
      <c r="G70" s="2417"/>
      <c r="H70" s="43"/>
      <c r="I70" s="43"/>
      <c r="J70" s="43"/>
      <c r="K70" s="43"/>
      <c r="L70" s="393"/>
      <c r="M70" s="41"/>
      <c r="N70" s="41"/>
      <c r="O70" s="15"/>
      <c r="P70" s="398"/>
      <c r="Q70" s="398"/>
      <c r="R70" s="396"/>
      <c r="S70" s="61"/>
      <c r="T70" s="398"/>
      <c r="U70" s="398"/>
      <c r="V70" s="345"/>
    </row>
    <row r="71" spans="2:22">
      <c r="B71" s="391"/>
      <c r="C71" s="41"/>
      <c r="D71" s="2420" t="s">
        <v>921</v>
      </c>
      <c r="E71" s="2420"/>
      <c r="F71" s="2420"/>
      <c r="G71" s="2420"/>
      <c r="H71" s="2420"/>
      <c r="I71" s="761">
        <f t="shared" ref="I71:I76" ca="1" si="14">IFERROR(J71/J$120," ")</f>
        <v>3.2566758924240545E-3</v>
      </c>
      <c r="J71" s="1329">
        <v>100200</v>
      </c>
      <c r="K71" s="779">
        <f>SUM(L71:Q71)</f>
        <v>100200</v>
      </c>
      <c r="L71" s="763"/>
      <c r="M71" s="780"/>
      <c r="N71" s="780"/>
      <c r="O71" s="780">
        <f>J71</f>
        <v>100200</v>
      </c>
      <c r="P71" s="780"/>
      <c r="Q71" s="780"/>
      <c r="R71" s="410"/>
      <c r="S71" s="786">
        <f>SUM(T71:U71)</f>
        <v>0</v>
      </c>
      <c r="T71" s="763"/>
      <c r="U71" s="774"/>
      <c r="V71" s="345"/>
    </row>
    <row r="72" spans="2:22">
      <c r="B72" s="391"/>
      <c r="C72" s="41"/>
      <c r="D72" s="40" t="s">
        <v>922</v>
      </c>
      <c r="E72" s="40"/>
      <c r="F72" s="40"/>
      <c r="G72" s="40"/>
      <c r="H72" s="40"/>
      <c r="I72" s="765">
        <f t="shared" ca="1" si="14"/>
        <v>0</v>
      </c>
      <c r="J72" s="1327"/>
      <c r="K72" s="781">
        <f>SUM(L72:Q72)</f>
        <v>0</v>
      </c>
      <c r="L72" s="767"/>
      <c r="M72" s="782"/>
      <c r="N72" s="782"/>
      <c r="O72" s="782"/>
      <c r="P72" s="782"/>
      <c r="Q72" s="782"/>
      <c r="R72" s="399"/>
      <c r="S72" s="775">
        <f>SUM(T72:U72)</f>
        <v>0</v>
      </c>
      <c r="T72" s="767"/>
      <c r="U72" s="776"/>
      <c r="V72" s="345"/>
    </row>
    <row r="73" spans="2:22">
      <c r="B73" s="391"/>
      <c r="C73" s="41"/>
      <c r="D73" s="40" t="s">
        <v>923</v>
      </c>
      <c r="E73" s="40"/>
      <c r="F73" s="40"/>
      <c r="G73" s="40"/>
      <c r="H73" s="40"/>
      <c r="I73" s="765">
        <f t="shared" ca="1" si="14"/>
        <v>1.6250877706706858E-3</v>
      </c>
      <c r="J73" s="1327">
        <v>50000</v>
      </c>
      <c r="K73" s="781">
        <f>SUM(L73:Q73)</f>
        <v>50000</v>
      </c>
      <c r="L73" s="767"/>
      <c r="M73" s="782"/>
      <c r="N73" s="782"/>
      <c r="O73" s="782">
        <f>J73</f>
        <v>50000</v>
      </c>
      <c r="P73" s="782"/>
      <c r="Q73" s="782"/>
      <c r="R73" s="399"/>
      <c r="S73" s="775">
        <f>SUM(T73:U73)</f>
        <v>0</v>
      </c>
      <c r="T73" s="767"/>
      <c r="U73" s="776"/>
      <c r="V73" s="345"/>
    </row>
    <row r="74" spans="2:22">
      <c r="B74" s="391"/>
      <c r="C74" s="41"/>
      <c r="D74" s="40" t="s">
        <v>924</v>
      </c>
      <c r="E74" s="40"/>
      <c r="F74" s="40"/>
      <c r="G74" s="40"/>
      <c r="H74" s="40"/>
      <c r="I74" s="765">
        <f t="shared" ca="1" si="14"/>
        <v>2.5450499576473609E-3</v>
      </c>
      <c r="J74" s="1327">
        <v>78305</v>
      </c>
      <c r="K74" s="781">
        <f>SUM(L74:Q74)</f>
        <v>78305</v>
      </c>
      <c r="L74" s="767"/>
      <c r="M74" s="782"/>
      <c r="N74" s="782"/>
      <c r="O74" s="782">
        <f>J74</f>
        <v>78305</v>
      </c>
      <c r="P74" s="782"/>
      <c r="Q74" s="782"/>
      <c r="R74" s="399"/>
      <c r="S74" s="775">
        <f>SUM(T74:U74)</f>
        <v>0</v>
      </c>
      <c r="T74" s="767"/>
      <c r="U74" s="776"/>
      <c r="V74" s="345"/>
    </row>
    <row r="75" spans="2:22">
      <c r="B75" s="391"/>
      <c r="C75" s="41"/>
      <c r="D75" s="40" t="s">
        <v>925</v>
      </c>
      <c r="E75" s="40"/>
      <c r="F75" s="40"/>
      <c r="G75" s="40"/>
      <c r="H75" s="40"/>
      <c r="I75" s="769">
        <f t="shared" ca="1" si="14"/>
        <v>7.5013401459050593E-3</v>
      </c>
      <c r="J75" s="1328">
        <v>230798</v>
      </c>
      <c r="K75" s="793">
        <f>SUM(L75:Q75)</f>
        <v>230798</v>
      </c>
      <c r="L75" s="784"/>
      <c r="M75" s="785"/>
      <c r="N75" s="785"/>
      <c r="O75" s="785">
        <f>J75</f>
        <v>230798</v>
      </c>
      <c r="P75" s="785"/>
      <c r="Q75" s="785"/>
      <c r="R75" s="399"/>
      <c r="S75" s="787">
        <f>SUM(T75:U75)</f>
        <v>0</v>
      </c>
      <c r="T75" s="784"/>
      <c r="U75" s="788"/>
      <c r="V75" s="345"/>
    </row>
    <row r="76" spans="2:22" ht="15" thickBot="1">
      <c r="B76" s="391"/>
      <c r="C76" s="41"/>
      <c r="D76" s="40"/>
      <c r="E76" s="40"/>
      <c r="F76" s="40"/>
      <c r="G76" s="44" t="s">
        <v>887</v>
      </c>
      <c r="H76" s="44"/>
      <c r="I76" s="290">
        <f t="shared" ca="1" si="14"/>
        <v>1.492815376664716E-2</v>
      </c>
      <c r="J76" s="32">
        <f t="shared" ref="J76:Q76" si="15">SUM(J71:J75)</f>
        <v>459303</v>
      </c>
      <c r="K76" s="22">
        <f t="shared" si="15"/>
        <v>459303</v>
      </c>
      <c r="L76" s="1385">
        <f t="shared" si="15"/>
        <v>0</v>
      </c>
      <c r="M76" s="1386">
        <f t="shared" si="15"/>
        <v>0</v>
      </c>
      <c r="N76" s="1386">
        <f t="shared" si="15"/>
        <v>0</v>
      </c>
      <c r="O76" s="1386">
        <f t="shared" si="15"/>
        <v>459303</v>
      </c>
      <c r="P76" s="1386">
        <f t="shared" si="15"/>
        <v>0</v>
      </c>
      <c r="Q76" s="1386">
        <f t="shared" si="15"/>
        <v>0</v>
      </c>
      <c r="R76" s="400"/>
      <c r="S76" s="401">
        <f>SUM(S71:S75)</f>
        <v>0</v>
      </c>
      <c r="T76" s="1385">
        <f>SUM(T71:T75)</f>
        <v>0</v>
      </c>
      <c r="U76" s="1387">
        <f>SUM(U71:U75)</f>
        <v>0</v>
      </c>
      <c r="V76" s="345"/>
    </row>
    <row r="77" spans="2:22" ht="9" customHeight="1" thickBot="1">
      <c r="B77" s="402"/>
      <c r="C77" s="26"/>
      <c r="D77" s="29"/>
      <c r="E77" s="29"/>
      <c r="F77" s="29"/>
      <c r="G77" s="29"/>
      <c r="H77" s="29"/>
      <c r="I77" s="352"/>
      <c r="J77" s="403"/>
      <c r="K77" s="404"/>
      <c r="L77" s="27"/>
      <c r="M77" s="27"/>
      <c r="N77" s="27"/>
      <c r="O77" s="27"/>
      <c r="P77" s="404"/>
      <c r="Q77" s="27"/>
      <c r="R77" s="406"/>
      <c r="S77" s="27"/>
      <c r="T77" s="27"/>
      <c r="U77" s="27"/>
      <c r="V77" s="353"/>
    </row>
    <row r="78" spans="2:22" ht="15" thickBot="1">
      <c r="B78" s="391"/>
      <c r="C78" s="2417" t="s">
        <v>926</v>
      </c>
      <c r="D78" s="2417"/>
      <c r="E78" s="2417"/>
      <c r="F78" s="2417"/>
      <c r="G78" s="2417"/>
      <c r="H78" s="43"/>
      <c r="I78" s="43"/>
      <c r="J78" s="43"/>
      <c r="K78" s="43"/>
      <c r="L78" s="16"/>
      <c r="M78" s="16"/>
      <c r="N78" s="16"/>
      <c r="O78" s="16"/>
      <c r="P78" s="41"/>
      <c r="Q78" s="16"/>
      <c r="R78" s="399"/>
      <c r="S78" s="16"/>
      <c r="T78" s="16"/>
      <c r="U78" s="16"/>
      <c r="V78" s="345"/>
    </row>
    <row r="79" spans="2:22">
      <c r="B79" s="391"/>
      <c r="C79" s="41"/>
      <c r="D79" s="2420" t="s">
        <v>927</v>
      </c>
      <c r="E79" s="2420"/>
      <c r="F79" s="2420"/>
      <c r="G79" s="2420"/>
      <c r="H79" s="2420"/>
      <c r="I79" s="761">
        <f t="shared" ref="I79:I87" ca="1" si="16">IFERROR(J79/J$120," ")</f>
        <v>4.3944784949187026E-3</v>
      </c>
      <c r="J79" s="1329">
        <f>0.01*'7A'!F35</f>
        <v>135207.42000000001</v>
      </c>
      <c r="K79" s="779">
        <f t="shared" ref="K79:K86" si="17">SUM(L79:Q79)</f>
        <v>135207.41999999998</v>
      </c>
      <c r="L79" s="763">
        <f>0.01*'7A'!E28</f>
        <v>30000</v>
      </c>
      <c r="M79" s="780">
        <f>0.01*'7A'!E26</f>
        <v>95207.42</v>
      </c>
      <c r="N79" s="780">
        <f>0.01*'7A'!E27</f>
        <v>10000</v>
      </c>
      <c r="O79" s="780"/>
      <c r="P79" s="780"/>
      <c r="Q79" s="780"/>
      <c r="R79" s="410"/>
      <c r="S79" s="786">
        <f t="shared" ref="S79:S86" si="18">SUM(T79:U79)</f>
        <v>0</v>
      </c>
      <c r="T79" s="763"/>
      <c r="U79" s="774"/>
      <c r="V79" s="345"/>
    </row>
    <row r="80" spans="2:22">
      <c r="B80" s="391"/>
      <c r="C80" s="41"/>
      <c r="D80" s="40" t="s">
        <v>928</v>
      </c>
      <c r="E80" s="40"/>
      <c r="F80" s="40"/>
      <c r="G80" s="40"/>
      <c r="H80" s="40"/>
      <c r="I80" s="765">
        <f t="shared" ca="1" si="16"/>
        <v>0</v>
      </c>
      <c r="J80" s="1327"/>
      <c r="K80" s="781">
        <f t="shared" si="17"/>
        <v>0</v>
      </c>
      <c r="L80" s="767"/>
      <c r="M80" s="782"/>
      <c r="N80" s="782"/>
      <c r="O80" s="782"/>
      <c r="P80" s="782"/>
      <c r="Q80" s="782"/>
      <c r="R80" s="399"/>
      <c r="S80" s="775">
        <f t="shared" si="18"/>
        <v>0</v>
      </c>
      <c r="T80" s="767"/>
      <c r="U80" s="776"/>
      <c r="V80" s="345"/>
    </row>
    <row r="81" spans="2:22">
      <c r="B81" s="391"/>
      <c r="C81" s="41"/>
      <c r="D81" s="40" t="s">
        <v>929</v>
      </c>
      <c r="E81" s="40"/>
      <c r="F81" s="40"/>
      <c r="G81" s="40"/>
      <c r="H81" s="40"/>
      <c r="I81" s="765">
        <f t="shared" ca="1" si="16"/>
        <v>5.8503159744144686E-4</v>
      </c>
      <c r="J81" s="1327">
        <v>18000</v>
      </c>
      <c r="K81" s="781">
        <f t="shared" si="17"/>
        <v>18000</v>
      </c>
      <c r="L81" s="767"/>
      <c r="M81" s="782">
        <f>J81</f>
        <v>18000</v>
      </c>
      <c r="N81" s="782"/>
      <c r="O81" s="782"/>
      <c r="P81" s="782"/>
      <c r="Q81" s="782"/>
      <c r="R81" s="399"/>
      <c r="S81" s="775">
        <f t="shared" si="18"/>
        <v>0</v>
      </c>
      <c r="T81" s="767"/>
      <c r="U81" s="776"/>
      <c r="V81" s="345"/>
    </row>
    <row r="82" spans="2:22">
      <c r="B82" s="391"/>
      <c r="C82" s="41"/>
      <c r="D82" s="45" t="s">
        <v>930</v>
      </c>
      <c r="E82" s="45"/>
      <c r="F82" s="45"/>
      <c r="G82" s="45"/>
      <c r="H82" s="45"/>
      <c r="I82" s="765">
        <f t="shared" ca="1" si="16"/>
        <v>3.7377018725425776E-3</v>
      </c>
      <c r="J82" s="1865">
        <f>115000*[1]Summary!D3/[1]Summary!A2</f>
        <v>115000</v>
      </c>
      <c r="K82" s="781">
        <f t="shared" si="17"/>
        <v>115000</v>
      </c>
      <c r="L82" s="767"/>
      <c r="M82" s="782"/>
      <c r="N82" s="782"/>
      <c r="O82" s="782">
        <f>J82</f>
        <v>115000</v>
      </c>
      <c r="P82" s="782"/>
      <c r="Q82" s="782"/>
      <c r="R82" s="399"/>
      <c r="S82" s="775">
        <f t="shared" si="18"/>
        <v>0</v>
      </c>
      <c r="T82" s="767"/>
      <c r="U82" s="776"/>
      <c r="V82" s="345"/>
    </row>
    <row r="83" spans="2:22">
      <c r="B83" s="391"/>
      <c r="C83" s="41"/>
      <c r="D83" s="45" t="s">
        <v>931</v>
      </c>
      <c r="E83" s="45"/>
      <c r="F83" s="45"/>
      <c r="G83" s="45"/>
      <c r="H83" s="45"/>
      <c r="I83" s="765">
        <f t="shared" ca="1" si="16"/>
        <v>1.6250877706706858E-3</v>
      </c>
      <c r="J83" s="1327">
        <f>50000</f>
        <v>50000</v>
      </c>
      <c r="K83" s="781">
        <f t="shared" si="17"/>
        <v>50000</v>
      </c>
      <c r="L83" s="767"/>
      <c r="M83" s="782"/>
      <c r="N83" s="782"/>
      <c r="O83" s="782">
        <f>J83</f>
        <v>50000</v>
      </c>
      <c r="P83" s="782"/>
      <c r="Q83" s="782"/>
      <c r="R83" s="399"/>
      <c r="S83" s="775">
        <f t="shared" si="18"/>
        <v>0</v>
      </c>
      <c r="T83" s="767"/>
      <c r="U83" s="776"/>
      <c r="V83" s="345"/>
    </row>
    <row r="84" spans="2:22">
      <c r="B84" s="391"/>
      <c r="C84" s="41"/>
      <c r="D84" s="45" t="s">
        <v>932</v>
      </c>
      <c r="E84" s="45"/>
      <c r="F84" s="45"/>
      <c r="G84" s="45"/>
      <c r="H84" s="45"/>
      <c r="I84" s="765">
        <f t="shared" ca="1" si="16"/>
        <v>5.8503159744144686E-4</v>
      </c>
      <c r="J84" s="1327">
        <f>18000</f>
        <v>18000</v>
      </c>
      <c r="K84" s="781">
        <f t="shared" si="17"/>
        <v>18000</v>
      </c>
      <c r="L84" s="767"/>
      <c r="M84" s="782"/>
      <c r="N84" s="782"/>
      <c r="O84" s="782">
        <f>J84</f>
        <v>18000</v>
      </c>
      <c r="P84" s="782"/>
      <c r="Q84" s="782"/>
      <c r="R84" s="399"/>
      <c r="S84" s="775">
        <f t="shared" si="18"/>
        <v>0</v>
      </c>
      <c r="T84" s="767"/>
      <c r="U84" s="776"/>
      <c r="V84" s="345"/>
    </row>
    <row r="85" spans="2:22">
      <c r="B85" s="391"/>
      <c r="C85" s="41"/>
      <c r="D85" s="46" t="s">
        <v>933</v>
      </c>
      <c r="E85" s="46"/>
      <c r="F85" s="46"/>
      <c r="G85" s="46"/>
      <c r="H85" s="46"/>
      <c r="I85" s="765">
        <f t="shared" ca="1" si="16"/>
        <v>1.9501053248048229E-3</v>
      </c>
      <c r="J85" s="1327">
        <f>0.02*'7A'!E28</f>
        <v>60000</v>
      </c>
      <c r="K85" s="781">
        <f t="shared" si="17"/>
        <v>60000</v>
      </c>
      <c r="L85" s="767">
        <f>J85</f>
        <v>60000</v>
      </c>
      <c r="M85" s="782"/>
      <c r="N85" s="782"/>
      <c r="O85" s="782"/>
      <c r="P85" s="782"/>
      <c r="Q85" s="782"/>
      <c r="R85" s="399"/>
      <c r="S85" s="775">
        <f t="shared" si="18"/>
        <v>0</v>
      </c>
      <c r="T85" s="767"/>
      <c r="U85" s="776"/>
      <c r="V85" s="345"/>
    </row>
    <row r="86" spans="2:22">
      <c r="B86" s="391"/>
      <c r="C86" s="41"/>
      <c r="D86" s="45" t="s">
        <v>886</v>
      </c>
      <c r="E86" s="2069"/>
      <c r="F86" s="2419"/>
      <c r="G86" s="2070"/>
      <c r="H86" s="45"/>
      <c r="I86" s="769">
        <f t="shared" ca="1" si="16"/>
        <v>0</v>
      </c>
      <c r="J86" s="1328"/>
      <c r="K86" s="793">
        <f t="shared" si="17"/>
        <v>0</v>
      </c>
      <c r="L86" s="784"/>
      <c r="M86" s="785"/>
      <c r="N86" s="785"/>
      <c r="O86" s="785"/>
      <c r="P86" s="785"/>
      <c r="Q86" s="785"/>
      <c r="R86" s="399"/>
      <c r="S86" s="787">
        <f t="shared" si="18"/>
        <v>0</v>
      </c>
      <c r="T86" s="784"/>
      <c r="U86" s="788"/>
      <c r="V86" s="345"/>
    </row>
    <row r="87" spans="2:22" ht="15" thickBot="1">
      <c r="B87" s="391"/>
      <c r="C87" s="41"/>
      <c r="D87" s="40"/>
      <c r="E87" s="40"/>
      <c r="F87" s="40"/>
      <c r="G87" s="44" t="s">
        <v>887</v>
      </c>
      <c r="H87" s="44"/>
      <c r="I87" s="290">
        <f t="shared" ca="1" si="16"/>
        <v>1.2877436657819683E-2</v>
      </c>
      <c r="J87" s="32">
        <f t="shared" ref="J87:Q87" si="19">SUM(J79:J86)</f>
        <v>396207.42000000004</v>
      </c>
      <c r="K87" s="22">
        <f t="shared" si="19"/>
        <v>396207.42</v>
      </c>
      <c r="L87" s="1385">
        <f t="shared" si="19"/>
        <v>90000</v>
      </c>
      <c r="M87" s="1386">
        <f t="shared" si="19"/>
        <v>113207.42</v>
      </c>
      <c r="N87" s="1386">
        <f t="shared" si="19"/>
        <v>10000</v>
      </c>
      <c r="O87" s="1386">
        <f t="shared" si="19"/>
        <v>183000</v>
      </c>
      <c r="P87" s="1386">
        <f t="shared" si="19"/>
        <v>0</v>
      </c>
      <c r="Q87" s="1386">
        <f t="shared" si="19"/>
        <v>0</v>
      </c>
      <c r="R87" s="400"/>
      <c r="S87" s="401">
        <f>SUM(S79:S86)</f>
        <v>0</v>
      </c>
      <c r="T87" s="1385">
        <f>SUM(T79:T86)</f>
        <v>0</v>
      </c>
      <c r="U87" s="1387">
        <f>SUM(U79:U86)</f>
        <v>0</v>
      </c>
      <c r="V87" s="345"/>
    </row>
    <row r="88" spans="2:22" ht="3.75" customHeight="1">
      <c r="B88" s="391"/>
      <c r="C88" s="40"/>
      <c r="D88" s="40"/>
      <c r="E88" s="40"/>
      <c r="F88" s="40"/>
      <c r="G88" s="40"/>
      <c r="H88" s="40"/>
      <c r="I88" s="393"/>
      <c r="J88" s="407"/>
      <c r="K88" s="41"/>
      <c r="L88" s="16"/>
      <c r="M88" s="16"/>
      <c r="N88" s="16"/>
      <c r="O88" s="16"/>
      <c r="P88" s="41"/>
      <c r="Q88" s="16"/>
      <c r="R88" s="399"/>
      <c r="S88" s="16"/>
      <c r="T88" s="16"/>
      <c r="U88" s="16"/>
      <c r="V88" s="345"/>
    </row>
    <row r="89" spans="2:22" ht="15" thickBot="1">
      <c r="B89" s="391"/>
      <c r="C89" s="2417" t="s">
        <v>934</v>
      </c>
      <c r="D89" s="2417"/>
      <c r="E89" s="2417"/>
      <c r="F89" s="2417"/>
      <c r="G89" s="2417"/>
      <c r="H89" s="43"/>
      <c r="I89" s="43"/>
      <c r="J89" s="43"/>
      <c r="K89" s="43"/>
      <c r="L89" s="2422"/>
      <c r="M89" s="19"/>
      <c r="N89" s="19"/>
      <c r="O89" s="19"/>
      <c r="P89" s="41"/>
      <c r="Q89" s="19"/>
      <c r="R89" s="399"/>
      <c r="S89" s="19"/>
      <c r="T89" s="19"/>
      <c r="U89" s="19"/>
      <c r="V89" s="345"/>
    </row>
    <row r="90" spans="2:22">
      <c r="B90" s="391"/>
      <c r="C90" s="41"/>
      <c r="D90" s="2423" t="s">
        <v>935</v>
      </c>
      <c r="E90" s="2423"/>
      <c r="F90" s="2423"/>
      <c r="G90" s="2423"/>
      <c r="H90" s="2423"/>
      <c r="I90" s="761">
        <f ca="1">IFERROR(J90/J$120," ")</f>
        <v>2.4529367326302051E-2</v>
      </c>
      <c r="J90" s="1329">
        <v>754709</v>
      </c>
      <c r="K90" s="779">
        <f>SUM(L90:Q90)</f>
        <v>754709</v>
      </c>
      <c r="L90" s="763"/>
      <c r="M90" s="780"/>
      <c r="N90" s="780"/>
      <c r="O90" s="780">
        <f>J90</f>
        <v>754709</v>
      </c>
      <c r="P90" s="780"/>
      <c r="Q90" s="780"/>
      <c r="R90" s="410"/>
      <c r="S90" s="786">
        <f>SUM(T90:U90)</f>
        <v>0</v>
      </c>
      <c r="T90" s="763"/>
      <c r="U90" s="774"/>
      <c r="V90" s="345"/>
    </row>
    <row r="91" spans="2:22">
      <c r="B91" s="391"/>
      <c r="C91" s="41"/>
      <c r="D91" s="46" t="s">
        <v>936</v>
      </c>
      <c r="E91" s="46"/>
      <c r="F91" s="46"/>
      <c r="G91" s="46"/>
      <c r="H91" s="46"/>
      <c r="I91" s="765">
        <f ca="1">IFERROR(J91/J$120," ")</f>
        <v>9.7505266240241143E-3</v>
      </c>
      <c r="J91" s="1327">
        <v>300000</v>
      </c>
      <c r="K91" s="781">
        <f>SUM(L91:Q91)</f>
        <v>300000</v>
      </c>
      <c r="L91" s="767"/>
      <c r="M91" s="782"/>
      <c r="N91" s="782"/>
      <c r="O91" s="782">
        <f>J91</f>
        <v>300000</v>
      </c>
      <c r="P91" s="782"/>
      <c r="Q91" s="782"/>
      <c r="R91" s="399"/>
      <c r="S91" s="775">
        <f>SUM(T91:U91)</f>
        <v>0</v>
      </c>
      <c r="T91" s="767"/>
      <c r="U91" s="776"/>
      <c r="V91" s="345"/>
    </row>
    <row r="92" spans="2:22">
      <c r="B92" s="391"/>
      <c r="C92" s="41"/>
      <c r="D92" s="45" t="s">
        <v>886</v>
      </c>
      <c r="E92" s="2069"/>
      <c r="F92" s="2419"/>
      <c r="G92" s="2070"/>
      <c r="H92" s="45"/>
      <c r="I92" s="769">
        <f ca="1">IFERROR(J92/J$120," ")</f>
        <v>0</v>
      </c>
      <c r="J92" s="1328">
        <v>0</v>
      </c>
      <c r="K92" s="793">
        <f>SUM(L92:Q92)</f>
        <v>0</v>
      </c>
      <c r="L92" s="784"/>
      <c r="M92" s="785"/>
      <c r="N92" s="785"/>
      <c r="O92" s="785"/>
      <c r="P92" s="785"/>
      <c r="Q92" s="785"/>
      <c r="R92" s="399"/>
      <c r="S92" s="787">
        <f>SUM(T92:U92)</f>
        <v>0</v>
      </c>
      <c r="T92" s="784"/>
      <c r="U92" s="788"/>
      <c r="V92" s="345"/>
    </row>
    <row r="93" spans="2:22" ht="15" thickBot="1">
      <c r="B93" s="391"/>
      <c r="C93" s="41"/>
      <c r="D93" s="40"/>
      <c r="E93" s="40"/>
      <c r="F93" s="40"/>
      <c r="G93" s="44" t="s">
        <v>887</v>
      </c>
      <c r="H93" s="44"/>
      <c r="I93" s="290">
        <f ca="1">IFERROR(J93/J$120," ")</f>
        <v>3.4279893950326171E-2</v>
      </c>
      <c r="J93" s="32">
        <f t="shared" ref="J93:Q93" si="20">SUM(J90:J92)</f>
        <v>1054709</v>
      </c>
      <c r="K93" s="22">
        <f t="shared" si="20"/>
        <v>1054709</v>
      </c>
      <c r="L93" s="1385">
        <f t="shared" si="20"/>
        <v>0</v>
      </c>
      <c r="M93" s="1386">
        <f t="shared" si="20"/>
        <v>0</v>
      </c>
      <c r="N93" s="1386">
        <f t="shared" si="20"/>
        <v>0</v>
      </c>
      <c r="O93" s="1386">
        <f t="shared" si="20"/>
        <v>1054709</v>
      </c>
      <c r="P93" s="1386">
        <f t="shared" si="20"/>
        <v>0</v>
      </c>
      <c r="Q93" s="1386">
        <f t="shared" si="20"/>
        <v>0</v>
      </c>
      <c r="R93" s="400"/>
      <c r="S93" s="401">
        <f>SUM(S90:S92)</f>
        <v>0</v>
      </c>
      <c r="T93" s="1385">
        <f>SUM(T90:T92)</f>
        <v>0</v>
      </c>
      <c r="U93" s="1387">
        <f>SUM(U90:U92)</f>
        <v>0</v>
      </c>
      <c r="V93" s="345"/>
    </row>
    <row r="94" spans="2:22" ht="3.75" customHeight="1">
      <c r="B94" s="391"/>
      <c r="C94" s="40"/>
      <c r="D94" s="40"/>
      <c r="E94" s="40"/>
      <c r="F94" s="40"/>
      <c r="G94" s="40"/>
      <c r="H94" s="40"/>
      <c r="I94" s="393"/>
      <c r="J94" s="407"/>
      <c r="K94" s="41"/>
      <c r="L94" s="69"/>
      <c r="M94" s="69"/>
      <c r="N94" s="69"/>
      <c r="O94" s="69"/>
      <c r="P94" s="41"/>
      <c r="Q94" s="69"/>
      <c r="R94" s="399"/>
      <c r="S94" s="69"/>
      <c r="T94" s="69"/>
      <c r="U94" s="69"/>
      <c r="V94" s="345"/>
    </row>
    <row r="95" spans="2:22" ht="15" thickBot="1">
      <c r="B95" s="391"/>
      <c r="C95" s="2417" t="s">
        <v>937</v>
      </c>
      <c r="D95" s="2417"/>
      <c r="E95" s="2417"/>
      <c r="F95" s="2417"/>
      <c r="G95" s="2417"/>
      <c r="H95" s="43"/>
      <c r="I95" s="43"/>
      <c r="J95" s="43"/>
      <c r="K95" s="43"/>
      <c r="L95" s="19"/>
      <c r="M95" s="19"/>
      <c r="N95" s="19"/>
      <c r="O95" s="19"/>
      <c r="P95" s="41"/>
      <c r="Q95" s="19"/>
      <c r="R95" s="399"/>
      <c r="S95" s="19"/>
      <c r="T95" s="19"/>
      <c r="U95" s="19"/>
      <c r="V95" s="345"/>
    </row>
    <row r="96" spans="2:22">
      <c r="B96" s="391"/>
      <c r="C96" s="41"/>
      <c r="D96" s="2423" t="s">
        <v>938</v>
      </c>
      <c r="E96" s="2423"/>
      <c r="F96" s="2423"/>
      <c r="G96" s="2423"/>
      <c r="H96" s="2423"/>
      <c r="I96" s="761">
        <f t="shared" ref="I96:I107" ca="1" si="21">IFERROR(J96/J$120," ")</f>
        <v>1.5494755129925287E-3</v>
      </c>
      <c r="J96" s="1329">
        <f>2577500*9.24803/1000*2</f>
        <v>47673.594649999999</v>
      </c>
      <c r="K96" s="779">
        <f t="shared" ref="K96:K106" si="22">SUM(L96:Q96)</f>
        <v>47673.594649999999</v>
      </c>
      <c r="L96" s="763">
        <f>J96-S96</f>
        <v>47673.594649999999</v>
      </c>
      <c r="M96" s="780"/>
      <c r="N96" s="780"/>
      <c r="O96" s="780"/>
      <c r="P96" s="780"/>
      <c r="Q96" s="780"/>
      <c r="R96" s="410"/>
      <c r="S96" s="786">
        <f t="shared" ref="S96:S106" si="23">SUM(T96:U96)</f>
        <v>0</v>
      </c>
      <c r="T96" s="763"/>
      <c r="U96" s="774"/>
      <c r="V96" s="345"/>
    </row>
    <row r="97" spans="2:22">
      <c r="B97" s="391"/>
      <c r="C97" s="41"/>
      <c r="D97" s="46" t="s">
        <v>939</v>
      </c>
      <c r="E97" s="46"/>
      <c r="F97" s="46"/>
      <c r="G97" s="46"/>
      <c r="H97" s="46"/>
      <c r="I97" s="765">
        <f t="shared" ca="1" si="21"/>
        <v>1.4746903391047292E-3</v>
      </c>
      <c r="J97" s="1327">
        <f>40313*1.03^4</f>
        <v>45372.636657529998</v>
      </c>
      <c r="K97" s="781">
        <f t="shared" si="22"/>
        <v>45372.636657529998</v>
      </c>
      <c r="L97" s="767">
        <f>J97-S97</f>
        <v>45372.636657529998</v>
      </c>
      <c r="M97" s="782"/>
      <c r="N97" s="782"/>
      <c r="O97" s="782"/>
      <c r="P97" s="782"/>
      <c r="Q97" s="782"/>
      <c r="R97" s="399"/>
      <c r="S97" s="775">
        <f t="shared" si="23"/>
        <v>0</v>
      </c>
      <c r="T97" s="767"/>
      <c r="U97" s="776"/>
      <c r="V97" s="345"/>
    </row>
    <row r="98" spans="2:22">
      <c r="B98" s="391"/>
      <c r="C98" s="41"/>
      <c r="D98" s="46" t="s">
        <v>486</v>
      </c>
      <c r="E98" s="46"/>
      <c r="F98" s="46"/>
      <c r="G98" s="46"/>
      <c r="H98" s="46"/>
      <c r="I98" s="765">
        <f t="shared" ca="1" si="21"/>
        <v>2.2751228789389603E-3</v>
      </c>
      <c r="J98" s="1327">
        <v>70000</v>
      </c>
      <c r="K98" s="781">
        <f t="shared" si="22"/>
        <v>70000</v>
      </c>
      <c r="L98" s="767">
        <f>J98</f>
        <v>70000</v>
      </c>
      <c r="M98" s="782"/>
      <c r="N98" s="782"/>
      <c r="O98" s="782"/>
      <c r="P98" s="782"/>
      <c r="Q98" s="782"/>
      <c r="R98" s="399"/>
      <c r="S98" s="775">
        <f t="shared" si="23"/>
        <v>0</v>
      </c>
      <c r="T98" s="767"/>
      <c r="U98" s="776"/>
      <c r="V98" s="345"/>
    </row>
    <row r="99" spans="2:22">
      <c r="B99" s="391"/>
      <c r="C99" s="41"/>
      <c r="D99" s="46" t="s">
        <v>940</v>
      </c>
      <c r="E99" s="46"/>
      <c r="F99" s="46"/>
      <c r="G99" s="46"/>
      <c r="H99" s="46"/>
      <c r="I99" s="765">
        <f t="shared" ca="1" si="21"/>
        <v>1.9501053248048231E-4</v>
      </c>
      <c r="J99" s="1327">
        <v>6000</v>
      </c>
      <c r="K99" s="781">
        <f t="shared" si="22"/>
        <v>6000</v>
      </c>
      <c r="L99" s="767"/>
      <c r="M99" s="782">
        <f>J99</f>
        <v>6000</v>
      </c>
      <c r="N99" s="782"/>
      <c r="O99" s="782"/>
      <c r="P99" s="782"/>
      <c r="Q99" s="782"/>
      <c r="R99" s="399"/>
      <c r="S99" s="775">
        <f t="shared" si="23"/>
        <v>0</v>
      </c>
      <c r="T99" s="767"/>
      <c r="U99" s="776"/>
      <c r="V99" s="345"/>
    </row>
    <row r="100" spans="2:22">
      <c r="B100" s="391"/>
      <c r="C100" s="41"/>
      <c r="D100" s="46" t="s">
        <v>941</v>
      </c>
      <c r="E100" s="46"/>
      <c r="F100" s="46"/>
      <c r="G100" s="291" t="str">
        <f>IF(AND(J100&lt;&gt;0,'6E'!H58=0),"Complete Form 6E","")</f>
        <v/>
      </c>
      <c r="H100" s="46"/>
      <c r="I100" s="765">
        <f t="shared" ca="1" si="21"/>
        <v>2.6942263521350707E-2</v>
      </c>
      <c r="J100" s="1327">
        <f>0.05*J32</f>
        <v>828947.95000000007</v>
      </c>
      <c r="K100" s="781">
        <f t="shared" si="22"/>
        <v>828947.95000000007</v>
      </c>
      <c r="L100" s="767">
        <f>J100-S100</f>
        <v>828947.95000000007</v>
      </c>
      <c r="M100" s="782"/>
      <c r="N100" s="782"/>
      <c r="O100" s="782"/>
      <c r="P100" s="782"/>
      <c r="Q100" s="782"/>
      <c r="R100" s="399"/>
      <c r="S100" s="775">
        <f t="shared" si="23"/>
        <v>0</v>
      </c>
      <c r="T100" s="767"/>
      <c r="U100" s="776"/>
      <c r="V100" s="345"/>
    </row>
    <row r="101" spans="2:22">
      <c r="B101" s="391"/>
      <c r="C101" s="41"/>
      <c r="D101" s="45" t="s">
        <v>942</v>
      </c>
      <c r="E101" s="45"/>
      <c r="F101" s="45"/>
      <c r="G101" s="291" t="str">
        <f>IF(AND(J101&lt;&gt;0,'6E'!H58=0),"Complete Form 6E","")</f>
        <v/>
      </c>
      <c r="H101" s="45"/>
      <c r="I101" s="765">
        <f t="shared" ca="1" si="21"/>
        <v>0</v>
      </c>
      <c r="J101" s="1327"/>
      <c r="K101" s="781">
        <f t="shared" si="22"/>
        <v>0</v>
      </c>
      <c r="L101" s="767"/>
      <c r="M101" s="782"/>
      <c r="N101" s="782"/>
      <c r="O101" s="782"/>
      <c r="P101" s="782"/>
      <c r="Q101" s="782"/>
      <c r="R101" s="399"/>
      <c r="S101" s="775">
        <f t="shared" si="23"/>
        <v>0</v>
      </c>
      <c r="T101" s="767"/>
      <c r="U101" s="776"/>
      <c r="V101" s="345"/>
    </row>
    <row r="102" spans="2:22">
      <c r="B102" s="391"/>
      <c r="C102" s="41"/>
      <c r="D102" s="45" t="s">
        <v>943</v>
      </c>
      <c r="E102" s="45"/>
      <c r="F102" s="45"/>
      <c r="G102" s="45"/>
      <c r="H102" s="45"/>
      <c r="I102" s="765">
        <f t="shared" ca="1" si="21"/>
        <v>1.13756143946948E-4</v>
      </c>
      <c r="J102" s="1327">
        <v>3500</v>
      </c>
      <c r="K102" s="781">
        <f t="shared" si="22"/>
        <v>3500</v>
      </c>
      <c r="L102" s="767"/>
      <c r="M102" s="782">
        <f>J102</f>
        <v>3500</v>
      </c>
      <c r="N102" s="782"/>
      <c r="O102" s="782"/>
      <c r="P102" s="782"/>
      <c r="Q102" s="782"/>
      <c r="R102" s="399"/>
      <c r="S102" s="775">
        <f t="shared" si="23"/>
        <v>0</v>
      </c>
      <c r="T102" s="767"/>
      <c r="U102" s="776"/>
      <c r="V102" s="345"/>
    </row>
    <row r="103" spans="2:22">
      <c r="B103" s="391"/>
      <c r="C103" s="41"/>
      <c r="D103" s="45" t="s">
        <v>944</v>
      </c>
      <c r="E103" s="45"/>
      <c r="F103" s="45"/>
      <c r="G103" s="45"/>
      <c r="H103" s="45"/>
      <c r="I103" s="765">
        <f t="shared" ca="1" si="21"/>
        <v>8.125438853353429E-4</v>
      </c>
      <c r="J103" s="1327">
        <v>25000</v>
      </c>
      <c r="K103" s="781">
        <f t="shared" si="22"/>
        <v>25000</v>
      </c>
      <c r="L103" s="767"/>
      <c r="M103" s="782">
        <f>J103</f>
        <v>25000</v>
      </c>
      <c r="N103" s="782"/>
      <c r="O103" s="782"/>
      <c r="P103" s="782"/>
      <c r="Q103" s="782"/>
      <c r="R103" s="399"/>
      <c r="S103" s="775">
        <f t="shared" si="23"/>
        <v>0</v>
      </c>
      <c r="T103" s="767"/>
      <c r="U103" s="776"/>
      <c r="V103" s="345"/>
    </row>
    <row r="104" spans="2:22">
      <c r="B104" s="391"/>
      <c r="C104" s="41"/>
      <c r="D104" s="46" t="s">
        <v>945</v>
      </c>
      <c r="E104" s="46"/>
      <c r="F104" s="46"/>
      <c r="G104" s="46"/>
      <c r="H104" s="46"/>
      <c r="I104" s="765">
        <f t="shared" ca="1" si="21"/>
        <v>4.8752633120120574E-4</v>
      </c>
      <c r="J104" s="1327">
        <v>15000</v>
      </c>
      <c r="K104" s="781">
        <f t="shared" si="22"/>
        <v>15000</v>
      </c>
      <c r="L104" s="767"/>
      <c r="M104" s="782">
        <f>J104</f>
        <v>15000</v>
      </c>
      <c r="N104" s="782"/>
      <c r="O104" s="782"/>
      <c r="P104" s="782"/>
      <c r="Q104" s="782"/>
      <c r="R104" s="399"/>
      <c r="S104" s="775">
        <f t="shared" si="23"/>
        <v>0</v>
      </c>
      <c r="T104" s="767"/>
      <c r="U104" s="776"/>
      <c r="V104" s="345"/>
    </row>
    <row r="105" spans="2:22">
      <c r="B105" s="391"/>
      <c r="C105" s="41"/>
      <c r="D105" s="45" t="s">
        <v>946</v>
      </c>
      <c r="E105" s="45"/>
      <c r="F105" s="45"/>
      <c r="G105" s="45"/>
      <c r="H105" s="45"/>
      <c r="I105" s="765">
        <f t="shared" ca="1" si="21"/>
        <v>0</v>
      </c>
      <c r="J105" s="1327"/>
      <c r="K105" s="781">
        <f t="shared" si="22"/>
        <v>0</v>
      </c>
      <c r="L105" s="767"/>
      <c r="M105" s="782"/>
      <c r="N105" s="782"/>
      <c r="O105" s="782"/>
      <c r="P105" s="782"/>
      <c r="Q105" s="782"/>
      <c r="R105" s="399"/>
      <c r="S105" s="775">
        <f t="shared" si="23"/>
        <v>0</v>
      </c>
      <c r="T105" s="767"/>
      <c r="U105" s="776"/>
      <c r="V105" s="345"/>
    </row>
    <row r="106" spans="2:22">
      <c r="B106" s="391"/>
      <c r="C106" s="41"/>
      <c r="D106" s="46" t="s">
        <v>947</v>
      </c>
      <c r="E106" s="46"/>
      <c r="F106" s="46"/>
      <c r="G106" s="46"/>
      <c r="H106" s="46"/>
      <c r="I106" s="769">
        <f t="shared" ca="1" si="21"/>
        <v>1.6250877706706858E-3</v>
      </c>
      <c r="J106" s="1328">
        <v>50000</v>
      </c>
      <c r="K106" s="793">
        <f t="shared" si="22"/>
        <v>50000</v>
      </c>
      <c r="L106" s="784"/>
      <c r="M106" s="785"/>
      <c r="N106" s="785"/>
      <c r="O106" s="785">
        <f>J106</f>
        <v>50000</v>
      </c>
      <c r="P106" s="785"/>
      <c r="Q106" s="785"/>
      <c r="R106" s="399"/>
      <c r="S106" s="787">
        <f t="shared" si="23"/>
        <v>0</v>
      </c>
      <c r="T106" s="784"/>
      <c r="U106" s="788"/>
      <c r="V106" s="345"/>
    </row>
    <row r="107" spans="2:22" ht="15" thickBot="1">
      <c r="B107" s="391"/>
      <c r="C107" s="41"/>
      <c r="D107" s="40"/>
      <c r="E107" s="40"/>
      <c r="F107" s="40"/>
      <c r="G107" s="44" t="s">
        <v>887</v>
      </c>
      <c r="H107" s="44"/>
      <c r="I107" s="290">
        <f t="shared" ca="1" si="21"/>
        <v>3.5475476916021584E-2</v>
      </c>
      <c r="J107" s="32">
        <f t="shared" ref="J107:Q107" si="24">SUM(J96:J106)</f>
        <v>1091494.18130753</v>
      </c>
      <c r="K107" s="22">
        <f t="shared" si="24"/>
        <v>1091494.18130753</v>
      </c>
      <c r="L107" s="1385">
        <f t="shared" si="24"/>
        <v>991994.18130753003</v>
      </c>
      <c r="M107" s="1386">
        <f t="shared" si="24"/>
        <v>49500</v>
      </c>
      <c r="N107" s="1386">
        <f t="shared" si="24"/>
        <v>0</v>
      </c>
      <c r="O107" s="1386">
        <f t="shared" si="24"/>
        <v>50000</v>
      </c>
      <c r="P107" s="1386">
        <f t="shared" si="24"/>
        <v>0</v>
      </c>
      <c r="Q107" s="1386">
        <f t="shared" si="24"/>
        <v>0</v>
      </c>
      <c r="R107" s="400"/>
      <c r="S107" s="401">
        <f>SUM(S96:S106)</f>
        <v>0</v>
      </c>
      <c r="T107" s="1385">
        <f>SUM(T96:T106)</f>
        <v>0</v>
      </c>
      <c r="U107" s="1387">
        <f>SUM(U96:U106)</f>
        <v>0</v>
      </c>
      <c r="V107" s="345"/>
    </row>
    <row r="108" spans="2:22" ht="9" customHeight="1" thickBot="1">
      <c r="B108" s="402"/>
      <c r="C108" s="28"/>
      <c r="D108" s="29"/>
      <c r="E108" s="29"/>
      <c r="F108" s="29"/>
      <c r="G108" s="29"/>
      <c r="H108" s="29"/>
      <c r="I108" s="352"/>
      <c r="J108" s="403"/>
      <c r="K108" s="411"/>
      <c r="L108" s="30"/>
      <c r="M108" s="30"/>
      <c r="N108" s="30"/>
      <c r="O108" s="30"/>
      <c r="P108" s="411"/>
      <c r="Q108" s="30"/>
      <c r="R108" s="412"/>
      <c r="S108" s="30"/>
      <c r="T108" s="30"/>
      <c r="U108" s="30"/>
      <c r="V108" s="353"/>
    </row>
    <row r="109" spans="2:22" ht="3.75" customHeight="1">
      <c r="B109" s="391"/>
      <c r="C109" s="43"/>
      <c r="D109" s="44"/>
      <c r="E109" s="44"/>
      <c r="F109" s="44"/>
      <c r="G109" s="44"/>
      <c r="H109" s="44"/>
      <c r="I109" s="393"/>
      <c r="J109" s="393"/>
      <c r="K109" s="41"/>
      <c r="L109" s="16"/>
      <c r="M109" s="16"/>
      <c r="N109" s="16"/>
      <c r="O109" s="16"/>
      <c r="P109" s="41"/>
      <c r="Q109" s="16"/>
      <c r="R109" s="399"/>
      <c r="S109" s="16"/>
      <c r="T109" s="16"/>
      <c r="U109" s="16"/>
      <c r="V109" s="345"/>
    </row>
    <row r="110" spans="2:22" ht="15" thickBot="1">
      <c r="B110" s="391"/>
      <c r="C110" s="2417" t="s">
        <v>948</v>
      </c>
      <c r="D110" s="2417"/>
      <c r="E110" s="2417"/>
      <c r="F110" s="2417"/>
      <c r="G110" s="2417"/>
      <c r="H110" s="43"/>
      <c r="I110" s="43"/>
      <c r="J110" s="43"/>
      <c r="K110" s="43"/>
      <c r="L110" s="16"/>
      <c r="M110" s="16"/>
      <c r="N110" s="16"/>
      <c r="O110" s="16"/>
      <c r="P110" s="61"/>
      <c r="Q110" s="16"/>
      <c r="R110" s="399"/>
      <c r="S110" s="16"/>
      <c r="T110" s="16"/>
      <c r="U110" s="16"/>
      <c r="V110" s="345"/>
    </row>
    <row r="111" spans="2:22">
      <c r="B111" s="391"/>
      <c r="C111" s="61"/>
      <c r="D111" s="2420" t="s">
        <v>949</v>
      </c>
      <c r="E111" s="2420"/>
      <c r="F111" s="2420"/>
      <c r="G111" s="2420"/>
      <c r="H111" s="2420"/>
      <c r="I111" s="761">
        <f t="shared" ref="I111:I118" ca="1" si="25">IFERROR(J111/J$120," ")</f>
        <v>0</v>
      </c>
      <c r="J111" s="1329">
        <v>0</v>
      </c>
      <c r="K111" s="779">
        <f t="shared" ref="K111:K117" si="26">SUM(L111:Q111)</f>
        <v>0</v>
      </c>
      <c r="L111" s="763"/>
      <c r="M111" s="780"/>
      <c r="N111" s="780"/>
      <c r="O111" s="780"/>
      <c r="P111" s="780"/>
      <c r="Q111" s="780"/>
      <c r="R111" s="410"/>
      <c r="S111" s="786">
        <f t="shared" ref="S111:S117" si="27">SUM(T111:U111)</f>
        <v>0</v>
      </c>
      <c r="T111" s="763"/>
      <c r="U111" s="774"/>
      <c r="V111" s="345"/>
    </row>
    <row r="112" spans="2:22">
      <c r="B112" s="391"/>
      <c r="C112" s="61"/>
      <c r="D112" s="40" t="s">
        <v>950</v>
      </c>
      <c r="E112" s="40"/>
      <c r="F112" s="40"/>
      <c r="G112" s="40"/>
      <c r="H112" s="40"/>
      <c r="I112" s="765">
        <f t="shared" ca="1" si="25"/>
        <v>0</v>
      </c>
      <c r="J112" s="1327">
        <v>0</v>
      </c>
      <c r="K112" s="794">
        <f t="shared" si="26"/>
        <v>0</v>
      </c>
      <c r="L112" s="767"/>
      <c r="M112" s="782"/>
      <c r="N112" s="782"/>
      <c r="O112" s="782"/>
      <c r="P112" s="782"/>
      <c r="Q112" s="782"/>
      <c r="R112" s="399"/>
      <c r="S112" s="797">
        <f t="shared" si="27"/>
        <v>0</v>
      </c>
      <c r="T112" s="767"/>
      <c r="U112" s="776"/>
      <c r="V112" s="345"/>
    </row>
    <row r="113" spans="2:22">
      <c r="B113" s="391"/>
      <c r="C113" s="41"/>
      <c r="D113" s="40" t="s">
        <v>951</v>
      </c>
      <c r="E113" s="40"/>
      <c r="F113" s="40"/>
      <c r="G113" s="40"/>
      <c r="H113" s="40"/>
      <c r="I113" s="765">
        <f t="shared" ca="1" si="25"/>
        <v>0</v>
      </c>
      <c r="J113" s="1327">
        <v>0</v>
      </c>
      <c r="K113" s="794">
        <f t="shared" si="26"/>
        <v>0</v>
      </c>
      <c r="L113" s="767"/>
      <c r="M113" s="782"/>
      <c r="N113" s="782"/>
      <c r="O113" s="782"/>
      <c r="P113" s="782"/>
      <c r="Q113" s="782"/>
      <c r="R113" s="399"/>
      <c r="S113" s="797">
        <f t="shared" si="27"/>
        <v>0</v>
      </c>
      <c r="T113" s="767"/>
      <c r="U113" s="776"/>
      <c r="V113" s="345"/>
    </row>
    <row r="114" spans="2:22">
      <c r="B114" s="391"/>
      <c r="C114" s="41"/>
      <c r="D114" s="40" t="s">
        <v>952</v>
      </c>
      <c r="E114" s="40"/>
      <c r="F114" s="40"/>
      <c r="G114" s="40"/>
      <c r="H114" s="40"/>
      <c r="I114" s="765">
        <f ca="1">IFERROR(J114/J$120," ")</f>
        <v>0</v>
      </c>
      <c r="J114" s="1327">
        <v>0</v>
      </c>
      <c r="K114" s="794">
        <f t="shared" si="26"/>
        <v>0</v>
      </c>
      <c r="L114" s="767"/>
      <c r="M114" s="782"/>
      <c r="N114" s="782"/>
      <c r="O114" s="782"/>
      <c r="P114" s="782"/>
      <c r="Q114" s="782"/>
      <c r="R114" s="399"/>
      <c r="S114" s="797">
        <f t="shared" si="27"/>
        <v>0</v>
      </c>
      <c r="T114" s="767"/>
      <c r="U114" s="776"/>
      <c r="V114" s="345"/>
    </row>
    <row r="115" spans="2:22">
      <c r="B115" s="391"/>
      <c r="C115" s="41"/>
      <c r="D115" s="40" t="s">
        <v>953</v>
      </c>
      <c r="E115" s="40"/>
      <c r="F115" s="40"/>
      <c r="G115" s="40"/>
      <c r="H115" s="40"/>
      <c r="I115" s="765">
        <f t="shared" ca="1" si="25"/>
        <v>0</v>
      </c>
      <c r="J115" s="1327">
        <v>0</v>
      </c>
      <c r="K115" s="794">
        <f t="shared" si="26"/>
        <v>0</v>
      </c>
      <c r="L115" s="767"/>
      <c r="M115" s="782"/>
      <c r="N115" s="782"/>
      <c r="O115" s="782"/>
      <c r="P115" s="782"/>
      <c r="Q115" s="782"/>
      <c r="R115" s="399"/>
      <c r="S115" s="797">
        <f t="shared" si="27"/>
        <v>0</v>
      </c>
      <c r="T115" s="767"/>
      <c r="U115" s="776"/>
      <c r="V115" s="345"/>
    </row>
    <row r="116" spans="2:22">
      <c r="B116" s="391"/>
      <c r="C116" s="41"/>
      <c r="D116" s="40" t="s">
        <v>954</v>
      </c>
      <c r="E116" s="40"/>
      <c r="F116" s="40"/>
      <c r="G116" s="40"/>
      <c r="H116" s="40"/>
      <c r="I116" s="765">
        <f t="shared" ca="1" si="25"/>
        <v>0</v>
      </c>
      <c r="J116" s="1327">
        <v>0</v>
      </c>
      <c r="K116" s="794">
        <f t="shared" si="26"/>
        <v>0</v>
      </c>
      <c r="L116" s="767"/>
      <c r="M116" s="782"/>
      <c r="N116" s="782"/>
      <c r="O116" s="782"/>
      <c r="P116" s="782"/>
      <c r="Q116" s="782"/>
      <c r="R116" s="399"/>
      <c r="S116" s="797">
        <f t="shared" si="27"/>
        <v>0</v>
      </c>
      <c r="T116" s="767"/>
      <c r="U116" s="776"/>
      <c r="V116" s="345"/>
    </row>
    <row r="117" spans="2:22">
      <c r="B117" s="391"/>
      <c r="C117" s="41"/>
      <c r="D117" s="40" t="s">
        <v>955</v>
      </c>
      <c r="E117" s="40"/>
      <c r="F117" s="40"/>
      <c r="G117" s="40"/>
      <c r="H117" s="40"/>
      <c r="I117" s="795">
        <f t="shared" ca="1" si="25"/>
        <v>0</v>
      </c>
      <c r="J117" s="1328">
        <v>0</v>
      </c>
      <c r="K117" s="796">
        <f t="shared" si="26"/>
        <v>0</v>
      </c>
      <c r="L117" s="784"/>
      <c r="M117" s="785"/>
      <c r="N117" s="785"/>
      <c r="O117" s="785"/>
      <c r="P117" s="785"/>
      <c r="Q117" s="785"/>
      <c r="R117" s="399"/>
      <c r="S117" s="798">
        <f t="shared" si="27"/>
        <v>0</v>
      </c>
      <c r="T117" s="784"/>
      <c r="U117" s="788"/>
      <c r="V117" s="345"/>
    </row>
    <row r="118" spans="2:22" ht="15" thickBot="1">
      <c r="B118" s="391"/>
      <c r="C118" s="41"/>
      <c r="D118" s="40"/>
      <c r="E118" s="40"/>
      <c r="F118" s="40"/>
      <c r="G118" s="44" t="s">
        <v>887</v>
      </c>
      <c r="H118" s="44"/>
      <c r="I118" s="290">
        <f t="shared" ca="1" si="25"/>
        <v>0</v>
      </c>
      <c r="J118" s="32">
        <f t="shared" ref="J118:Q118" si="28">SUM(J111:J117)</f>
        <v>0</v>
      </c>
      <c r="K118" s="22">
        <f t="shared" si="28"/>
        <v>0</v>
      </c>
      <c r="L118" s="1385">
        <f t="shared" si="28"/>
        <v>0</v>
      </c>
      <c r="M118" s="1386">
        <f t="shared" si="28"/>
        <v>0</v>
      </c>
      <c r="N118" s="1386">
        <f t="shared" si="28"/>
        <v>0</v>
      </c>
      <c r="O118" s="1386">
        <f t="shared" si="28"/>
        <v>0</v>
      </c>
      <c r="P118" s="1386">
        <f t="shared" si="28"/>
        <v>0</v>
      </c>
      <c r="Q118" s="1386">
        <f t="shared" si="28"/>
        <v>0</v>
      </c>
      <c r="R118" s="400"/>
      <c r="S118" s="2424">
        <f>SUM(S111:S117)</f>
        <v>0</v>
      </c>
      <c r="T118" s="1388">
        <f>SUM(T111:T117)</f>
        <v>0</v>
      </c>
      <c r="U118" s="1389">
        <f>SUM(U111:U117)</f>
        <v>0</v>
      </c>
      <c r="V118" s="345"/>
    </row>
    <row r="119" spans="2:22" ht="7.5" customHeight="1" thickBot="1">
      <c r="B119" s="391"/>
      <c r="C119" s="46"/>
      <c r="D119" s="40"/>
      <c r="E119" s="40"/>
      <c r="F119" s="40"/>
      <c r="G119" s="40"/>
      <c r="H119" s="40"/>
      <c r="I119" s="41"/>
      <c r="J119" s="20"/>
      <c r="K119" s="41"/>
      <c r="L119" s="20"/>
      <c r="M119" s="20"/>
      <c r="N119" s="20"/>
      <c r="O119" s="20"/>
      <c r="P119" s="41"/>
      <c r="Q119" s="20"/>
      <c r="R119" s="399"/>
      <c r="S119" s="20"/>
      <c r="T119" s="20"/>
      <c r="U119" s="20"/>
      <c r="V119" s="345"/>
    </row>
    <row r="120" spans="2:22" ht="15" thickBot="1">
      <c r="B120" s="391"/>
      <c r="C120" s="128" t="s">
        <v>956</v>
      </c>
      <c r="D120" s="2425"/>
      <c r="E120" s="2425"/>
      <c r="F120" s="2425"/>
      <c r="G120" s="2425"/>
      <c r="H120" s="2425"/>
      <c r="I120" s="2426"/>
      <c r="J120" s="2427">
        <f ca="1">J28+J47+J63+J68+J76+J87+J93+J107+J118</f>
        <v>30767568.929132134</v>
      </c>
      <c r="K120" s="21">
        <f ca="1">K28+K47+K63+K68+K76+K87+K93+K107+K118</f>
        <v>29402568.929132134</v>
      </c>
      <c r="L120" s="2428"/>
      <c r="M120" s="2428"/>
      <c r="N120" s="2428"/>
      <c r="O120" s="2428"/>
      <c r="P120" s="2428"/>
      <c r="Q120" s="2428"/>
      <c r="R120" s="410"/>
      <c r="S120" s="2429">
        <f>S28+S47+S63+S68+S76+S87+S93+S107+S118</f>
        <v>1365000</v>
      </c>
      <c r="T120" s="2428"/>
      <c r="U120" s="2430"/>
      <c r="V120" s="345"/>
    </row>
    <row r="121" spans="2:22" ht="15" thickBot="1">
      <c r="B121" s="391"/>
      <c r="C121" s="129" t="s">
        <v>957</v>
      </c>
      <c r="D121" s="2431"/>
      <c r="E121" s="2431"/>
      <c r="F121" s="2431"/>
      <c r="G121" s="2431"/>
      <c r="H121" s="2431"/>
      <c r="I121" s="2432"/>
      <c r="J121" s="23">
        <f ca="1">(K121+S121)</f>
        <v>30767568.929132134</v>
      </c>
      <c r="K121" s="22">
        <f ca="1">SUM(L121:Q121)</f>
        <v>29402568.929132134</v>
      </c>
      <c r="L121" s="2433">
        <f t="shared" ref="L121:Q121" ca="1" si="29">L28+L47+L63+L68+L76+L87+L93+L107+L118</f>
        <v>3000000</v>
      </c>
      <c r="M121" s="1390">
        <f t="shared" ca="1" si="29"/>
        <v>9520742.0000000019</v>
      </c>
      <c r="N121" s="1390">
        <f t="shared" si="29"/>
        <v>1000000</v>
      </c>
      <c r="O121" s="1390">
        <f t="shared" ca="1" si="29"/>
        <v>15881826.929132134</v>
      </c>
      <c r="P121" s="1390">
        <f t="shared" si="29"/>
        <v>0</v>
      </c>
      <c r="Q121" s="1390">
        <f t="shared" si="29"/>
        <v>0</v>
      </c>
      <c r="R121" s="2434"/>
      <c r="S121" s="401">
        <f>SUM(T121:U121)</f>
        <v>1365000</v>
      </c>
      <c r="T121" s="2433">
        <f>T28+T47+T63+T68+T76+T87+T93+T107+T118</f>
        <v>1365000</v>
      </c>
      <c r="U121" s="2435">
        <f>U28+U47+U63+U68+U76+U87+U93+U107+U118</f>
        <v>0</v>
      </c>
      <c r="V121" s="345"/>
    </row>
    <row r="122" spans="2:22">
      <c r="B122" s="391"/>
      <c r="C122" s="292"/>
      <c r="D122" s="292"/>
      <c r="E122" s="292"/>
      <c r="F122" s="292"/>
      <c r="G122" s="292"/>
      <c r="H122" s="292"/>
      <c r="I122" s="293"/>
      <c r="J122" s="294" t="str">
        <f ca="1">IF((ROUND(J121,0))&lt;&gt;((ROUND(('7A'!F39+'7A'!F48),0))),"WARNING: Sources on Form 6A do not match Sources on Form 7A","")</f>
        <v/>
      </c>
      <c r="K122" s="1973"/>
      <c r="L122" s="16"/>
      <c r="M122" s="16"/>
      <c r="N122" s="16"/>
      <c r="O122" s="16"/>
      <c r="P122" s="16"/>
      <c r="Q122" s="16"/>
      <c r="R122" s="413"/>
      <c r="S122" s="16"/>
      <c r="T122" s="16"/>
      <c r="U122" s="16"/>
      <c r="V122" s="345"/>
    </row>
    <row r="123" spans="2:22" ht="9" customHeight="1" thickBot="1">
      <c r="B123" s="402"/>
      <c r="C123" s="414"/>
      <c r="D123" s="414"/>
      <c r="E123" s="414"/>
      <c r="F123" s="414"/>
      <c r="G123" s="414"/>
      <c r="H123" s="414"/>
      <c r="I123" s="414"/>
      <c r="J123" s="415" t="s">
        <v>732</v>
      </c>
      <c r="K123" s="414"/>
      <c r="L123" s="414"/>
      <c r="M123" s="414"/>
      <c r="N123" s="414"/>
      <c r="O123" s="414"/>
      <c r="P123" s="414"/>
      <c r="Q123" s="414"/>
      <c r="R123" s="414"/>
      <c r="S123" s="414"/>
      <c r="T123" s="414"/>
      <c r="U123" s="414"/>
      <c r="V123" s="416"/>
    </row>
    <row r="126" spans="2:22">
      <c r="J126" s="1581"/>
    </row>
    <row r="127" spans="2:22">
      <c r="J127" s="1580"/>
    </row>
  </sheetData>
  <sheetProtection algorithmName="SHA-512" hashValue="LqjIU6ON554sphfvVEBSuBqWUYv5T4yKQR0mvYRj1CD1gheBohf572SHyB4D5BZet7EG8Na+WcPexwil95zj8w==" saltValue="v+ua2FgjDihDvUxvEsdgXA==" spinCount="100000" sheet="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7">
    <cfRule type="expression" dxfId="63" priority="34">
      <formula>J27&lt;&gt;(K27+S27)</formula>
    </cfRule>
  </conditionalFormatting>
  <conditionalFormatting sqref="J23:J24 J26">
    <cfRule type="expression" dxfId="62" priority="33">
      <formula>J23&lt;&gt;(K23+S23)</formula>
    </cfRule>
  </conditionalFormatting>
  <conditionalFormatting sqref="J31">
    <cfRule type="expression" dxfId="61" priority="32">
      <formula>J31&lt;&gt;(K31+S31)</formula>
    </cfRule>
  </conditionalFormatting>
  <conditionalFormatting sqref="J50">
    <cfRule type="expression" dxfId="60" priority="31">
      <formula>J50&lt;&gt;(K50+S50)</formula>
    </cfRule>
  </conditionalFormatting>
  <conditionalFormatting sqref="J66">
    <cfRule type="expression" dxfId="59" priority="30">
      <formula>J66&lt;&gt;(K66+S66)</formula>
    </cfRule>
  </conditionalFormatting>
  <conditionalFormatting sqref="J71">
    <cfRule type="expression" dxfId="58" priority="29">
      <formula>J71&lt;&gt;(K71+S71)</formula>
    </cfRule>
  </conditionalFormatting>
  <conditionalFormatting sqref="J79">
    <cfRule type="expression" dxfId="57" priority="28">
      <formula>J79&lt;&gt;(K79+S79)</formula>
    </cfRule>
  </conditionalFormatting>
  <conditionalFormatting sqref="J90">
    <cfRule type="expression" dxfId="56" priority="27">
      <formula>J90&lt;&gt;(K90+S90)</formula>
    </cfRule>
  </conditionalFormatting>
  <conditionalFormatting sqref="J96">
    <cfRule type="expression" dxfId="55" priority="26">
      <formula>J96&lt;&gt;(K96+S96)</formula>
    </cfRule>
  </conditionalFormatting>
  <conditionalFormatting sqref="J111">
    <cfRule type="expression" dxfId="54" priority="25">
      <formula>J111&lt;&gt;(K111+S111)</formula>
    </cfRule>
  </conditionalFormatting>
  <conditionalFormatting sqref="J46">
    <cfRule type="expression" dxfId="53" priority="24">
      <formula>J46&lt;&gt;(K46+S46)</formula>
    </cfRule>
  </conditionalFormatting>
  <conditionalFormatting sqref="J62">
    <cfRule type="expression" dxfId="52" priority="23">
      <formula>J62&lt;&gt;(K62+S62)</formula>
    </cfRule>
  </conditionalFormatting>
  <conditionalFormatting sqref="J67">
    <cfRule type="expression" dxfId="51" priority="22">
      <formula>J67&lt;&gt;(K67+S67)</formula>
    </cfRule>
  </conditionalFormatting>
  <conditionalFormatting sqref="J75">
    <cfRule type="expression" dxfId="50" priority="21">
      <formula>J75&lt;&gt;(K75+S75)</formula>
    </cfRule>
  </conditionalFormatting>
  <conditionalFormatting sqref="J86">
    <cfRule type="expression" dxfId="49" priority="20">
      <formula>J86&lt;&gt;(K86+S86)</formula>
    </cfRule>
  </conditionalFormatting>
  <conditionalFormatting sqref="J92">
    <cfRule type="expression" dxfId="48" priority="19">
      <formula>J92&lt;&gt;(K92+S92)</formula>
    </cfRule>
  </conditionalFormatting>
  <conditionalFormatting sqref="J106">
    <cfRule type="expression" dxfId="47" priority="18">
      <formula>J106&lt;&gt;(K106+S106)</formula>
    </cfRule>
  </conditionalFormatting>
  <conditionalFormatting sqref="J117">
    <cfRule type="expression" dxfId="46" priority="17">
      <formula>J117&lt;&gt;(K117+S117)</formula>
    </cfRule>
  </conditionalFormatting>
  <conditionalFormatting sqref="J33:J40 J42:J45">
    <cfRule type="expression" dxfId="45" priority="16">
      <formula>J33&lt;&gt;(K33+S33)</formula>
    </cfRule>
  </conditionalFormatting>
  <conditionalFormatting sqref="J51 J57:J61">
    <cfRule type="expression" dxfId="44" priority="15">
      <formula>J51&lt;&gt;(K51+S51)</formula>
    </cfRule>
  </conditionalFormatting>
  <conditionalFormatting sqref="J72:J74">
    <cfRule type="expression" dxfId="43" priority="14">
      <formula>J72&lt;&gt;(K72+S72)</formula>
    </cfRule>
  </conditionalFormatting>
  <conditionalFormatting sqref="J80 J85">
    <cfRule type="expression" dxfId="42" priority="13">
      <formula>J80&lt;&gt;(K80+S80)</formula>
    </cfRule>
  </conditionalFormatting>
  <conditionalFormatting sqref="J91">
    <cfRule type="expression" dxfId="41" priority="12">
      <formula>J91&lt;&gt;(K91+S91)</formula>
    </cfRule>
  </conditionalFormatting>
  <conditionalFormatting sqref="J97:J105">
    <cfRule type="expression" dxfId="40" priority="11">
      <formula>J97&lt;&gt;(K97+S97)</formula>
    </cfRule>
  </conditionalFormatting>
  <conditionalFormatting sqref="J112:J116">
    <cfRule type="expression" dxfId="39" priority="10">
      <formula>J112&lt;&gt;(K112+S112)</formula>
    </cfRule>
  </conditionalFormatting>
  <conditionalFormatting sqref="J121">
    <cfRule type="expression" dxfId="38" priority="39">
      <formula>$J$121&lt;&gt;(#REF!+#REF!)</formula>
    </cfRule>
  </conditionalFormatting>
  <conditionalFormatting sqref="J22">
    <cfRule type="expression" dxfId="37" priority="8">
      <formula>J22&lt;&gt;(K22+S22)</formula>
    </cfRule>
  </conditionalFormatting>
  <conditionalFormatting sqref="J25">
    <cfRule type="expression" dxfId="36" priority="6">
      <formula>J25&lt;&gt;(K25+S25)</formula>
    </cfRule>
  </conditionalFormatting>
  <conditionalFormatting sqref="J32">
    <cfRule type="expression" dxfId="35" priority="5">
      <formula>J32&lt;&gt;(K32+S32)</formula>
    </cfRule>
  </conditionalFormatting>
  <conditionalFormatting sqref="J41">
    <cfRule type="expression" dxfId="34" priority="3">
      <formula>J41&lt;&gt;(K41+S41)</formula>
    </cfRule>
  </conditionalFormatting>
  <conditionalFormatting sqref="J52:J56">
    <cfRule type="expression" dxfId="33" priority="2">
      <formula>J52&lt;&gt;(K52+S52)</formula>
    </cfRule>
  </conditionalFormatting>
  <conditionalFormatting sqref="J81:J84">
    <cfRule type="expression" dxfId="32" priority="1">
      <formula>J81&lt;&gt;(K81+S81)</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xr:uid="{00000000-0002-0000-0F00-000000000000}"/>
    <dataValidation allowBlank="1" showInputMessage="1" showErrorMessage="1" promptTitle="Rehab Contingency %" prompt="Defined as Rehab Contingency divided by the sum of Rehab, Contractor Profit, Contractor Overhead, and Bond Premium amounts_x000a__x000a_% =J27 / (J23+J24+J25+J34)" sqref="G37" xr:uid="{00000000-0002-0000-0F00-000001000000}"/>
  </dataValidations>
  <pageMargins left="0.25" right="0.25" top="0.75" bottom="0.75" header="0.3" footer="0.3"/>
  <pageSetup scale="68" fitToHeight="2" orientation="portrait" r:id="rId1"/>
  <headerFooter>
    <oddFooter>&amp;LForm 6A
Development Budgets&amp;CCFA Forms&amp;REdition: 2016
Version: 1.0</oddFooter>
  </headerFooter>
  <rowBreaks count="3" manualBreakCount="3">
    <brk id="48" max="21" man="1"/>
    <brk id="77" max="21" man="1"/>
    <brk id="108"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5:L102"/>
  <sheetViews>
    <sheetView showGridLines="0" topLeftCell="A24" zoomScaleNormal="100" workbookViewId="0" xr3:uid="{11A3ACCB-1F19-5AC9-A611-4158731A345D}">
      <selection activeCell="J47" sqref="J47:K47"/>
    </sheetView>
  </sheetViews>
  <sheetFormatPr defaultColWidth="9.140625" defaultRowHeight="14.45"/>
  <cols>
    <col min="1" max="2" width="1.7109375" style="335" customWidth="1"/>
    <col min="3" max="3" width="2.85546875" style="335" customWidth="1"/>
    <col min="4" max="4" width="5.7109375" style="335" customWidth="1"/>
    <col min="5" max="5" width="8.5703125" style="335" customWidth="1"/>
    <col min="6" max="6" width="12.85546875" style="335" customWidth="1"/>
    <col min="7" max="7" width="10.7109375" style="335" customWidth="1"/>
    <col min="8" max="8" width="1.42578125" style="335" customWidth="1"/>
    <col min="9" max="9" width="11.42578125" style="335" customWidth="1"/>
    <col min="10" max="10" width="19.28515625" style="335" customWidth="1"/>
    <col min="11" max="11" width="40.7109375" style="335" customWidth="1"/>
    <col min="12" max="12" width="1.7109375" style="335" customWidth="1"/>
    <col min="13" max="16384" width="9.140625" style="335"/>
  </cols>
  <sheetData>
    <row r="5" spans="2:12" ht="15" thickBot="1"/>
    <row r="6" spans="2:12" ht="9" customHeight="1">
      <c r="B6" s="418"/>
      <c r="C6" s="419"/>
      <c r="D6" s="419"/>
      <c r="E6" s="419"/>
      <c r="F6" s="419"/>
      <c r="G6" s="419"/>
      <c r="H6" s="419"/>
      <c r="I6" s="419"/>
      <c r="J6" s="419"/>
      <c r="K6" s="419"/>
      <c r="L6" s="420"/>
    </row>
    <row r="7" spans="2:12" ht="18.600000000000001">
      <c r="B7" s="421"/>
      <c r="C7" s="2057" t="s">
        <v>958</v>
      </c>
      <c r="D7" s="2057"/>
      <c r="E7" s="2057"/>
      <c r="F7" s="2057"/>
      <c r="G7" s="2057"/>
      <c r="H7" s="2057"/>
      <c r="I7" s="2057"/>
      <c r="J7" s="2057"/>
      <c r="K7" s="2057"/>
      <c r="L7" s="422"/>
    </row>
    <row r="8" spans="2:12">
      <c r="B8" s="421"/>
      <c r="C8" s="423"/>
      <c r="D8" s="423"/>
      <c r="E8" s="423"/>
      <c r="F8" s="423"/>
      <c r="G8" s="423"/>
      <c r="H8" s="423"/>
      <c r="I8" s="423"/>
      <c r="J8" s="423"/>
      <c r="K8" s="423"/>
      <c r="L8" s="422"/>
    </row>
    <row r="9" spans="2:12" ht="15" thickBot="1">
      <c r="B9" s="421"/>
      <c r="C9" s="2001" t="str">
        <f>IF('1'!G5="","Enter Project Name on Form 1",(CONCATENATE("Project Name: ",'1'!G5)))</f>
        <v>Project Name: DESC 22nd Avenue PSH</v>
      </c>
      <c r="D9" s="2001"/>
      <c r="E9" s="2001"/>
      <c r="F9" s="2001"/>
      <c r="G9" s="2001"/>
      <c r="H9" s="2001"/>
      <c r="I9" s="2001"/>
      <c r="J9" s="2001"/>
      <c r="K9" s="2001"/>
      <c r="L9" s="422"/>
    </row>
    <row r="10" spans="2:12" ht="7.5" customHeight="1" thickBot="1">
      <c r="B10" s="426"/>
      <c r="C10" s="427"/>
      <c r="D10" s="427"/>
      <c r="E10" s="427"/>
      <c r="F10" s="427"/>
      <c r="G10" s="427"/>
      <c r="H10" s="427"/>
      <c r="I10" s="427"/>
      <c r="J10" s="427"/>
      <c r="K10" s="393"/>
      <c r="L10" s="422"/>
    </row>
    <row r="11" spans="2:12">
      <c r="B11" s="426"/>
      <c r="C11" s="61"/>
      <c r="D11" s="61"/>
      <c r="E11" s="61"/>
      <c r="F11" s="61"/>
      <c r="G11" s="61"/>
      <c r="H11" s="61"/>
      <c r="I11" s="2436" t="s">
        <v>959</v>
      </c>
      <c r="J11" s="2079"/>
      <c r="K11" s="2080"/>
      <c r="L11" s="422"/>
    </row>
    <row r="12" spans="2:12" ht="37.5" customHeight="1" thickBot="1">
      <c r="B12" s="426"/>
      <c r="C12" s="62"/>
      <c r="D12" s="41"/>
      <c r="E12" s="41"/>
      <c r="F12" s="63"/>
      <c r="G12" s="63"/>
      <c r="H12" s="63"/>
      <c r="I12" s="133" t="s">
        <v>960</v>
      </c>
      <c r="J12" s="2081" t="s">
        <v>961</v>
      </c>
      <c r="K12" s="2082"/>
      <c r="L12" s="422"/>
    </row>
    <row r="13" spans="2:12" ht="15" thickBot="1">
      <c r="B13" s="426"/>
      <c r="C13" s="2437" t="s">
        <v>880</v>
      </c>
      <c r="D13" s="2438"/>
      <c r="E13" s="2438"/>
      <c r="F13" s="2439"/>
      <c r="G13" s="2439"/>
      <c r="H13" s="2439"/>
      <c r="I13" s="39"/>
      <c r="J13" s="39"/>
      <c r="K13" s="423"/>
      <c r="L13" s="422"/>
    </row>
    <row r="14" spans="2:12">
      <c r="B14" s="426"/>
      <c r="C14" s="393"/>
      <c r="D14" s="2418" t="s">
        <v>881</v>
      </c>
      <c r="E14" s="2418"/>
      <c r="F14" s="2418"/>
      <c r="G14" s="2418"/>
      <c r="H14" s="125"/>
      <c r="I14" s="799">
        <f>'6A'!K22</f>
        <v>1950000</v>
      </c>
      <c r="J14" s="2075" t="s">
        <v>962</v>
      </c>
      <c r="K14" s="2076"/>
      <c r="L14" s="422"/>
    </row>
    <row r="15" spans="2:12">
      <c r="B15" s="426"/>
      <c r="C15" s="393"/>
      <c r="D15" s="126" t="s">
        <v>882</v>
      </c>
      <c r="E15" s="126"/>
      <c r="F15" s="126"/>
      <c r="G15" s="126"/>
      <c r="H15" s="127"/>
      <c r="I15" s="800">
        <f>'6A'!K23</f>
        <v>0</v>
      </c>
      <c r="J15" s="2071"/>
      <c r="K15" s="2072"/>
      <c r="L15" s="422"/>
    </row>
    <row r="16" spans="2:12">
      <c r="B16" s="426"/>
      <c r="C16" s="393"/>
      <c r="D16" s="126" t="s">
        <v>883</v>
      </c>
      <c r="E16" s="126"/>
      <c r="F16" s="126"/>
      <c r="G16" s="126"/>
      <c r="H16" s="127"/>
      <c r="I16" s="800">
        <f>'6A'!K24</f>
        <v>0</v>
      </c>
      <c r="J16" s="2071"/>
      <c r="K16" s="2072"/>
      <c r="L16" s="422"/>
    </row>
    <row r="17" spans="2:12">
      <c r="B17" s="426"/>
      <c r="C17" s="393"/>
      <c r="D17" s="126" t="s">
        <v>884</v>
      </c>
      <c r="E17" s="126"/>
      <c r="F17" s="126"/>
      <c r="G17" s="126"/>
      <c r="H17" s="127"/>
      <c r="I17" s="800">
        <f>'6A'!K25</f>
        <v>97500</v>
      </c>
      <c r="J17" s="2071" t="s">
        <v>963</v>
      </c>
      <c r="K17" s="2072"/>
      <c r="L17" s="422"/>
    </row>
    <row r="18" spans="2:12">
      <c r="B18" s="426"/>
      <c r="C18" s="393"/>
      <c r="D18" s="126" t="s">
        <v>885</v>
      </c>
      <c r="E18" s="126"/>
      <c r="F18" s="126"/>
      <c r="G18" s="126"/>
      <c r="H18" s="127"/>
      <c r="I18" s="800">
        <f>'6A'!K26</f>
        <v>0</v>
      </c>
      <c r="J18" s="2071"/>
      <c r="K18" s="2072"/>
      <c r="L18" s="422"/>
    </row>
    <row r="19" spans="2:12" ht="15" thickBot="1">
      <c r="B19" s="426"/>
      <c r="C19" s="393"/>
      <c r="D19" s="126" t="s">
        <v>66</v>
      </c>
      <c r="E19" s="126"/>
      <c r="F19" s="126"/>
      <c r="G19" s="126"/>
      <c r="H19" s="127"/>
      <c r="I19" s="801">
        <f>'6A'!K27</f>
        <v>0</v>
      </c>
      <c r="J19" s="2073"/>
      <c r="K19" s="2074"/>
      <c r="L19" s="422"/>
    </row>
    <row r="20" spans="2:12" ht="3.75" customHeight="1">
      <c r="B20" s="426"/>
      <c r="C20" s="43"/>
      <c r="D20" s="44"/>
      <c r="E20" s="44"/>
      <c r="F20" s="40"/>
      <c r="G20" s="40"/>
      <c r="H20" s="40"/>
      <c r="I20" s="35"/>
      <c r="J20" s="35"/>
      <c r="K20" s="423"/>
      <c r="L20" s="422"/>
    </row>
    <row r="21" spans="2:12" ht="15" thickBot="1">
      <c r="B21" s="426"/>
      <c r="C21" s="2437" t="s">
        <v>888</v>
      </c>
      <c r="D21" s="2438"/>
      <c r="E21" s="2438"/>
      <c r="F21" s="2439"/>
      <c r="G21" s="2439"/>
      <c r="H21" s="2439"/>
      <c r="I21" s="36"/>
      <c r="J21" s="36"/>
      <c r="K21" s="393"/>
      <c r="L21" s="422"/>
    </row>
    <row r="22" spans="2:12">
      <c r="B22" s="426"/>
      <c r="C22" s="393"/>
      <c r="D22" s="2418" t="s">
        <v>889</v>
      </c>
      <c r="E22" s="2418"/>
      <c r="F22" s="2418"/>
      <c r="G22" s="2418"/>
      <c r="H22" s="125"/>
      <c r="I22" s="799">
        <f>'6A'!K31</f>
        <v>0</v>
      </c>
      <c r="J22" s="2075"/>
      <c r="K22" s="2076"/>
      <c r="L22" s="422"/>
    </row>
    <row r="23" spans="2:12">
      <c r="B23" s="426"/>
      <c r="C23" s="393"/>
      <c r="D23" s="126" t="s">
        <v>890</v>
      </c>
      <c r="E23" s="126"/>
      <c r="F23" s="126"/>
      <c r="G23" s="126"/>
      <c r="H23" s="127"/>
      <c r="I23" s="800">
        <f ca="1">'6A'!K32</f>
        <v>16578959</v>
      </c>
      <c r="J23" s="2071" t="s">
        <v>964</v>
      </c>
      <c r="K23" s="2072"/>
      <c r="L23" s="422"/>
    </row>
    <row r="24" spans="2:12">
      <c r="B24" s="426"/>
      <c r="C24" s="393"/>
      <c r="D24" s="126" t="s">
        <v>891</v>
      </c>
      <c r="E24" s="126"/>
      <c r="F24" s="126"/>
      <c r="G24" s="126"/>
      <c r="H24" s="127"/>
      <c r="I24" s="800">
        <f>'6A'!K33</f>
        <v>0</v>
      </c>
      <c r="J24" s="2071"/>
      <c r="K24" s="2072"/>
      <c r="L24" s="422"/>
    </row>
    <row r="25" spans="2:12">
      <c r="B25" s="426"/>
      <c r="C25" s="393"/>
      <c r="D25" s="126" t="s">
        <v>892</v>
      </c>
      <c r="E25" s="126"/>
      <c r="F25" s="126"/>
      <c r="G25" s="126"/>
      <c r="H25" s="127"/>
      <c r="I25" s="800">
        <f>'6A'!K34</f>
        <v>0</v>
      </c>
      <c r="J25" s="2071"/>
      <c r="K25" s="2072"/>
      <c r="L25" s="422"/>
    </row>
    <row r="26" spans="2:12">
      <c r="B26" s="426"/>
      <c r="C26" s="393"/>
      <c r="D26" s="126" t="s">
        <v>893</v>
      </c>
      <c r="E26" s="126"/>
      <c r="F26" s="126"/>
      <c r="G26" s="126"/>
      <c r="H26" s="127"/>
      <c r="I26" s="800">
        <f>'6A'!K35</f>
        <v>0</v>
      </c>
      <c r="J26" s="2071"/>
      <c r="K26" s="2072"/>
      <c r="L26" s="422"/>
    </row>
    <row r="27" spans="2:12">
      <c r="B27" s="426"/>
      <c r="C27" s="393"/>
      <c r="D27" s="126" t="s">
        <v>965</v>
      </c>
      <c r="E27" s="126"/>
      <c r="F27" s="126"/>
      <c r="G27" s="126"/>
      <c r="H27" s="127"/>
      <c r="I27" s="800">
        <f>'6A'!K36</f>
        <v>1657895.9000000001</v>
      </c>
      <c r="J27" s="2078" t="s">
        <v>966</v>
      </c>
      <c r="K27" s="2072"/>
      <c r="L27" s="422"/>
    </row>
    <row r="28" spans="2:12">
      <c r="B28" s="426"/>
      <c r="C28" s="393"/>
      <c r="D28" s="126" t="s">
        <v>895</v>
      </c>
      <c r="E28" s="126"/>
      <c r="F28" s="126"/>
      <c r="G28" s="126"/>
      <c r="H28" s="127"/>
      <c r="I28" s="800">
        <f>'6A'!K37</f>
        <v>0</v>
      </c>
      <c r="J28" s="2071"/>
      <c r="K28" s="2072"/>
      <c r="L28" s="422"/>
    </row>
    <row r="29" spans="2:12">
      <c r="B29" s="426"/>
      <c r="C29" s="393"/>
      <c r="D29" s="126" t="s">
        <v>896</v>
      </c>
      <c r="E29" s="126"/>
      <c r="F29" s="126"/>
      <c r="G29" s="126"/>
      <c r="H29" s="127"/>
      <c r="I29" s="800">
        <f>'6A'!K38</f>
        <v>0</v>
      </c>
      <c r="J29" s="2071"/>
      <c r="K29" s="2072"/>
      <c r="L29" s="422"/>
    </row>
    <row r="30" spans="2:12">
      <c r="B30" s="426"/>
      <c r="C30" s="393"/>
      <c r="D30" s="126" t="s">
        <v>897</v>
      </c>
      <c r="E30" s="126"/>
      <c r="F30" s="126"/>
      <c r="G30" s="126"/>
      <c r="H30" s="127"/>
      <c r="I30" s="800">
        <f>'6A'!K39</f>
        <v>0</v>
      </c>
      <c r="J30" s="2071"/>
      <c r="K30" s="2072"/>
      <c r="L30" s="422"/>
    </row>
    <row r="31" spans="2:12">
      <c r="B31" s="426"/>
      <c r="C31" s="393"/>
      <c r="D31" s="126" t="s">
        <v>898</v>
      </c>
      <c r="E31" s="126"/>
      <c r="F31" s="126"/>
      <c r="G31" s="126"/>
      <c r="H31" s="127"/>
      <c r="I31" s="800">
        <f>'6A'!K40</f>
        <v>0</v>
      </c>
      <c r="J31" s="2071"/>
      <c r="K31" s="2072"/>
      <c r="L31" s="422"/>
    </row>
    <row r="32" spans="2:12">
      <c r="B32" s="426"/>
      <c r="C32" s="393"/>
      <c r="D32" s="126" t="s">
        <v>899</v>
      </c>
      <c r="E32" s="126"/>
      <c r="F32" s="126"/>
      <c r="G32" s="126"/>
      <c r="H32" s="127"/>
      <c r="I32" s="800">
        <f>'6A'!K41</f>
        <v>108000</v>
      </c>
      <c r="J32" s="2071" t="s">
        <v>967</v>
      </c>
      <c r="K32" s="2072"/>
      <c r="L32" s="422"/>
    </row>
    <row r="33" spans="2:12">
      <c r="B33" s="426"/>
      <c r="C33" s="393"/>
      <c r="D33" s="126" t="s">
        <v>900</v>
      </c>
      <c r="E33" s="126"/>
      <c r="F33" s="126"/>
      <c r="G33" s="126"/>
      <c r="H33" s="127"/>
      <c r="I33" s="800">
        <f>'6A'!K42</f>
        <v>0</v>
      </c>
      <c r="J33" s="2071"/>
      <c r="K33" s="2072"/>
      <c r="L33" s="422"/>
    </row>
    <row r="34" spans="2:12">
      <c r="B34" s="426"/>
      <c r="C34" s="393"/>
      <c r="D34" s="126" t="s">
        <v>901</v>
      </c>
      <c r="E34" s="126"/>
      <c r="F34" s="126"/>
      <c r="G34" s="126"/>
      <c r="H34" s="127"/>
      <c r="I34" s="800">
        <f ca="1">'6A'!K43</f>
        <v>1674474.8590000002</v>
      </c>
      <c r="J34" s="2077" t="s">
        <v>968</v>
      </c>
      <c r="K34" s="2072"/>
      <c r="L34" s="422"/>
    </row>
    <row r="35" spans="2:12">
      <c r="B35" s="426"/>
      <c r="C35" s="393"/>
      <c r="D35" s="126" t="s">
        <v>902</v>
      </c>
      <c r="E35" s="126"/>
      <c r="F35" s="126"/>
      <c r="G35" s="126"/>
      <c r="H35" s="127"/>
      <c r="I35" s="800">
        <f>'6A'!K44</f>
        <v>0</v>
      </c>
      <c r="J35" s="2071"/>
      <c r="K35" s="2072"/>
      <c r="L35" s="422"/>
    </row>
    <row r="36" spans="2:12">
      <c r="B36" s="426"/>
      <c r="C36" s="393"/>
      <c r="D36" s="126" t="s">
        <v>903</v>
      </c>
      <c r="E36" s="126"/>
      <c r="F36" s="126"/>
      <c r="G36" s="126"/>
      <c r="H36" s="127"/>
      <c r="I36" s="800">
        <f>'6A'!K45</f>
        <v>330000</v>
      </c>
      <c r="J36" s="2071" t="s">
        <v>969</v>
      </c>
      <c r="K36" s="2072"/>
      <c r="L36" s="422"/>
    </row>
    <row r="37" spans="2:12" ht="15" thickBot="1">
      <c r="B37" s="426"/>
      <c r="C37" s="393"/>
      <c r="D37" s="126" t="s">
        <v>970</v>
      </c>
      <c r="E37" s="126"/>
      <c r="F37" s="126"/>
      <c r="G37" s="126"/>
      <c r="H37" s="127"/>
      <c r="I37" s="801">
        <f>'6A'!K46</f>
        <v>0</v>
      </c>
      <c r="J37" s="2073"/>
      <c r="K37" s="2074"/>
      <c r="L37" s="422"/>
    </row>
    <row r="38" spans="2:12" ht="3.75" customHeight="1">
      <c r="B38" s="426"/>
      <c r="C38" s="43"/>
      <c r="D38" s="44"/>
      <c r="E38" s="44"/>
      <c r="F38" s="40"/>
      <c r="G38" s="40"/>
      <c r="H38" s="40"/>
      <c r="I38" s="35"/>
      <c r="J38" s="35"/>
      <c r="K38" s="423"/>
      <c r="L38" s="422"/>
    </row>
    <row r="39" spans="2:12" ht="15" thickBot="1">
      <c r="B39" s="426"/>
      <c r="C39" s="2437" t="s">
        <v>904</v>
      </c>
      <c r="D39" s="2438"/>
      <c r="E39" s="2438"/>
      <c r="F39" s="2439"/>
      <c r="G39" s="2439"/>
      <c r="H39" s="2439"/>
      <c r="I39" s="35"/>
      <c r="J39" s="35"/>
      <c r="K39" s="393"/>
      <c r="L39" s="422"/>
    </row>
    <row r="40" spans="2:12">
      <c r="B40" s="426"/>
      <c r="C40" s="393"/>
      <c r="D40" s="2418" t="s">
        <v>905</v>
      </c>
      <c r="E40" s="2418"/>
      <c r="F40" s="2418"/>
      <c r="G40" s="2418"/>
      <c r="H40" s="125"/>
      <c r="I40" s="799">
        <f>'6A'!K50</f>
        <v>15000</v>
      </c>
      <c r="J40" s="2075" t="s">
        <v>971</v>
      </c>
      <c r="K40" s="2076"/>
      <c r="L40" s="422"/>
    </row>
    <row r="41" spans="2:12">
      <c r="B41" s="426"/>
      <c r="C41" s="393"/>
      <c r="D41" s="126" t="s">
        <v>906</v>
      </c>
      <c r="E41" s="126"/>
      <c r="F41" s="126"/>
      <c r="G41" s="126"/>
      <c r="H41" s="127"/>
      <c r="I41" s="800">
        <f>'6A'!K51</f>
        <v>5500</v>
      </c>
      <c r="J41" s="2071" t="s">
        <v>972</v>
      </c>
      <c r="K41" s="2072"/>
      <c r="L41" s="422"/>
    </row>
    <row r="42" spans="2:12">
      <c r="B42" s="426"/>
      <c r="C42" s="393"/>
      <c r="D42" s="126" t="s">
        <v>907</v>
      </c>
      <c r="E42" s="126"/>
      <c r="F42" s="126"/>
      <c r="G42" s="126"/>
      <c r="H42" s="127"/>
      <c r="I42" s="800">
        <f>'6A'!K52</f>
        <v>1325585</v>
      </c>
      <c r="J42" s="2071" t="s">
        <v>973</v>
      </c>
      <c r="K42" s="2072"/>
      <c r="L42" s="422"/>
    </row>
    <row r="43" spans="2:12">
      <c r="B43" s="426"/>
      <c r="C43" s="393"/>
      <c r="D43" s="126" t="s">
        <v>908</v>
      </c>
      <c r="E43" s="126"/>
      <c r="F43" s="126"/>
      <c r="G43" s="126"/>
      <c r="H43" s="127"/>
      <c r="I43" s="800">
        <f>'6A'!K53</f>
        <v>50000</v>
      </c>
      <c r="J43" s="2071" t="s">
        <v>974</v>
      </c>
      <c r="K43" s="2072"/>
      <c r="L43" s="422"/>
    </row>
    <row r="44" spans="2:12">
      <c r="B44" s="426"/>
      <c r="C44" s="393"/>
      <c r="D44" s="126" t="s">
        <v>909</v>
      </c>
      <c r="E44" s="126"/>
      <c r="F44" s="126"/>
      <c r="G44" s="126"/>
      <c r="H44" s="127"/>
      <c r="I44" s="800">
        <f>'6A'!K54</f>
        <v>15000</v>
      </c>
      <c r="J44" s="2071" t="s">
        <v>975</v>
      </c>
      <c r="K44" s="2072"/>
      <c r="L44" s="422"/>
    </row>
    <row r="45" spans="2:12">
      <c r="B45" s="426"/>
      <c r="C45" s="393"/>
      <c r="D45" s="126" t="s">
        <v>910</v>
      </c>
      <c r="E45" s="126"/>
      <c r="F45" s="126"/>
      <c r="G45" s="126"/>
      <c r="H45" s="127"/>
      <c r="I45" s="800">
        <f>'6A'!K55</f>
        <v>25000</v>
      </c>
      <c r="J45" s="2071" t="s">
        <v>972</v>
      </c>
      <c r="K45" s="2072"/>
      <c r="L45" s="422"/>
    </row>
    <row r="46" spans="2:12">
      <c r="B46" s="426"/>
      <c r="C46" s="393"/>
      <c r="D46" s="126" t="s">
        <v>911</v>
      </c>
      <c r="E46" s="126"/>
      <c r="F46" s="126"/>
      <c r="G46" s="126"/>
      <c r="H46" s="127"/>
      <c r="I46" s="800">
        <f>'6A'!K56</f>
        <v>15000</v>
      </c>
      <c r="J46" s="2071" t="s">
        <v>976</v>
      </c>
      <c r="K46" s="2072"/>
      <c r="L46" s="422"/>
    </row>
    <row r="47" spans="2:12">
      <c r="B47" s="426"/>
      <c r="C47" s="393"/>
      <c r="D47" s="126" t="s">
        <v>912</v>
      </c>
      <c r="E47" s="126"/>
      <c r="F47" s="126"/>
      <c r="G47" s="126"/>
      <c r="H47" s="127"/>
      <c r="I47" s="800">
        <f>'6A'!K57</f>
        <v>0</v>
      </c>
      <c r="J47" s="2071"/>
      <c r="K47" s="2072"/>
      <c r="L47" s="422"/>
    </row>
    <row r="48" spans="2:12">
      <c r="B48" s="426"/>
      <c r="C48" s="393"/>
      <c r="D48" s="126" t="s">
        <v>913</v>
      </c>
      <c r="E48" s="126"/>
      <c r="F48" s="126"/>
      <c r="G48" s="126"/>
      <c r="H48" s="127"/>
      <c r="I48" s="800">
        <f ca="1">'6A'!K58</f>
        <v>2092434.0688246025</v>
      </c>
      <c r="J48" s="2071" t="s">
        <v>977</v>
      </c>
      <c r="K48" s="2072"/>
      <c r="L48" s="422"/>
    </row>
    <row r="49" spans="2:12">
      <c r="B49" s="426"/>
      <c r="C49" s="393"/>
      <c r="D49" s="126" t="s">
        <v>914</v>
      </c>
      <c r="E49" s="126"/>
      <c r="F49" s="126"/>
      <c r="G49" s="126"/>
      <c r="H49" s="127"/>
      <c r="I49" s="800">
        <f>'6A'!K59</f>
        <v>0</v>
      </c>
      <c r="J49" s="2071"/>
      <c r="K49" s="2072"/>
      <c r="L49" s="422"/>
    </row>
    <row r="50" spans="2:12">
      <c r="B50" s="426"/>
      <c r="C50" s="393"/>
      <c r="D50" s="126" t="s">
        <v>915</v>
      </c>
      <c r="E50" s="126"/>
      <c r="F50" s="126"/>
      <c r="G50" s="126"/>
      <c r="H50" s="127"/>
      <c r="I50" s="800">
        <f>'6A'!K60</f>
        <v>50000</v>
      </c>
      <c r="J50" s="2071" t="s">
        <v>978</v>
      </c>
      <c r="K50" s="2072"/>
      <c r="L50" s="422"/>
    </row>
    <row r="51" spans="2:12">
      <c r="B51" s="426"/>
      <c r="C51" s="428"/>
      <c r="D51" s="79" t="s">
        <v>916</v>
      </c>
      <c r="E51" s="79"/>
      <c r="F51" s="79"/>
      <c r="G51" s="79"/>
      <c r="H51" s="79"/>
      <c r="I51" s="800">
        <f>'6A'!K61</f>
        <v>50000</v>
      </c>
      <c r="J51" s="2071"/>
      <c r="K51" s="2072"/>
      <c r="L51" s="422"/>
    </row>
    <row r="52" spans="2:12" ht="15" thickBot="1">
      <c r="B52" s="426"/>
      <c r="C52" s="393"/>
      <c r="D52" s="126" t="s">
        <v>66</v>
      </c>
      <c r="E52" s="126"/>
      <c r="F52" s="126"/>
      <c r="G52" s="126"/>
      <c r="H52" s="127"/>
      <c r="I52" s="801">
        <f>'6A'!K62</f>
        <v>0</v>
      </c>
      <c r="J52" s="2073"/>
      <c r="K52" s="2074"/>
      <c r="L52" s="422"/>
    </row>
    <row r="53" spans="2:12" ht="3.75" customHeight="1">
      <c r="B53" s="426"/>
      <c r="C53" s="43"/>
      <c r="D53" s="44"/>
      <c r="E53" s="44"/>
      <c r="F53" s="40"/>
      <c r="G53" s="40"/>
      <c r="H53" s="40"/>
      <c r="I53" s="35"/>
      <c r="J53" s="35"/>
      <c r="K53" s="423"/>
      <c r="L53" s="422"/>
    </row>
    <row r="54" spans="2:12" ht="15" thickBot="1">
      <c r="B54" s="426"/>
      <c r="C54" s="2437" t="s">
        <v>917</v>
      </c>
      <c r="D54" s="2438"/>
      <c r="E54" s="2438"/>
      <c r="F54" s="2439"/>
      <c r="G54" s="2439"/>
      <c r="H54" s="2439"/>
      <c r="I54" s="35"/>
      <c r="J54" s="35"/>
      <c r="K54" s="393"/>
      <c r="L54" s="422"/>
    </row>
    <row r="55" spans="2:12">
      <c r="B55" s="426"/>
      <c r="C55" s="393"/>
      <c r="D55" s="2418" t="s">
        <v>918</v>
      </c>
      <c r="E55" s="2418"/>
      <c r="F55" s="2418"/>
      <c r="G55" s="2418"/>
      <c r="H55" s="125"/>
      <c r="I55" s="799">
        <f>'6A'!K66</f>
        <v>53506.5</v>
      </c>
      <c r="J55" s="2075" t="s">
        <v>979</v>
      </c>
      <c r="K55" s="2076"/>
      <c r="L55" s="422"/>
    </row>
    <row r="56" spans="2:12" ht="15" thickBot="1">
      <c r="B56" s="426"/>
      <c r="C56" s="393"/>
      <c r="D56" s="126" t="s">
        <v>919</v>
      </c>
      <c r="E56" s="126"/>
      <c r="F56" s="126"/>
      <c r="G56" s="126"/>
      <c r="H56" s="127"/>
      <c r="I56" s="801">
        <f>'6A'!K67</f>
        <v>307000</v>
      </c>
      <c r="J56" s="2073" t="s">
        <v>980</v>
      </c>
      <c r="K56" s="2074"/>
      <c r="L56" s="422"/>
    </row>
    <row r="57" spans="2:12" ht="9" customHeight="1" thickBot="1">
      <c r="B57" s="429"/>
      <c r="C57" s="53"/>
      <c r="D57" s="54"/>
      <c r="E57" s="54"/>
      <c r="F57" s="53"/>
      <c r="G57" s="53"/>
      <c r="H57" s="53"/>
      <c r="I57" s="37"/>
      <c r="J57" s="37"/>
      <c r="K57" s="430"/>
      <c r="L57" s="431"/>
    </row>
    <row r="58" spans="2:12" ht="15" thickBot="1">
      <c r="B58" s="426"/>
      <c r="C58" s="2437" t="s">
        <v>920</v>
      </c>
      <c r="D58" s="2438"/>
      <c r="E58" s="2438"/>
      <c r="F58" s="2439"/>
      <c r="G58" s="2439"/>
      <c r="H58" s="2439"/>
      <c r="I58" s="35"/>
      <c r="J58" s="35"/>
      <c r="K58" s="393"/>
      <c r="L58" s="422"/>
    </row>
    <row r="59" spans="2:12">
      <c r="B59" s="426"/>
      <c r="C59" s="393"/>
      <c r="D59" s="2418" t="s">
        <v>921</v>
      </c>
      <c r="E59" s="2418"/>
      <c r="F59" s="2418"/>
      <c r="G59" s="2418"/>
      <c r="H59" s="125"/>
      <c r="I59" s="799">
        <f>'6A'!K71</f>
        <v>100200</v>
      </c>
      <c r="J59" s="2075" t="s">
        <v>981</v>
      </c>
      <c r="K59" s="2076"/>
      <c r="L59" s="432"/>
    </row>
    <row r="60" spans="2:12">
      <c r="B60" s="426"/>
      <c r="C60" s="393"/>
      <c r="D60" s="126" t="s">
        <v>922</v>
      </c>
      <c r="E60" s="126"/>
      <c r="F60" s="126"/>
      <c r="G60" s="126"/>
      <c r="H60" s="127"/>
      <c r="I60" s="800">
        <f>'6A'!K72</f>
        <v>0</v>
      </c>
      <c r="J60" s="2071"/>
      <c r="K60" s="2072"/>
      <c r="L60" s="422"/>
    </row>
    <row r="61" spans="2:12">
      <c r="B61" s="426"/>
      <c r="C61" s="393"/>
      <c r="D61" s="126" t="s">
        <v>923</v>
      </c>
      <c r="E61" s="126"/>
      <c r="F61" s="126"/>
      <c r="G61" s="126"/>
      <c r="H61" s="127"/>
      <c r="I61" s="800">
        <f>'6A'!K73</f>
        <v>50000</v>
      </c>
      <c r="J61" s="2071" t="s">
        <v>982</v>
      </c>
      <c r="K61" s="2072"/>
      <c r="L61" s="422"/>
    </row>
    <row r="62" spans="2:12">
      <c r="B62" s="426"/>
      <c r="C62" s="393"/>
      <c r="D62" s="126" t="s">
        <v>924</v>
      </c>
      <c r="E62" s="126"/>
      <c r="F62" s="126"/>
      <c r="G62" s="126"/>
      <c r="H62" s="127"/>
      <c r="I62" s="800">
        <f>'6A'!K74</f>
        <v>78305</v>
      </c>
      <c r="J62" s="2071" t="s">
        <v>983</v>
      </c>
      <c r="K62" s="2072"/>
      <c r="L62" s="422"/>
    </row>
    <row r="63" spans="2:12" ht="15" thickBot="1">
      <c r="B63" s="426"/>
      <c r="C63" s="393"/>
      <c r="D63" s="126" t="s">
        <v>925</v>
      </c>
      <c r="E63" s="126"/>
      <c r="F63" s="126"/>
      <c r="G63" s="126"/>
      <c r="H63" s="127"/>
      <c r="I63" s="801">
        <f>'6A'!K75</f>
        <v>230798</v>
      </c>
      <c r="J63" s="2071" t="s">
        <v>984</v>
      </c>
      <c r="K63" s="2072"/>
      <c r="L63" s="422"/>
    </row>
    <row r="64" spans="2:12" ht="4.5" customHeight="1">
      <c r="B64" s="426"/>
      <c r="C64" s="40"/>
      <c r="D64" s="44"/>
      <c r="E64" s="44"/>
      <c r="F64" s="40"/>
      <c r="G64" s="40"/>
      <c r="H64" s="40"/>
      <c r="I64" s="35"/>
      <c r="J64" s="35"/>
      <c r="K64" s="423"/>
      <c r="L64" s="422"/>
    </row>
    <row r="65" spans="2:12" ht="15" thickBot="1">
      <c r="B65" s="426"/>
      <c r="C65" s="2437" t="s">
        <v>926</v>
      </c>
      <c r="D65" s="2438"/>
      <c r="E65" s="2438"/>
      <c r="F65" s="2439"/>
      <c r="G65" s="2439"/>
      <c r="H65" s="2439"/>
      <c r="I65" s="35"/>
      <c r="J65" s="35"/>
      <c r="K65" s="393"/>
      <c r="L65" s="422"/>
    </row>
    <row r="66" spans="2:12">
      <c r="B66" s="426"/>
      <c r="C66" s="393"/>
      <c r="D66" s="2418" t="s">
        <v>927</v>
      </c>
      <c r="E66" s="2418"/>
      <c r="F66" s="2418"/>
      <c r="G66" s="2418"/>
      <c r="H66" s="125"/>
      <c r="I66" s="799">
        <f>'6A'!K79</f>
        <v>135207.41999999998</v>
      </c>
      <c r="J66" s="2075" t="s">
        <v>985</v>
      </c>
      <c r="K66" s="2076"/>
      <c r="L66" s="422"/>
    </row>
    <row r="67" spans="2:12">
      <c r="B67" s="426"/>
      <c r="C67" s="393"/>
      <c r="D67" s="126" t="s">
        <v>928</v>
      </c>
      <c r="E67" s="126"/>
      <c r="F67" s="126"/>
      <c r="G67" s="126"/>
      <c r="H67" s="127"/>
      <c r="I67" s="800">
        <f>'6A'!K80</f>
        <v>0</v>
      </c>
      <c r="J67" s="2071"/>
      <c r="K67" s="2072"/>
      <c r="L67" s="422"/>
    </row>
    <row r="68" spans="2:12">
      <c r="B68" s="426"/>
      <c r="C68" s="393"/>
      <c r="D68" s="126" t="s">
        <v>929</v>
      </c>
      <c r="E68" s="126"/>
      <c r="F68" s="126"/>
      <c r="G68" s="126"/>
      <c r="H68" s="127"/>
      <c r="I68" s="800">
        <f>'6A'!K81</f>
        <v>18000</v>
      </c>
      <c r="J68" s="2071" t="s">
        <v>986</v>
      </c>
      <c r="K68" s="2072"/>
      <c r="L68" s="422"/>
    </row>
    <row r="69" spans="2:12">
      <c r="B69" s="426"/>
      <c r="C69" s="393"/>
      <c r="D69" s="126" t="s">
        <v>930</v>
      </c>
      <c r="E69" s="126"/>
      <c r="F69" s="126"/>
      <c r="G69" s="126"/>
      <c r="H69" s="127"/>
      <c r="I69" s="800">
        <f>'6A'!K82</f>
        <v>115000</v>
      </c>
      <c r="J69" s="2071" t="s">
        <v>987</v>
      </c>
      <c r="K69" s="2072"/>
      <c r="L69" s="422"/>
    </row>
    <row r="70" spans="2:12">
      <c r="B70" s="426"/>
      <c r="C70" s="393"/>
      <c r="D70" s="126" t="s">
        <v>931</v>
      </c>
      <c r="E70" s="126"/>
      <c r="F70" s="126"/>
      <c r="G70" s="126"/>
      <c r="H70" s="127"/>
      <c r="I70" s="800">
        <f>'6A'!K83</f>
        <v>50000</v>
      </c>
      <c r="J70" s="2071" t="s">
        <v>972</v>
      </c>
      <c r="K70" s="2072"/>
      <c r="L70" s="422"/>
    </row>
    <row r="71" spans="2:12">
      <c r="B71" s="426"/>
      <c r="C71" s="393"/>
      <c r="D71" s="126" t="s">
        <v>932</v>
      </c>
      <c r="E71" s="126"/>
      <c r="F71" s="126"/>
      <c r="G71" s="126"/>
      <c r="H71" s="127"/>
      <c r="I71" s="800">
        <f>'6A'!K84</f>
        <v>18000</v>
      </c>
      <c r="J71" s="2071" t="s">
        <v>972</v>
      </c>
      <c r="K71" s="2072"/>
      <c r="L71" s="422"/>
    </row>
    <row r="72" spans="2:12">
      <c r="B72" s="426"/>
      <c r="C72" s="393"/>
      <c r="D72" s="126" t="s">
        <v>933</v>
      </c>
      <c r="E72" s="126"/>
      <c r="F72" s="126"/>
      <c r="G72" s="126"/>
      <c r="H72" s="127"/>
      <c r="I72" s="800">
        <f>'6A'!K85</f>
        <v>60000</v>
      </c>
      <c r="J72" s="2071" t="s">
        <v>988</v>
      </c>
      <c r="K72" s="2072"/>
      <c r="L72" s="422"/>
    </row>
    <row r="73" spans="2:12" ht="15" thickBot="1">
      <c r="B73" s="426"/>
      <c r="C73" s="393"/>
      <c r="D73" s="126" t="s">
        <v>66</v>
      </c>
      <c r="E73" s="126"/>
      <c r="F73" s="126"/>
      <c r="G73" s="126"/>
      <c r="H73" s="127"/>
      <c r="I73" s="801">
        <f>'6A'!K86</f>
        <v>0</v>
      </c>
      <c r="J73" s="2073"/>
      <c r="K73" s="2074"/>
      <c r="L73" s="422"/>
    </row>
    <row r="74" spans="2:12" ht="3.75" customHeight="1">
      <c r="B74" s="426"/>
      <c r="C74" s="43"/>
      <c r="D74" s="44"/>
      <c r="E74" s="44"/>
      <c r="F74" s="40"/>
      <c r="G74" s="40"/>
      <c r="H74" s="40"/>
      <c r="I74" s="35"/>
      <c r="J74" s="35"/>
      <c r="K74" s="423"/>
      <c r="L74" s="422"/>
    </row>
    <row r="75" spans="2:12" ht="15" thickBot="1">
      <c r="B75" s="426"/>
      <c r="C75" s="2437" t="s">
        <v>934</v>
      </c>
      <c r="D75" s="2438"/>
      <c r="E75" s="2438"/>
      <c r="F75" s="2439"/>
      <c r="G75" s="2439"/>
      <c r="H75" s="2439"/>
      <c r="I75" s="38"/>
      <c r="J75" s="132"/>
      <c r="K75" s="346"/>
      <c r="L75" s="422"/>
    </row>
    <row r="76" spans="2:12">
      <c r="B76" s="426"/>
      <c r="C76" s="393"/>
      <c r="D76" s="2418" t="s">
        <v>935</v>
      </c>
      <c r="E76" s="2418"/>
      <c r="F76" s="2418"/>
      <c r="G76" s="2418"/>
      <c r="H76" s="125"/>
      <c r="I76" s="799">
        <f>'6A'!K90</f>
        <v>754709</v>
      </c>
      <c r="J76" s="2075" t="s">
        <v>989</v>
      </c>
      <c r="K76" s="2076"/>
      <c r="L76" s="422"/>
    </row>
    <row r="77" spans="2:12">
      <c r="B77" s="426"/>
      <c r="C77" s="393"/>
      <c r="D77" s="126" t="s">
        <v>936</v>
      </c>
      <c r="E77" s="126"/>
      <c r="F77" s="126"/>
      <c r="G77" s="126"/>
      <c r="H77" s="127"/>
      <c r="I77" s="800">
        <f>'6A'!K91</f>
        <v>300000</v>
      </c>
      <c r="J77" s="2071" t="s">
        <v>990</v>
      </c>
      <c r="K77" s="2072"/>
      <c r="L77" s="422"/>
    </row>
    <row r="78" spans="2:12" ht="15" thickBot="1">
      <c r="B78" s="426"/>
      <c r="C78" s="393"/>
      <c r="D78" s="126" t="s">
        <v>991</v>
      </c>
      <c r="E78" s="126"/>
      <c r="F78" s="126"/>
      <c r="G78" s="126"/>
      <c r="H78" s="127"/>
      <c r="I78" s="801">
        <f>'6A'!K92</f>
        <v>0</v>
      </c>
      <c r="J78" s="2073"/>
      <c r="K78" s="2074"/>
      <c r="L78" s="422"/>
    </row>
    <row r="79" spans="2:12" ht="3.75" customHeight="1">
      <c r="B79" s="426"/>
      <c r="C79" s="43"/>
      <c r="D79" s="44"/>
      <c r="E79" s="44"/>
      <c r="F79" s="40"/>
      <c r="G79" s="40"/>
      <c r="H79" s="40"/>
      <c r="I79" s="35"/>
      <c r="J79" s="35"/>
      <c r="K79" s="423"/>
      <c r="L79" s="422"/>
    </row>
    <row r="80" spans="2:12" ht="15" thickBot="1">
      <c r="B80" s="426"/>
      <c r="C80" s="2437" t="s">
        <v>937</v>
      </c>
      <c r="D80" s="2438"/>
      <c r="E80" s="2438"/>
      <c r="F80" s="2439"/>
      <c r="G80" s="2439"/>
      <c r="H80" s="2439"/>
      <c r="I80" s="38"/>
      <c r="J80" s="132"/>
      <c r="K80" s="346"/>
      <c r="L80" s="422"/>
    </row>
    <row r="81" spans="2:12">
      <c r="B81" s="426"/>
      <c r="C81" s="393"/>
      <c r="D81" s="2418" t="s">
        <v>938</v>
      </c>
      <c r="E81" s="2418"/>
      <c r="F81" s="2418"/>
      <c r="G81" s="2418"/>
      <c r="H81" s="125"/>
      <c r="I81" s="799">
        <f>'6A'!K96</f>
        <v>47673.594649999999</v>
      </c>
      <c r="J81" s="2075" t="s">
        <v>992</v>
      </c>
      <c r="K81" s="2076"/>
      <c r="L81" s="422"/>
    </row>
    <row r="82" spans="2:12">
      <c r="B82" s="426"/>
      <c r="C82" s="393"/>
      <c r="D82" s="126" t="s">
        <v>939</v>
      </c>
      <c r="E82" s="126"/>
      <c r="F82" s="126"/>
      <c r="G82" s="126"/>
      <c r="H82" s="127"/>
      <c r="I82" s="800">
        <f>'6A'!K97</f>
        <v>45372.636657529998</v>
      </c>
      <c r="J82" s="2071" t="s">
        <v>993</v>
      </c>
      <c r="K82" s="2072"/>
      <c r="L82" s="422"/>
    </row>
    <row r="83" spans="2:12">
      <c r="B83" s="426"/>
      <c r="C83" s="393"/>
      <c r="D83" s="126" t="s">
        <v>486</v>
      </c>
      <c r="E83" s="126"/>
      <c r="F83" s="126"/>
      <c r="G83" s="126"/>
      <c r="H83" s="127"/>
      <c r="I83" s="800">
        <f>'6A'!K98</f>
        <v>70000</v>
      </c>
      <c r="J83" s="2071" t="s">
        <v>994</v>
      </c>
      <c r="K83" s="2072"/>
      <c r="L83" s="422"/>
    </row>
    <row r="84" spans="2:12">
      <c r="B84" s="426"/>
      <c r="C84" s="393"/>
      <c r="D84" s="126" t="s">
        <v>940</v>
      </c>
      <c r="E84" s="126"/>
      <c r="F84" s="126"/>
      <c r="G84" s="126"/>
      <c r="H84" s="127"/>
      <c r="I84" s="800">
        <f>'6A'!K99</f>
        <v>6000</v>
      </c>
      <c r="J84" s="2071" t="s">
        <v>986</v>
      </c>
      <c r="K84" s="2072"/>
      <c r="L84" s="422"/>
    </row>
    <row r="85" spans="2:12">
      <c r="B85" s="426"/>
      <c r="C85" s="393"/>
      <c r="D85" s="126" t="s">
        <v>941</v>
      </c>
      <c r="E85" s="126"/>
      <c r="F85" s="126"/>
      <c r="G85" s="126"/>
      <c r="H85" s="127"/>
      <c r="I85" s="800">
        <f>'6A'!K100</f>
        <v>828947.95000000007</v>
      </c>
      <c r="J85" s="2071" t="s">
        <v>995</v>
      </c>
      <c r="K85" s="2072"/>
      <c r="L85" s="422"/>
    </row>
    <row r="86" spans="2:12">
      <c r="B86" s="426"/>
      <c r="C86" s="393"/>
      <c r="D86" s="126" t="s">
        <v>942</v>
      </c>
      <c r="E86" s="126"/>
      <c r="F86" s="126"/>
      <c r="G86" s="126"/>
      <c r="H86" s="127"/>
      <c r="I86" s="800">
        <f>'6A'!K101</f>
        <v>0</v>
      </c>
      <c r="J86" s="2071" t="s">
        <v>996</v>
      </c>
      <c r="K86" s="2072"/>
      <c r="L86" s="422"/>
    </row>
    <row r="87" spans="2:12">
      <c r="B87" s="426"/>
      <c r="C87" s="393"/>
      <c r="D87" s="126" t="s">
        <v>943</v>
      </c>
      <c r="E87" s="126"/>
      <c r="F87" s="126"/>
      <c r="G87" s="126"/>
      <c r="H87" s="127"/>
      <c r="I87" s="800">
        <f>'6A'!K102</f>
        <v>3500</v>
      </c>
      <c r="J87" s="2071" t="s">
        <v>997</v>
      </c>
      <c r="K87" s="2072"/>
      <c r="L87" s="422"/>
    </row>
    <row r="88" spans="2:12">
      <c r="B88" s="426"/>
      <c r="C88" s="393"/>
      <c r="D88" s="126" t="s">
        <v>944</v>
      </c>
      <c r="E88" s="126"/>
      <c r="F88" s="126"/>
      <c r="G88" s="126"/>
      <c r="H88" s="127"/>
      <c r="I88" s="800">
        <f>'6A'!K103</f>
        <v>25000</v>
      </c>
      <c r="J88" s="2071" t="s">
        <v>998</v>
      </c>
      <c r="K88" s="2072"/>
      <c r="L88" s="422"/>
    </row>
    <row r="89" spans="2:12">
      <c r="B89" s="426"/>
      <c r="C89" s="393"/>
      <c r="D89" s="126" t="s">
        <v>945</v>
      </c>
      <c r="E89" s="126"/>
      <c r="F89" s="126"/>
      <c r="G89" s="126"/>
      <c r="H89" s="127"/>
      <c r="I89" s="800">
        <f>'6A'!K104</f>
        <v>15000</v>
      </c>
      <c r="J89" s="2071" t="s">
        <v>999</v>
      </c>
      <c r="K89" s="2072"/>
      <c r="L89" s="422"/>
    </row>
    <row r="90" spans="2:12">
      <c r="B90" s="426"/>
      <c r="C90" s="393"/>
      <c r="D90" s="126" t="s">
        <v>946</v>
      </c>
      <c r="E90" s="126"/>
      <c r="F90" s="126"/>
      <c r="G90" s="126"/>
      <c r="H90" s="127"/>
      <c r="I90" s="800">
        <f>'6A'!K105</f>
        <v>0</v>
      </c>
      <c r="J90" s="2071" t="s">
        <v>1000</v>
      </c>
      <c r="K90" s="2072"/>
      <c r="L90" s="422"/>
    </row>
    <row r="91" spans="2:12" ht="15" thickBot="1">
      <c r="B91" s="426"/>
      <c r="C91" s="393"/>
      <c r="D91" s="126" t="s">
        <v>1001</v>
      </c>
      <c r="E91" s="126"/>
      <c r="F91" s="126"/>
      <c r="G91" s="126"/>
      <c r="H91" s="127"/>
      <c r="I91" s="801">
        <f>'6A'!K106</f>
        <v>50000</v>
      </c>
      <c r="J91" s="2073" t="s">
        <v>999</v>
      </c>
      <c r="K91" s="2074"/>
      <c r="L91" s="422"/>
    </row>
    <row r="92" spans="2:12" ht="3.75" customHeight="1">
      <c r="B92" s="426"/>
      <c r="C92" s="43"/>
      <c r="D92" s="44"/>
      <c r="E92" s="44"/>
      <c r="F92" s="40"/>
      <c r="G92" s="40"/>
      <c r="H92" s="40"/>
      <c r="I92" s="35"/>
      <c r="J92" s="35"/>
      <c r="K92" s="346"/>
      <c r="L92" s="422"/>
    </row>
    <row r="93" spans="2:12" ht="15" thickBot="1">
      <c r="B93" s="426"/>
      <c r="C93" s="2437" t="s">
        <v>948</v>
      </c>
      <c r="D93" s="2438"/>
      <c r="E93" s="2438"/>
      <c r="F93" s="2439"/>
      <c r="G93" s="2439"/>
      <c r="H93" s="2439"/>
      <c r="I93" s="35"/>
      <c r="J93" s="35"/>
      <c r="K93" s="427"/>
      <c r="L93" s="433"/>
    </row>
    <row r="94" spans="2:12">
      <c r="B94" s="426"/>
      <c r="C94" s="434"/>
      <c r="D94" s="2418" t="s">
        <v>949</v>
      </c>
      <c r="E94" s="2418"/>
      <c r="F94" s="2418"/>
      <c r="G94" s="2418"/>
      <c r="H94" s="125"/>
      <c r="I94" s="799">
        <f>'6A'!K111</f>
        <v>0</v>
      </c>
      <c r="J94" s="2075"/>
      <c r="K94" s="2076"/>
      <c r="L94" s="433"/>
    </row>
    <row r="95" spans="2:12">
      <c r="B95" s="426"/>
      <c r="C95" s="434"/>
      <c r="D95" s="126" t="s">
        <v>950</v>
      </c>
      <c r="E95" s="126"/>
      <c r="F95" s="126"/>
      <c r="G95" s="126"/>
      <c r="H95" s="127"/>
      <c r="I95" s="800">
        <f>'6A'!K112</f>
        <v>0</v>
      </c>
      <c r="J95" s="2071"/>
      <c r="K95" s="2072"/>
      <c r="L95" s="433"/>
    </row>
    <row r="96" spans="2:12">
      <c r="B96" s="426"/>
      <c r="C96" s="393"/>
      <c r="D96" s="126" t="s">
        <v>951</v>
      </c>
      <c r="E96" s="126"/>
      <c r="F96" s="126"/>
      <c r="G96" s="126"/>
      <c r="H96" s="127"/>
      <c r="I96" s="800">
        <f>'6A'!K113</f>
        <v>0</v>
      </c>
      <c r="J96" s="2071"/>
      <c r="K96" s="2072"/>
      <c r="L96" s="422"/>
    </row>
    <row r="97" spans="2:12">
      <c r="B97" s="426"/>
      <c r="C97" s="393"/>
      <c r="D97" s="126" t="s">
        <v>952</v>
      </c>
      <c r="E97" s="126"/>
      <c r="F97" s="126"/>
      <c r="G97" s="126"/>
      <c r="H97" s="127"/>
      <c r="I97" s="800">
        <f>'6A'!K114</f>
        <v>0</v>
      </c>
      <c r="J97" s="2071"/>
      <c r="K97" s="2072"/>
      <c r="L97" s="422"/>
    </row>
    <row r="98" spans="2:12">
      <c r="B98" s="426"/>
      <c r="C98" s="393"/>
      <c r="D98" s="126" t="s">
        <v>953</v>
      </c>
      <c r="E98" s="126"/>
      <c r="F98" s="126"/>
      <c r="G98" s="126"/>
      <c r="H98" s="127"/>
      <c r="I98" s="800">
        <f>'6A'!K115</f>
        <v>0</v>
      </c>
      <c r="J98" s="2071"/>
      <c r="K98" s="2072"/>
      <c r="L98" s="422"/>
    </row>
    <row r="99" spans="2:12">
      <c r="B99" s="426"/>
      <c r="C99" s="393"/>
      <c r="D99" s="126" t="s">
        <v>954</v>
      </c>
      <c r="E99" s="126"/>
      <c r="F99" s="126"/>
      <c r="G99" s="126"/>
      <c r="H99" s="127"/>
      <c r="I99" s="800">
        <f>'6A'!K116</f>
        <v>0</v>
      </c>
      <c r="J99" s="2071"/>
      <c r="K99" s="2072"/>
      <c r="L99" s="422"/>
    </row>
    <row r="100" spans="2:12" ht="15" thickBot="1">
      <c r="B100" s="426"/>
      <c r="C100" s="393"/>
      <c r="D100" s="126" t="s">
        <v>955</v>
      </c>
      <c r="E100" s="126"/>
      <c r="F100" s="126"/>
      <c r="G100" s="126"/>
      <c r="H100" s="127"/>
      <c r="I100" s="801">
        <f>'6A'!K117</f>
        <v>0</v>
      </c>
      <c r="J100" s="2073"/>
      <c r="K100" s="2074"/>
      <c r="L100" s="422"/>
    </row>
    <row r="101" spans="2:12" ht="15" thickBot="1">
      <c r="B101" s="429"/>
      <c r="C101" s="33"/>
      <c r="D101" s="435"/>
      <c r="E101" s="435"/>
      <c r="F101" s="33"/>
      <c r="G101" s="33"/>
      <c r="H101" s="33"/>
      <c r="I101" s="34"/>
      <c r="J101" s="34"/>
      <c r="K101" s="430"/>
      <c r="L101" s="431"/>
    </row>
    <row r="102" spans="2:12">
      <c r="I102" s="417"/>
    </row>
  </sheetData>
  <sheetProtection algorithmName="SHA-512" hashValue="1vnqvKjdrWrrt4/V8R3Yt9tWjtRSxglHRzzQvE7tcWMZXmZA/FtAFeDHGnBsEOSn/1ny60eDt1GWAF/Os42pRA==" saltValue="nSEOX8QW51UjdTid/Q8z0w=="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9:L123"/>
  <sheetViews>
    <sheetView showGridLines="0" topLeftCell="A12" zoomScaleNormal="100" workbookViewId="0" xr3:uid="{F1CDC194-CB96-5A2D-8E84-222F42300CFA}">
      <selection activeCell="M13" sqref="M13"/>
    </sheetView>
  </sheetViews>
  <sheetFormatPr defaultColWidth="9.140625" defaultRowHeight="14.45"/>
  <cols>
    <col min="1" max="2" width="1.7109375" style="335" customWidth="1"/>
    <col min="3" max="3" width="2.85546875" style="335" customWidth="1"/>
    <col min="4" max="4" width="5.7109375" style="335" customWidth="1"/>
    <col min="5" max="5" width="8.5703125" style="335" customWidth="1"/>
    <col min="6" max="6" width="12.85546875" style="335" customWidth="1"/>
    <col min="7" max="7" width="10.7109375" style="335" customWidth="1"/>
    <col min="8" max="8" width="0.7109375" style="335" customWidth="1"/>
    <col min="9" max="9" width="20" style="335" customWidth="1"/>
    <col min="10" max="10" width="11.42578125" style="335" customWidth="1"/>
    <col min="11" max="11" width="12.140625" style="335" customWidth="1"/>
    <col min="12" max="12" width="1.7109375" style="335" customWidth="1"/>
    <col min="13" max="16384" width="9.140625" style="335"/>
  </cols>
  <sheetData>
    <row r="9" spans="2:12" ht="15" thickBot="1"/>
    <row r="10" spans="2:12">
      <c r="B10" s="436"/>
      <c r="C10" s="437"/>
      <c r="D10" s="437"/>
      <c r="E10" s="437"/>
      <c r="F10" s="437"/>
      <c r="G10" s="437"/>
      <c r="H10" s="437"/>
      <c r="I10" s="437"/>
      <c r="J10" s="437"/>
      <c r="K10" s="437"/>
      <c r="L10" s="438"/>
    </row>
    <row r="11" spans="2:12" ht="18.600000000000001">
      <c r="B11" s="439"/>
      <c r="C11" s="2047" t="s">
        <v>1002</v>
      </c>
      <c r="D11" s="2047"/>
      <c r="E11" s="2047"/>
      <c r="F11" s="2047"/>
      <c r="G11" s="2047"/>
      <c r="H11" s="2047"/>
      <c r="I11" s="2047"/>
      <c r="J11" s="2047"/>
      <c r="K11" s="2047"/>
      <c r="L11" s="440"/>
    </row>
    <row r="12" spans="2:12">
      <c r="B12" s="439"/>
      <c r="C12" s="346"/>
      <c r="D12" s="346"/>
      <c r="E12" s="346"/>
      <c r="F12" s="346"/>
      <c r="G12" s="346"/>
      <c r="H12" s="346"/>
      <c r="I12" s="346"/>
      <c r="J12" s="346"/>
      <c r="K12" s="346"/>
      <c r="L12" s="440"/>
    </row>
    <row r="13" spans="2:12" ht="15" thickBot="1">
      <c r="B13" s="439"/>
      <c r="C13" s="2003" t="str">
        <f>IF('1'!G5="","Enter Project Name on Form 1",(CONCATENATE("Project Name: ",'1'!G5)))</f>
        <v>Project Name: DESC 22nd Avenue PSH</v>
      </c>
      <c r="D13" s="2003"/>
      <c r="E13" s="2003"/>
      <c r="F13" s="2003"/>
      <c r="G13" s="2003"/>
      <c r="H13" s="2003"/>
      <c r="I13" s="2003"/>
      <c r="J13" s="2003"/>
      <c r="K13" s="2003"/>
      <c r="L13" s="440"/>
    </row>
    <row r="14" spans="2:12" ht="15" thickBot="1">
      <c r="B14" s="120"/>
      <c r="C14" s="346"/>
      <c r="D14" s="56"/>
      <c r="E14" s="56"/>
      <c r="F14" s="56"/>
      <c r="G14" s="56"/>
      <c r="H14" s="56"/>
      <c r="I14" s="56"/>
      <c r="J14" s="56"/>
      <c r="K14" s="346"/>
      <c r="L14" s="440"/>
    </row>
    <row r="15" spans="2:12">
      <c r="B15" s="120"/>
      <c r="C15" s="61"/>
      <c r="D15" s="61"/>
      <c r="E15" s="61"/>
      <c r="F15" s="61"/>
      <c r="G15" s="61"/>
      <c r="H15" s="61"/>
      <c r="I15" s="2410" t="s">
        <v>959</v>
      </c>
      <c r="J15" s="2411"/>
      <c r="K15" s="2440"/>
      <c r="L15" s="440"/>
    </row>
    <row r="16" spans="2:12">
      <c r="B16" s="120"/>
      <c r="C16" s="61"/>
      <c r="D16" s="61"/>
      <c r="E16" s="61"/>
      <c r="F16" s="61"/>
      <c r="G16" s="61"/>
      <c r="H16" s="61"/>
      <c r="I16" s="2096" t="s">
        <v>1003</v>
      </c>
      <c r="J16" s="2092" t="s">
        <v>1004</v>
      </c>
      <c r="K16" s="2441"/>
      <c r="L16" s="440"/>
    </row>
    <row r="17" spans="2:12">
      <c r="B17" s="120"/>
      <c r="C17" s="62"/>
      <c r="D17" s="41"/>
      <c r="E17" s="41"/>
      <c r="F17" s="63"/>
      <c r="G17" s="63"/>
      <c r="H17" s="63"/>
      <c r="I17" s="2096"/>
      <c r="J17" s="2093" t="s">
        <v>89</v>
      </c>
      <c r="K17" s="2098" t="s">
        <v>1005</v>
      </c>
      <c r="L17" s="440"/>
    </row>
    <row r="18" spans="2:12">
      <c r="B18" s="120"/>
      <c r="C18" s="41"/>
      <c r="D18" s="64"/>
      <c r="E18" s="64"/>
      <c r="F18" s="65"/>
      <c r="G18" s="65"/>
      <c r="H18" s="65"/>
      <c r="I18" s="2096"/>
      <c r="J18" s="2094"/>
      <c r="K18" s="2099"/>
      <c r="L18" s="440"/>
    </row>
    <row r="19" spans="2:12" ht="15" thickBot="1">
      <c r="B19" s="120"/>
      <c r="C19" s="41"/>
      <c r="D19" s="64"/>
      <c r="E19" s="64"/>
      <c r="F19" s="65"/>
      <c r="G19" s="65"/>
      <c r="H19" s="65"/>
      <c r="I19" s="2097"/>
      <c r="J19" s="2095"/>
      <c r="K19" s="2100"/>
      <c r="L19" s="440"/>
    </row>
    <row r="20" spans="2:12" ht="15" thickBot="1">
      <c r="B20" s="120"/>
      <c r="C20" s="2437" t="s">
        <v>880</v>
      </c>
      <c r="D20" s="2438"/>
      <c r="E20" s="2438"/>
      <c r="F20" s="2439"/>
      <c r="G20" s="2439"/>
      <c r="H20" s="2439"/>
      <c r="I20" s="73"/>
      <c r="J20" s="57"/>
      <c r="K20" s="346"/>
      <c r="L20" s="440"/>
    </row>
    <row r="21" spans="2:12">
      <c r="B21" s="120"/>
      <c r="C21" s="346"/>
      <c r="D21" s="79" t="s">
        <v>881</v>
      </c>
      <c r="E21" s="40"/>
      <c r="F21" s="41"/>
      <c r="G21" s="41"/>
      <c r="H21" s="41"/>
      <c r="I21" s="821">
        <f>'6A'!K22</f>
        <v>1950000</v>
      </c>
      <c r="J21" s="84"/>
      <c r="K21" s="85"/>
      <c r="L21" s="440"/>
    </row>
    <row r="22" spans="2:12">
      <c r="B22" s="120"/>
      <c r="C22" s="346"/>
      <c r="D22" s="79" t="s">
        <v>882</v>
      </c>
      <c r="E22" s="40"/>
      <c r="F22" s="41"/>
      <c r="G22" s="41"/>
      <c r="H22" s="41"/>
      <c r="I22" s="819">
        <f>'6A'!K23</f>
        <v>0</v>
      </c>
      <c r="J22" s="802"/>
      <c r="K22" s="86"/>
      <c r="L22" s="440"/>
    </row>
    <row r="23" spans="2:12">
      <c r="B23" s="120"/>
      <c r="C23" s="346"/>
      <c r="D23" s="78" t="s">
        <v>883</v>
      </c>
      <c r="E23" s="40"/>
      <c r="F23" s="42"/>
      <c r="G23" s="42"/>
      <c r="H23" s="42"/>
      <c r="I23" s="803">
        <f>'6A'!K24</f>
        <v>0</v>
      </c>
      <c r="J23" s="804"/>
      <c r="K23" s="86"/>
      <c r="L23" s="440"/>
    </row>
    <row r="24" spans="2:12">
      <c r="B24" s="120"/>
      <c r="C24" s="346"/>
      <c r="D24" s="78" t="s">
        <v>884</v>
      </c>
      <c r="E24" s="40"/>
      <c r="F24" s="42"/>
      <c r="G24" s="42"/>
      <c r="H24" s="42"/>
      <c r="I24" s="803">
        <f>'6A'!K25</f>
        <v>97500</v>
      </c>
      <c r="J24" s="804"/>
      <c r="K24" s="86"/>
      <c r="L24" s="440"/>
    </row>
    <row r="25" spans="2:12">
      <c r="B25" s="120"/>
      <c r="C25" s="346"/>
      <c r="D25" s="72" t="s">
        <v>885</v>
      </c>
      <c r="E25" s="40"/>
      <c r="F25" s="42"/>
      <c r="G25" s="42"/>
      <c r="H25" s="42"/>
      <c r="I25" s="803">
        <f>'6A'!K26</f>
        <v>0</v>
      </c>
      <c r="J25" s="804"/>
      <c r="K25" s="86"/>
      <c r="L25" s="440"/>
    </row>
    <row r="26" spans="2:12">
      <c r="B26" s="120"/>
      <c r="C26" s="346"/>
      <c r="D26" s="46" t="s">
        <v>886</v>
      </c>
      <c r="E26" s="2101">
        <f>(IF(AND(I26&lt;&gt;0,'6A'!E27=""),"Enter Item on Form 6A",'6A'!E27))</f>
        <v>0</v>
      </c>
      <c r="F26" s="2442"/>
      <c r="G26" s="2102"/>
      <c r="H26" s="441"/>
      <c r="I26" s="805">
        <f>'6A'!K27</f>
        <v>0</v>
      </c>
      <c r="J26" s="806"/>
      <c r="K26" s="96"/>
      <c r="L26" s="440"/>
    </row>
    <row r="27" spans="2:12" ht="15" thickBot="1">
      <c r="B27" s="120"/>
      <c r="C27" s="41"/>
      <c r="D27" s="40"/>
      <c r="E27" s="40"/>
      <c r="F27" s="346"/>
      <c r="G27" s="44" t="s">
        <v>887</v>
      </c>
      <c r="H27" s="77"/>
      <c r="I27" s="95">
        <f>SUM(I21:I26)</f>
        <v>2047500</v>
      </c>
      <c r="J27" s="80">
        <f>SUM(J22:J26)</f>
        <v>0</v>
      </c>
      <c r="K27" s="81">
        <v>0</v>
      </c>
      <c r="L27" s="440"/>
    </row>
    <row r="28" spans="2:12" ht="3.75" customHeight="1">
      <c r="B28" s="120"/>
      <c r="C28" s="43"/>
      <c r="D28" s="44"/>
      <c r="E28" s="44"/>
      <c r="F28" s="40"/>
      <c r="G28" s="40"/>
      <c r="H28" s="40"/>
      <c r="I28" s="66"/>
      <c r="J28" s="66"/>
      <c r="K28" s="66"/>
      <c r="L28" s="440"/>
    </row>
    <row r="29" spans="2:12" ht="15" thickBot="1">
      <c r="B29" s="120"/>
      <c r="C29" s="2417" t="s">
        <v>888</v>
      </c>
      <c r="D29" s="2443"/>
      <c r="E29" s="2443"/>
      <c r="F29" s="2444"/>
      <c r="G29" s="2444"/>
      <c r="H29" s="2444"/>
      <c r="I29" s="67"/>
      <c r="J29" s="66"/>
      <c r="K29" s="66"/>
      <c r="L29" s="440"/>
    </row>
    <row r="30" spans="2:12">
      <c r="B30" s="120"/>
      <c r="C30" s="346"/>
      <c r="D30" s="78" t="s">
        <v>889</v>
      </c>
      <c r="E30" s="40"/>
      <c r="F30" s="42"/>
      <c r="G30" s="42"/>
      <c r="H30" s="42"/>
      <c r="I30" s="807">
        <f>'6A'!K31</f>
        <v>0</v>
      </c>
      <c r="J30" s="808"/>
      <c r="K30" s="809">
        <f>I30</f>
        <v>0</v>
      </c>
      <c r="L30" s="440"/>
    </row>
    <row r="31" spans="2:12">
      <c r="B31" s="120"/>
      <c r="C31" s="346"/>
      <c r="D31" s="78" t="s">
        <v>890</v>
      </c>
      <c r="E31" s="40"/>
      <c r="F31" s="45"/>
      <c r="G31" s="45"/>
      <c r="H31" s="45"/>
      <c r="I31" s="803">
        <f ca="1">'6A'!K32</f>
        <v>16578959</v>
      </c>
      <c r="J31" s="804"/>
      <c r="K31" s="810">
        <f ca="1">I31</f>
        <v>16578959</v>
      </c>
      <c r="L31" s="440"/>
    </row>
    <row r="32" spans="2:12">
      <c r="B32" s="120"/>
      <c r="C32" s="346"/>
      <c r="D32" s="78" t="s">
        <v>891</v>
      </c>
      <c r="E32" s="40"/>
      <c r="F32" s="45"/>
      <c r="G32" s="45"/>
      <c r="H32" s="45"/>
      <c r="I32" s="803">
        <f>'6A'!K33</f>
        <v>0</v>
      </c>
      <c r="J32" s="804"/>
      <c r="K32" s="810">
        <f t="shared" ref="K32:K38" si="0">I32</f>
        <v>0</v>
      </c>
      <c r="L32" s="440"/>
    </row>
    <row r="33" spans="2:12">
      <c r="B33" s="120"/>
      <c r="C33" s="346"/>
      <c r="D33" s="78" t="s">
        <v>892</v>
      </c>
      <c r="E33" s="40"/>
      <c r="F33" s="45"/>
      <c r="G33" s="45"/>
      <c r="H33" s="45"/>
      <c r="I33" s="803">
        <f>'6A'!K34</f>
        <v>0</v>
      </c>
      <c r="J33" s="804"/>
      <c r="K33" s="810">
        <f t="shared" si="0"/>
        <v>0</v>
      </c>
      <c r="L33" s="440"/>
    </row>
    <row r="34" spans="2:12">
      <c r="B34" s="120"/>
      <c r="C34" s="346"/>
      <c r="D34" s="78" t="s">
        <v>893</v>
      </c>
      <c r="E34" s="40"/>
      <c r="F34" s="45"/>
      <c r="G34" s="45"/>
      <c r="H34" s="45"/>
      <c r="I34" s="803">
        <f>'6A'!K35</f>
        <v>0</v>
      </c>
      <c r="J34" s="804"/>
      <c r="K34" s="810">
        <f t="shared" si="0"/>
        <v>0</v>
      </c>
      <c r="L34" s="440"/>
    </row>
    <row r="35" spans="2:12">
      <c r="B35" s="120"/>
      <c r="C35" s="346"/>
      <c r="D35" s="78" t="s">
        <v>965</v>
      </c>
      <c r="E35" s="40"/>
      <c r="F35" s="46"/>
      <c r="G35" s="46"/>
      <c r="H35" s="46"/>
      <c r="I35" s="803">
        <f>'6A'!K36</f>
        <v>1657895.9000000001</v>
      </c>
      <c r="J35" s="804"/>
      <c r="K35" s="810">
        <f t="shared" si="0"/>
        <v>1657895.9000000001</v>
      </c>
      <c r="L35" s="440"/>
    </row>
    <row r="36" spans="2:12">
      <c r="B36" s="120"/>
      <c r="C36" s="346"/>
      <c r="D36" s="78" t="s">
        <v>895</v>
      </c>
      <c r="E36" s="40"/>
      <c r="F36" s="46"/>
      <c r="G36" s="46"/>
      <c r="H36" s="46"/>
      <c r="I36" s="803">
        <f>'6A'!K37</f>
        <v>0</v>
      </c>
      <c r="J36" s="804"/>
      <c r="K36" s="810">
        <f t="shared" si="0"/>
        <v>0</v>
      </c>
      <c r="L36" s="440"/>
    </row>
    <row r="37" spans="2:12">
      <c r="B37" s="120"/>
      <c r="C37" s="346"/>
      <c r="D37" s="78" t="s">
        <v>896</v>
      </c>
      <c r="E37" s="40"/>
      <c r="F37" s="47"/>
      <c r="G37" s="47"/>
      <c r="H37" s="47"/>
      <c r="I37" s="819">
        <f>'6A'!K38</f>
        <v>0</v>
      </c>
      <c r="J37" s="804"/>
      <c r="K37" s="810">
        <f t="shared" si="0"/>
        <v>0</v>
      </c>
      <c r="L37" s="440"/>
    </row>
    <row r="38" spans="2:12">
      <c r="B38" s="120"/>
      <c r="C38" s="346"/>
      <c r="D38" s="78" t="s">
        <v>897</v>
      </c>
      <c r="E38" s="40"/>
      <c r="F38" s="47"/>
      <c r="G38" s="47"/>
      <c r="H38" s="47"/>
      <c r="I38" s="819">
        <f>'6A'!K39</f>
        <v>0</v>
      </c>
      <c r="J38" s="811"/>
      <c r="K38" s="812">
        <f t="shared" si="0"/>
        <v>0</v>
      </c>
      <c r="L38" s="440"/>
    </row>
    <row r="39" spans="2:12">
      <c r="B39" s="120"/>
      <c r="C39" s="346"/>
      <c r="D39" s="78" t="s">
        <v>898</v>
      </c>
      <c r="E39" s="40"/>
      <c r="F39" s="48"/>
      <c r="G39" s="48"/>
      <c r="H39" s="48"/>
      <c r="I39" s="819">
        <f>'6A'!K40</f>
        <v>0</v>
      </c>
      <c r="J39" s="106"/>
      <c r="K39" s="87"/>
      <c r="L39" s="440"/>
    </row>
    <row r="40" spans="2:12">
      <c r="B40" s="120"/>
      <c r="C40" s="346"/>
      <c r="D40" s="78" t="s">
        <v>1006</v>
      </c>
      <c r="E40" s="40"/>
      <c r="F40" s="48"/>
      <c r="G40" s="48"/>
      <c r="H40" s="48"/>
      <c r="I40" s="819">
        <f>'6A'!K41</f>
        <v>108000</v>
      </c>
      <c r="J40" s="802"/>
      <c r="K40" s="813">
        <f t="shared" ref="K40:K45" si="1">I40</f>
        <v>108000</v>
      </c>
      <c r="L40" s="440"/>
    </row>
    <row r="41" spans="2:12">
      <c r="B41" s="120"/>
      <c r="C41" s="346"/>
      <c r="D41" s="78" t="s">
        <v>1007</v>
      </c>
      <c r="E41" s="40"/>
      <c r="F41" s="48"/>
      <c r="G41" s="48"/>
      <c r="H41" s="48"/>
      <c r="I41" s="819">
        <f>'6A'!K42</f>
        <v>0</v>
      </c>
      <c r="J41" s="804"/>
      <c r="K41" s="810">
        <f t="shared" si="1"/>
        <v>0</v>
      </c>
      <c r="L41" s="440"/>
    </row>
    <row r="42" spans="2:12">
      <c r="B42" s="120"/>
      <c r="C42" s="346"/>
      <c r="D42" s="78" t="s">
        <v>901</v>
      </c>
      <c r="E42" s="48"/>
      <c r="F42" s="49"/>
      <c r="G42" s="49"/>
      <c r="H42" s="49"/>
      <c r="I42" s="819">
        <f ca="1">'6A'!K43</f>
        <v>1674474.8590000002</v>
      </c>
      <c r="J42" s="804"/>
      <c r="K42" s="810">
        <f t="shared" ca="1" si="1"/>
        <v>1674474.8590000002</v>
      </c>
      <c r="L42" s="440"/>
    </row>
    <row r="43" spans="2:12">
      <c r="B43" s="120"/>
      <c r="C43" s="346"/>
      <c r="D43" s="78" t="s">
        <v>902</v>
      </c>
      <c r="E43" s="40"/>
      <c r="F43" s="47"/>
      <c r="G43" s="47"/>
      <c r="H43" s="47"/>
      <c r="I43" s="803">
        <f>'6A'!K44</f>
        <v>0</v>
      </c>
      <c r="J43" s="804"/>
      <c r="K43" s="810">
        <f t="shared" si="1"/>
        <v>0</v>
      </c>
      <c r="L43" s="440"/>
    </row>
    <row r="44" spans="2:12">
      <c r="B44" s="120"/>
      <c r="C44" s="346"/>
      <c r="D44" s="78" t="s">
        <v>903</v>
      </c>
      <c r="E44" s="40"/>
      <c r="F44" s="48"/>
      <c r="G44" s="48"/>
      <c r="H44" s="48"/>
      <c r="I44" s="803">
        <f>'6A'!K45</f>
        <v>330000</v>
      </c>
      <c r="J44" s="804"/>
      <c r="K44" s="810">
        <f t="shared" si="1"/>
        <v>330000</v>
      </c>
      <c r="L44" s="440"/>
    </row>
    <row r="45" spans="2:12">
      <c r="B45" s="120"/>
      <c r="C45" s="346"/>
      <c r="D45" s="46" t="s">
        <v>886</v>
      </c>
      <c r="E45" s="2101">
        <f>(IF(AND(I45&lt;&gt;0,'6A'!E46=""),"Enter Item on Form 6A",'6A'!E46))</f>
        <v>0</v>
      </c>
      <c r="F45" s="2442"/>
      <c r="G45" s="2102"/>
      <c r="H45" s="441"/>
      <c r="I45" s="805">
        <f>'6A'!K46</f>
        <v>0</v>
      </c>
      <c r="J45" s="814"/>
      <c r="K45" s="815">
        <f t="shared" si="1"/>
        <v>0</v>
      </c>
      <c r="L45" s="440"/>
    </row>
    <row r="46" spans="2:12" ht="15" thickBot="1">
      <c r="B46" s="120"/>
      <c r="C46" s="41"/>
      <c r="D46" s="40"/>
      <c r="E46" s="40"/>
      <c r="F46" s="346"/>
      <c r="G46" s="44" t="s">
        <v>887</v>
      </c>
      <c r="H46" s="77"/>
      <c r="I46" s="95">
        <f ca="1">SUM(I30:I45)</f>
        <v>20349329.759</v>
      </c>
      <c r="J46" s="80">
        <f>(SUM(J30:J38))+(SUM(J40:J45))</f>
        <v>0</v>
      </c>
      <c r="K46" s="83">
        <f ca="1">(SUM(K30:K38))+(SUM(K40:K45))</f>
        <v>20349329.759</v>
      </c>
      <c r="L46" s="440"/>
    </row>
    <row r="47" spans="2:12" ht="3.75" customHeight="1">
      <c r="B47" s="120"/>
      <c r="C47" s="43"/>
      <c r="D47" s="44"/>
      <c r="E47" s="44"/>
      <c r="F47" s="40"/>
      <c r="G47" s="40"/>
      <c r="H47" s="40"/>
      <c r="I47" s="66"/>
      <c r="J47" s="66"/>
      <c r="K47" s="66"/>
      <c r="L47" s="440"/>
    </row>
    <row r="48" spans="2:12" ht="15" thickBot="1">
      <c r="B48" s="120"/>
      <c r="C48" s="2445" t="s">
        <v>904</v>
      </c>
      <c r="D48" s="2445"/>
      <c r="E48" s="2445"/>
      <c r="F48" s="2445"/>
      <c r="G48" s="2445"/>
      <c r="H48" s="2445"/>
      <c r="I48" s="66"/>
      <c r="J48" s="68"/>
      <c r="K48" s="68"/>
      <c r="L48" s="440"/>
    </row>
    <row r="49" spans="2:12">
      <c r="B49" s="120"/>
      <c r="C49" s="346"/>
      <c r="D49" s="78" t="s">
        <v>905</v>
      </c>
      <c r="E49" s="40"/>
      <c r="F49" s="42"/>
      <c r="G49" s="42"/>
      <c r="H49" s="42"/>
      <c r="I49" s="821">
        <f>'6A'!K50</f>
        <v>15000</v>
      </c>
      <c r="J49" s="88"/>
      <c r="K49" s="89"/>
      <c r="L49" s="440"/>
    </row>
    <row r="50" spans="2:12">
      <c r="B50" s="120"/>
      <c r="C50" s="346"/>
      <c r="D50" s="78" t="s">
        <v>906</v>
      </c>
      <c r="E50" s="40"/>
      <c r="F50" s="42"/>
      <c r="G50" s="42"/>
      <c r="H50" s="42"/>
      <c r="I50" s="819">
        <f>'6A'!K51</f>
        <v>5500</v>
      </c>
      <c r="J50" s="802"/>
      <c r="K50" s="813">
        <f t="shared" ref="K50:K61" si="2">I50</f>
        <v>5500</v>
      </c>
      <c r="L50" s="440"/>
    </row>
    <row r="51" spans="2:12">
      <c r="B51" s="120"/>
      <c r="C51" s="346"/>
      <c r="D51" s="78" t="s">
        <v>907</v>
      </c>
      <c r="E51" s="40"/>
      <c r="F51" s="42"/>
      <c r="G51" s="42"/>
      <c r="H51" s="42"/>
      <c r="I51" s="803">
        <f>'6A'!K52</f>
        <v>1325585</v>
      </c>
      <c r="J51" s="804"/>
      <c r="K51" s="810">
        <f t="shared" si="2"/>
        <v>1325585</v>
      </c>
      <c r="L51" s="440"/>
    </row>
    <row r="52" spans="2:12">
      <c r="B52" s="120"/>
      <c r="C52" s="346"/>
      <c r="D52" s="78" t="s">
        <v>908</v>
      </c>
      <c r="E52" s="40"/>
      <c r="F52" s="42"/>
      <c r="G52" s="42"/>
      <c r="H52" s="42"/>
      <c r="I52" s="803">
        <f>'6A'!K53</f>
        <v>50000</v>
      </c>
      <c r="J52" s="804"/>
      <c r="K52" s="810">
        <f t="shared" si="2"/>
        <v>50000</v>
      </c>
      <c r="L52" s="440"/>
    </row>
    <row r="53" spans="2:12">
      <c r="B53" s="120"/>
      <c r="C53" s="346"/>
      <c r="D53" s="72" t="s">
        <v>909</v>
      </c>
      <c r="E53" s="50"/>
      <c r="F53" s="42"/>
      <c r="G53" s="42"/>
      <c r="H53" s="42"/>
      <c r="I53" s="803">
        <f>'6A'!K54</f>
        <v>15000</v>
      </c>
      <c r="J53" s="804"/>
      <c r="K53" s="810">
        <f t="shared" si="2"/>
        <v>15000</v>
      </c>
      <c r="L53" s="440"/>
    </row>
    <row r="54" spans="2:12">
      <c r="B54" s="120"/>
      <c r="C54" s="346"/>
      <c r="D54" s="78" t="s">
        <v>910</v>
      </c>
      <c r="E54" s="51"/>
      <c r="F54" s="42"/>
      <c r="G54" s="42"/>
      <c r="H54" s="42"/>
      <c r="I54" s="803">
        <f>'6A'!K55</f>
        <v>25000</v>
      </c>
      <c r="J54" s="804"/>
      <c r="K54" s="810">
        <f t="shared" si="2"/>
        <v>25000</v>
      </c>
      <c r="L54" s="440"/>
    </row>
    <row r="55" spans="2:12">
      <c r="B55" s="120"/>
      <c r="C55" s="346"/>
      <c r="D55" s="78" t="s">
        <v>911</v>
      </c>
      <c r="E55" s="52"/>
      <c r="F55" s="42"/>
      <c r="G55" s="42"/>
      <c r="H55" s="42"/>
      <c r="I55" s="803">
        <f>'6A'!K56</f>
        <v>15000</v>
      </c>
      <c r="J55" s="804"/>
      <c r="K55" s="810">
        <f t="shared" si="2"/>
        <v>15000</v>
      </c>
      <c r="L55" s="440"/>
    </row>
    <row r="56" spans="2:12">
      <c r="B56" s="120"/>
      <c r="C56" s="346"/>
      <c r="D56" s="78" t="s">
        <v>912</v>
      </c>
      <c r="E56" s="40"/>
      <c r="F56" s="46"/>
      <c r="G56" s="46"/>
      <c r="H56" s="46"/>
      <c r="I56" s="803">
        <f>'6A'!K57</f>
        <v>0</v>
      </c>
      <c r="J56" s="804"/>
      <c r="K56" s="810">
        <f t="shared" si="2"/>
        <v>0</v>
      </c>
      <c r="L56" s="440"/>
    </row>
    <row r="57" spans="2:12">
      <c r="B57" s="120"/>
      <c r="C57" s="346"/>
      <c r="D57" s="72" t="s">
        <v>913</v>
      </c>
      <c r="E57" s="40"/>
      <c r="F57" s="42"/>
      <c r="G57" s="42"/>
      <c r="H57" s="42"/>
      <c r="I57" s="803">
        <f ca="1">'6A'!K58</f>
        <v>2092434.0688246025</v>
      </c>
      <c r="J57" s="804"/>
      <c r="K57" s="810">
        <f t="shared" ca="1" si="2"/>
        <v>2092434.0688246025</v>
      </c>
      <c r="L57" s="440"/>
    </row>
    <row r="58" spans="2:12">
      <c r="B58" s="120"/>
      <c r="C58" s="346"/>
      <c r="D58" s="72" t="s">
        <v>1008</v>
      </c>
      <c r="E58" s="40"/>
      <c r="F58" s="42"/>
      <c r="G58" s="42"/>
      <c r="H58" s="42"/>
      <c r="I58" s="803">
        <f>'6A'!K59</f>
        <v>0</v>
      </c>
      <c r="J58" s="804"/>
      <c r="K58" s="810">
        <f t="shared" si="2"/>
        <v>0</v>
      </c>
      <c r="L58" s="440"/>
    </row>
    <row r="59" spans="2:12">
      <c r="B59" s="120"/>
      <c r="C59" s="346"/>
      <c r="D59" s="72" t="s">
        <v>915</v>
      </c>
      <c r="E59" s="46"/>
      <c r="F59" s="346"/>
      <c r="G59" s="442"/>
      <c r="H59" s="442"/>
      <c r="I59" s="803">
        <f>'6A'!K60</f>
        <v>50000</v>
      </c>
      <c r="J59" s="804"/>
      <c r="K59" s="816">
        <f t="shared" si="2"/>
        <v>50000</v>
      </c>
      <c r="L59" s="440"/>
    </row>
    <row r="60" spans="2:12">
      <c r="B60" s="120"/>
      <c r="C60" s="346"/>
      <c r="D60" s="72" t="s">
        <v>916</v>
      </c>
      <c r="E60" s="46"/>
      <c r="F60" s="346"/>
      <c r="G60" s="442"/>
      <c r="H60" s="442"/>
      <c r="I60" s="803">
        <f>'6A'!K61</f>
        <v>50000</v>
      </c>
      <c r="J60" s="804"/>
      <c r="K60" s="816">
        <f t="shared" si="2"/>
        <v>50000</v>
      </c>
      <c r="L60" s="440"/>
    </row>
    <row r="61" spans="2:12">
      <c r="B61" s="120"/>
      <c r="C61" s="346"/>
      <c r="D61" s="46" t="s">
        <v>886</v>
      </c>
      <c r="E61" s="2101">
        <f>(IF(AND(I61&lt;&gt;0,'6A'!E62=""),"Enter Item on Form 6A",'6A'!E62))</f>
        <v>0</v>
      </c>
      <c r="F61" s="2442"/>
      <c r="G61" s="2102"/>
      <c r="H61" s="441"/>
      <c r="I61" s="805">
        <f>'6A'!K62</f>
        <v>0</v>
      </c>
      <c r="J61" s="814"/>
      <c r="K61" s="817">
        <f t="shared" si="2"/>
        <v>0</v>
      </c>
      <c r="L61" s="440"/>
    </row>
    <row r="62" spans="2:12" ht="15" thickBot="1">
      <c r="B62" s="120"/>
      <c r="C62" s="41"/>
      <c r="D62" s="40"/>
      <c r="E62" s="40"/>
      <c r="F62" s="346"/>
      <c r="G62" s="44" t="s">
        <v>887</v>
      </c>
      <c r="H62" s="77"/>
      <c r="I62" s="95">
        <f ca="1">SUM(I49:I61)</f>
        <v>3643519.0688246023</v>
      </c>
      <c r="J62" s="80">
        <f>SUM(J50:J61)</f>
        <v>0</v>
      </c>
      <c r="K62" s="83">
        <f ca="1">SUM(K50:K61)</f>
        <v>3628519.0688246023</v>
      </c>
      <c r="L62" s="440"/>
    </row>
    <row r="63" spans="2:12" ht="9" customHeight="1" thickBot="1">
      <c r="B63" s="443"/>
      <c r="C63" s="101"/>
      <c r="D63" s="101"/>
      <c r="E63" s="101"/>
      <c r="F63" s="102"/>
      <c r="G63" s="102"/>
      <c r="H63" s="102"/>
      <c r="I63" s="103"/>
      <c r="J63" s="104"/>
      <c r="K63" s="104"/>
      <c r="L63" s="444"/>
    </row>
    <row r="64" spans="2:12" ht="15" thickBot="1">
      <c r="B64" s="120"/>
      <c r="C64" s="2417" t="s">
        <v>917</v>
      </c>
      <c r="D64" s="2443"/>
      <c r="E64" s="2443"/>
      <c r="F64" s="2444"/>
      <c r="G64" s="2444"/>
      <c r="H64" s="2444"/>
      <c r="I64" s="2446"/>
      <c r="J64" s="66"/>
      <c r="K64" s="66"/>
      <c r="L64" s="440"/>
    </row>
    <row r="65" spans="2:12">
      <c r="B65" s="120"/>
      <c r="C65" s="346"/>
      <c r="D65" s="1529" t="s">
        <v>918</v>
      </c>
      <c r="E65" s="44"/>
      <c r="F65" s="40"/>
      <c r="G65" s="40"/>
      <c r="H65" s="40"/>
      <c r="I65" s="821">
        <f>'6A'!K66</f>
        <v>53506.5</v>
      </c>
      <c r="J65" s="90"/>
      <c r="K65" s="2447"/>
      <c r="L65" s="440"/>
    </row>
    <row r="66" spans="2:12">
      <c r="B66" s="120"/>
      <c r="C66" s="346"/>
      <c r="D66" s="1529" t="s">
        <v>919</v>
      </c>
      <c r="E66" s="44"/>
      <c r="F66" s="40"/>
      <c r="G66" s="40"/>
      <c r="H66" s="40"/>
      <c r="I66" s="820">
        <f>'6A'!K67</f>
        <v>307000</v>
      </c>
      <c r="J66" s="97"/>
      <c r="K66" s="98"/>
      <c r="L66" s="440"/>
    </row>
    <row r="67" spans="2:12" ht="15" thickBot="1">
      <c r="B67" s="120"/>
      <c r="C67" s="346"/>
      <c r="D67" s="44"/>
      <c r="E67" s="346"/>
      <c r="F67" s="40"/>
      <c r="G67" s="44" t="s">
        <v>887</v>
      </c>
      <c r="H67" s="40"/>
      <c r="I67" s="95">
        <f>SUM(I65:I66)</f>
        <v>360506.5</v>
      </c>
      <c r="J67" s="80">
        <v>0</v>
      </c>
      <c r="K67" s="83">
        <v>0</v>
      </c>
      <c r="L67" s="440"/>
    </row>
    <row r="68" spans="2:12" ht="3.75" customHeight="1">
      <c r="B68" s="120"/>
      <c r="C68" s="346"/>
      <c r="D68" s="44"/>
      <c r="E68" s="346"/>
      <c r="F68" s="40"/>
      <c r="G68" s="40"/>
      <c r="H68" s="40"/>
      <c r="I68" s="66"/>
      <c r="J68" s="66"/>
      <c r="K68" s="66"/>
      <c r="L68" s="440"/>
    </row>
    <row r="69" spans="2:12" ht="15" thickBot="1">
      <c r="B69" s="120"/>
      <c r="C69" s="2417" t="s">
        <v>920</v>
      </c>
      <c r="D69" s="2443"/>
      <c r="E69" s="2443"/>
      <c r="F69" s="2444"/>
      <c r="G69" s="2444"/>
      <c r="H69" s="2444"/>
      <c r="I69" s="66"/>
      <c r="J69" s="66"/>
      <c r="K69" s="66"/>
      <c r="L69" s="440"/>
    </row>
    <row r="70" spans="2:12">
      <c r="B70" s="120"/>
      <c r="C70" s="346"/>
      <c r="D70" s="78" t="s">
        <v>921</v>
      </c>
      <c r="E70" s="44"/>
      <c r="F70" s="40"/>
      <c r="G70" s="40"/>
      <c r="H70" s="40"/>
      <c r="I70" s="807">
        <f>'6A'!K71</f>
        <v>100200</v>
      </c>
      <c r="J70" s="808"/>
      <c r="K70" s="818">
        <f t="shared" ref="K70:K73" si="3">I70</f>
        <v>100200</v>
      </c>
      <c r="L70" s="440"/>
    </row>
    <row r="71" spans="2:12">
      <c r="B71" s="120"/>
      <c r="C71" s="346"/>
      <c r="D71" s="78" t="s">
        <v>922</v>
      </c>
      <c r="E71" s="44"/>
      <c r="F71" s="40"/>
      <c r="G71" s="40"/>
      <c r="H71" s="40"/>
      <c r="I71" s="803">
        <f>'6A'!K72</f>
        <v>0</v>
      </c>
      <c r="J71" s="804"/>
      <c r="K71" s="810">
        <f t="shared" si="3"/>
        <v>0</v>
      </c>
      <c r="L71" s="440"/>
    </row>
    <row r="72" spans="2:12">
      <c r="B72" s="120"/>
      <c r="C72" s="346"/>
      <c r="D72" s="78" t="s">
        <v>923</v>
      </c>
      <c r="E72" s="44"/>
      <c r="F72" s="40"/>
      <c r="G72" s="40"/>
      <c r="H72" s="40"/>
      <c r="I72" s="803">
        <f>'6A'!K73</f>
        <v>50000</v>
      </c>
      <c r="J72" s="804"/>
      <c r="K72" s="810">
        <f t="shared" si="3"/>
        <v>50000</v>
      </c>
      <c r="L72" s="440"/>
    </row>
    <row r="73" spans="2:12">
      <c r="B73" s="120"/>
      <c r="C73" s="346"/>
      <c r="D73" s="78" t="s">
        <v>924</v>
      </c>
      <c r="E73" s="44"/>
      <c r="F73" s="40"/>
      <c r="G73" s="40"/>
      <c r="H73" s="40"/>
      <c r="I73" s="819">
        <f>'6A'!K74</f>
        <v>78305</v>
      </c>
      <c r="J73" s="811"/>
      <c r="K73" s="812">
        <f t="shared" si="3"/>
        <v>78305</v>
      </c>
      <c r="L73" s="440"/>
    </row>
    <row r="74" spans="2:12">
      <c r="B74" s="120"/>
      <c r="C74" s="346"/>
      <c r="D74" s="78" t="s">
        <v>925</v>
      </c>
      <c r="E74" s="44"/>
      <c r="F74" s="40"/>
      <c r="G74" s="40"/>
      <c r="H74" s="40"/>
      <c r="I74" s="820">
        <f>'6A'!K75</f>
        <v>230798</v>
      </c>
      <c r="J74" s="99"/>
      <c r="K74" s="100"/>
      <c r="L74" s="440"/>
    </row>
    <row r="75" spans="2:12" ht="15" thickBot="1">
      <c r="B75" s="120"/>
      <c r="C75" s="41"/>
      <c r="D75" s="40"/>
      <c r="E75" s="40"/>
      <c r="F75" s="346"/>
      <c r="G75" s="44" t="s">
        <v>887</v>
      </c>
      <c r="H75" s="77"/>
      <c r="I75" s="95">
        <f>SUM(I70:I74)</f>
        <v>459303</v>
      </c>
      <c r="J75" s="80">
        <f>SUM(J70:J73)</f>
        <v>0</v>
      </c>
      <c r="K75" s="83">
        <f>SUM(K70:K73)</f>
        <v>228505</v>
      </c>
      <c r="L75" s="440"/>
    </row>
    <row r="76" spans="2:12" ht="3.75" customHeight="1">
      <c r="B76" s="120"/>
      <c r="C76" s="43"/>
      <c r="D76" s="44"/>
      <c r="E76" s="44"/>
      <c r="F76" s="40"/>
      <c r="G76" s="40"/>
      <c r="H76" s="40"/>
      <c r="I76" s="66"/>
      <c r="J76" s="66"/>
      <c r="K76" s="66"/>
      <c r="L76" s="440"/>
    </row>
    <row r="77" spans="2:12" ht="15" thickBot="1">
      <c r="B77" s="120"/>
      <c r="C77" s="2417" t="s">
        <v>926</v>
      </c>
      <c r="D77" s="2443"/>
      <c r="E77" s="2443"/>
      <c r="F77" s="2444"/>
      <c r="G77" s="2444"/>
      <c r="H77" s="2444"/>
      <c r="I77" s="66"/>
      <c r="J77" s="66"/>
      <c r="K77" s="66"/>
      <c r="L77" s="440"/>
    </row>
    <row r="78" spans="2:12">
      <c r="B78" s="120"/>
      <c r="C78" s="346"/>
      <c r="D78" s="78" t="s">
        <v>927</v>
      </c>
      <c r="E78" s="44"/>
      <c r="F78" s="40"/>
      <c r="G78" s="40"/>
      <c r="H78" s="40"/>
      <c r="I78" s="821">
        <f>'6A'!K79</f>
        <v>135207.41999999998</v>
      </c>
      <c r="J78" s="90"/>
      <c r="K78" s="2447"/>
      <c r="L78" s="440"/>
    </row>
    <row r="79" spans="2:12">
      <c r="B79" s="120"/>
      <c r="C79" s="346"/>
      <c r="D79" s="78" t="s">
        <v>928</v>
      </c>
      <c r="E79" s="44"/>
      <c r="F79" s="40"/>
      <c r="G79" s="40"/>
      <c r="H79" s="40"/>
      <c r="I79" s="819">
        <f>'6A'!K80</f>
        <v>0</v>
      </c>
      <c r="J79" s="91"/>
      <c r="K79" s="92"/>
      <c r="L79" s="440"/>
    </row>
    <row r="80" spans="2:12">
      <c r="B80" s="120"/>
      <c r="C80" s="346"/>
      <c r="D80" s="78" t="s">
        <v>929</v>
      </c>
      <c r="E80" s="44"/>
      <c r="F80" s="40"/>
      <c r="G80" s="40"/>
      <c r="H80" s="40"/>
      <c r="I80" s="819">
        <f>'6A'!K81</f>
        <v>18000</v>
      </c>
      <c r="J80" s="91"/>
      <c r="K80" s="92"/>
      <c r="L80" s="440"/>
    </row>
    <row r="81" spans="2:12">
      <c r="B81" s="120"/>
      <c r="C81" s="346"/>
      <c r="D81" s="71" t="s">
        <v>930</v>
      </c>
      <c r="E81" s="40"/>
      <c r="F81" s="40"/>
      <c r="G81" s="40"/>
      <c r="H81" s="40"/>
      <c r="I81" s="819">
        <f>'6A'!K82</f>
        <v>115000</v>
      </c>
      <c r="J81" s="91"/>
      <c r="K81" s="92"/>
      <c r="L81" s="440"/>
    </row>
    <row r="82" spans="2:12">
      <c r="B82" s="120"/>
      <c r="C82" s="346"/>
      <c r="D82" s="1530" t="s">
        <v>931</v>
      </c>
      <c r="E82" s="40"/>
      <c r="F82" s="40"/>
      <c r="G82" s="40"/>
      <c r="H82" s="40"/>
      <c r="I82" s="819">
        <f>'6A'!K83</f>
        <v>50000</v>
      </c>
      <c r="J82" s="91"/>
      <c r="K82" s="92"/>
      <c r="L82" s="440"/>
    </row>
    <row r="83" spans="2:12">
      <c r="B83" s="120"/>
      <c r="C83" s="346"/>
      <c r="D83" s="1530" t="s">
        <v>932</v>
      </c>
      <c r="E83" s="40"/>
      <c r="F83" s="40"/>
      <c r="G83" s="40"/>
      <c r="H83" s="40"/>
      <c r="I83" s="819">
        <f>'6A'!K84</f>
        <v>18000</v>
      </c>
      <c r="J83" s="91"/>
      <c r="K83" s="92"/>
      <c r="L83" s="440"/>
    </row>
    <row r="84" spans="2:12">
      <c r="B84" s="120"/>
      <c r="C84" s="346"/>
      <c r="D84" s="72" t="s">
        <v>933</v>
      </c>
      <c r="E84" s="44"/>
      <c r="F84" s="40"/>
      <c r="G84" s="40"/>
      <c r="H84" s="40"/>
      <c r="I84" s="819">
        <f>'6A'!K85</f>
        <v>60000</v>
      </c>
      <c r="J84" s="91"/>
      <c r="K84" s="92"/>
      <c r="L84" s="440"/>
    </row>
    <row r="85" spans="2:12">
      <c r="B85" s="120"/>
      <c r="C85" s="346"/>
      <c r="D85" s="46" t="s">
        <v>886</v>
      </c>
      <c r="E85" s="2101">
        <f>(IF(AND(I85&lt;&gt;0,'6A'!E86=""),"Enter Item on Form 6A",'6A'!E86))</f>
        <v>0</v>
      </c>
      <c r="F85" s="2442"/>
      <c r="G85" s="2102"/>
      <c r="H85" s="441"/>
      <c r="I85" s="820">
        <f>'6A'!K86</f>
        <v>0</v>
      </c>
      <c r="J85" s="97"/>
      <c r="K85" s="98"/>
      <c r="L85" s="440"/>
    </row>
    <row r="86" spans="2:12" ht="15" thickBot="1">
      <c r="B86" s="120"/>
      <c r="C86" s="41"/>
      <c r="D86" s="40"/>
      <c r="E86" s="40"/>
      <c r="F86" s="346"/>
      <c r="G86" s="44" t="s">
        <v>887</v>
      </c>
      <c r="H86" s="77"/>
      <c r="I86" s="95">
        <f>SUM(I78:I85)</f>
        <v>396207.42</v>
      </c>
      <c r="J86" s="80">
        <v>0</v>
      </c>
      <c r="K86" s="83">
        <v>0</v>
      </c>
      <c r="L86" s="440"/>
    </row>
    <row r="87" spans="2:12" ht="3.75" customHeight="1">
      <c r="B87" s="120"/>
      <c r="C87" s="43"/>
      <c r="D87" s="44"/>
      <c r="E87" s="44"/>
      <c r="F87" s="40"/>
      <c r="G87" s="40"/>
      <c r="H87" s="40"/>
      <c r="I87" s="66"/>
      <c r="J87" s="66"/>
      <c r="K87" s="66"/>
      <c r="L87" s="440"/>
    </row>
    <row r="88" spans="2:12" ht="15" thickBot="1">
      <c r="B88" s="120"/>
      <c r="C88" s="2417" t="s">
        <v>934</v>
      </c>
      <c r="D88" s="2443"/>
      <c r="E88" s="2443"/>
      <c r="F88" s="2444"/>
      <c r="G88" s="2444"/>
      <c r="H88" s="2444"/>
      <c r="I88" s="69"/>
      <c r="J88" s="69"/>
      <c r="K88" s="74"/>
      <c r="L88" s="440"/>
    </row>
    <row r="89" spans="2:12">
      <c r="B89" s="120"/>
      <c r="C89" s="346"/>
      <c r="D89" s="1531" t="s">
        <v>935</v>
      </c>
      <c r="E89" s="40"/>
      <c r="F89" s="47"/>
      <c r="G89" s="47"/>
      <c r="H89" s="47"/>
      <c r="I89" s="821">
        <f>'6A'!K90</f>
        <v>754709</v>
      </c>
      <c r="J89" s="90"/>
      <c r="K89" s="2447"/>
      <c r="L89" s="440"/>
    </row>
    <row r="90" spans="2:12">
      <c r="B90" s="120"/>
      <c r="C90" s="346"/>
      <c r="D90" s="1531" t="s">
        <v>936</v>
      </c>
      <c r="E90" s="40"/>
      <c r="F90" s="48"/>
      <c r="G90" s="48"/>
      <c r="H90" s="48"/>
      <c r="I90" s="819">
        <f>'6A'!K91</f>
        <v>300000</v>
      </c>
      <c r="J90" s="91"/>
      <c r="K90" s="92"/>
      <c r="L90" s="440"/>
    </row>
    <row r="91" spans="2:12">
      <c r="B91" s="120"/>
      <c r="C91" s="346"/>
      <c r="D91" s="1532" t="s">
        <v>886</v>
      </c>
      <c r="E91" s="2101">
        <f>(IF(AND(I91&lt;&gt;0,'6A'!E92=""),"Enter Item on Form 6A",'6A'!E92))</f>
        <v>0</v>
      </c>
      <c r="F91" s="2442"/>
      <c r="G91" s="2102"/>
      <c r="H91" s="441"/>
      <c r="I91" s="820">
        <f>'6A'!K92</f>
        <v>0</v>
      </c>
      <c r="J91" s="97"/>
      <c r="K91" s="98"/>
      <c r="L91" s="440"/>
    </row>
    <row r="92" spans="2:12" ht="15" thickBot="1">
      <c r="B92" s="120"/>
      <c r="C92" s="41"/>
      <c r="D92" s="40"/>
      <c r="E92" s="40"/>
      <c r="F92" s="346"/>
      <c r="G92" s="44" t="s">
        <v>887</v>
      </c>
      <c r="H92" s="77"/>
      <c r="I92" s="95">
        <f>SUM(I89:I91)</f>
        <v>1054709</v>
      </c>
      <c r="J92" s="80">
        <v>0</v>
      </c>
      <c r="K92" s="83">
        <v>0</v>
      </c>
      <c r="L92" s="440"/>
    </row>
    <row r="93" spans="2:12" ht="3.75" customHeight="1">
      <c r="B93" s="120"/>
      <c r="C93" s="43"/>
      <c r="D93" s="44"/>
      <c r="E93" s="44"/>
      <c r="F93" s="40"/>
      <c r="G93" s="40"/>
      <c r="H93" s="40"/>
      <c r="I93" s="66"/>
      <c r="J93" s="66"/>
      <c r="K93" s="66"/>
      <c r="L93" s="440"/>
    </row>
    <row r="94" spans="2:12" ht="15" thickBot="1">
      <c r="B94" s="120"/>
      <c r="C94" s="2417" t="s">
        <v>937</v>
      </c>
      <c r="D94" s="2443"/>
      <c r="E94" s="2443"/>
      <c r="F94" s="2444"/>
      <c r="G94" s="2444"/>
      <c r="H94" s="2444"/>
      <c r="I94" s="2448"/>
      <c r="J94" s="69"/>
      <c r="K94" s="74"/>
      <c r="L94" s="440"/>
    </row>
    <row r="95" spans="2:12">
      <c r="B95" s="120"/>
      <c r="C95" s="346"/>
      <c r="D95" s="72" t="s">
        <v>938</v>
      </c>
      <c r="E95" s="40"/>
      <c r="F95" s="47"/>
      <c r="G95" s="47"/>
      <c r="H95" s="47"/>
      <c r="I95" s="807">
        <f>'6A'!K96</f>
        <v>47673.594649999999</v>
      </c>
      <c r="J95" s="808"/>
      <c r="K95" s="818">
        <f t="shared" ref="K95:K101" si="4">I95</f>
        <v>47673.594649999999</v>
      </c>
      <c r="L95" s="440"/>
    </row>
    <row r="96" spans="2:12">
      <c r="B96" s="120"/>
      <c r="C96" s="346"/>
      <c r="D96" s="72" t="s">
        <v>939</v>
      </c>
      <c r="E96" s="40"/>
      <c r="F96" s="48"/>
      <c r="G96" s="48"/>
      <c r="H96" s="48"/>
      <c r="I96" s="803">
        <f>'6A'!K97</f>
        <v>45372.636657529998</v>
      </c>
      <c r="J96" s="804"/>
      <c r="K96" s="810">
        <f t="shared" si="4"/>
        <v>45372.636657529998</v>
      </c>
      <c r="L96" s="440"/>
    </row>
    <row r="97" spans="2:12">
      <c r="B97" s="120"/>
      <c r="C97" s="346"/>
      <c r="D97" s="72" t="s">
        <v>486</v>
      </c>
      <c r="E97" s="40"/>
      <c r="F97" s="40"/>
      <c r="G97" s="40"/>
      <c r="H97" s="40"/>
      <c r="I97" s="803">
        <f>'6A'!K98</f>
        <v>70000</v>
      </c>
      <c r="J97" s="804"/>
      <c r="K97" s="810">
        <f t="shared" si="4"/>
        <v>70000</v>
      </c>
      <c r="L97" s="440"/>
    </row>
    <row r="98" spans="2:12">
      <c r="B98" s="120"/>
      <c r="C98" s="346"/>
      <c r="D98" s="72" t="s">
        <v>940</v>
      </c>
      <c r="E98" s="40"/>
      <c r="F98" s="40"/>
      <c r="G98" s="40"/>
      <c r="H98" s="40"/>
      <c r="I98" s="803">
        <f>'6A'!K99</f>
        <v>6000</v>
      </c>
      <c r="J98" s="804"/>
      <c r="K98" s="810">
        <f t="shared" si="4"/>
        <v>6000</v>
      </c>
      <c r="L98" s="440"/>
    </row>
    <row r="99" spans="2:12">
      <c r="B99" s="120"/>
      <c r="C99" s="346"/>
      <c r="D99" s="72" t="s">
        <v>941</v>
      </c>
      <c r="E99" s="40"/>
      <c r="F99" s="40"/>
      <c r="G99" s="40"/>
      <c r="H99" s="40"/>
      <c r="I99" s="803">
        <f>'6A'!K100</f>
        <v>828947.95000000007</v>
      </c>
      <c r="J99" s="804"/>
      <c r="K99" s="810">
        <f t="shared" si="4"/>
        <v>828947.95000000007</v>
      </c>
      <c r="L99" s="440"/>
    </row>
    <row r="100" spans="2:12">
      <c r="B100" s="120"/>
      <c r="C100" s="346"/>
      <c r="D100" s="71" t="s">
        <v>942</v>
      </c>
      <c r="E100" s="40"/>
      <c r="F100" s="40"/>
      <c r="G100" s="40"/>
      <c r="H100" s="40"/>
      <c r="I100" s="803">
        <f>'6A'!K101</f>
        <v>0</v>
      </c>
      <c r="J100" s="804"/>
      <c r="K100" s="810">
        <f t="shared" si="4"/>
        <v>0</v>
      </c>
      <c r="L100" s="440"/>
    </row>
    <row r="101" spans="2:12">
      <c r="B101" s="120"/>
      <c r="C101" s="346"/>
      <c r="D101" s="71" t="s">
        <v>943</v>
      </c>
      <c r="E101" s="40"/>
      <c r="F101" s="40"/>
      <c r="G101" s="40"/>
      <c r="H101" s="40"/>
      <c r="I101" s="819">
        <f>'6A'!K102</f>
        <v>3500</v>
      </c>
      <c r="J101" s="811"/>
      <c r="K101" s="812">
        <f t="shared" si="4"/>
        <v>3500</v>
      </c>
      <c r="L101" s="440"/>
    </row>
    <row r="102" spans="2:12">
      <c r="B102" s="120"/>
      <c r="C102" s="346"/>
      <c r="D102" s="1530" t="s">
        <v>944</v>
      </c>
      <c r="E102" s="40"/>
      <c r="F102" s="40"/>
      <c r="G102" s="40"/>
      <c r="H102" s="40"/>
      <c r="I102" s="819">
        <f>'6A'!K103</f>
        <v>25000</v>
      </c>
      <c r="J102" s="106"/>
      <c r="K102" s="87"/>
      <c r="L102" s="440"/>
    </row>
    <row r="103" spans="2:12">
      <c r="B103" s="120"/>
      <c r="C103" s="346"/>
      <c r="D103" s="72" t="s">
        <v>945</v>
      </c>
      <c r="E103" s="40"/>
      <c r="F103" s="40"/>
      <c r="G103" s="40"/>
      <c r="H103" s="40"/>
      <c r="I103" s="819">
        <f>'6A'!K104</f>
        <v>15000</v>
      </c>
      <c r="J103" s="76"/>
      <c r="K103" s="82">
        <v>15000</v>
      </c>
      <c r="L103" s="440"/>
    </row>
    <row r="104" spans="2:12">
      <c r="B104" s="120"/>
      <c r="C104" s="346"/>
      <c r="D104" s="71" t="s">
        <v>946</v>
      </c>
      <c r="E104" s="40"/>
      <c r="F104" s="40"/>
      <c r="G104" s="40"/>
      <c r="H104" s="40"/>
      <c r="I104" s="819">
        <f>'6A'!K105</f>
        <v>0</v>
      </c>
      <c r="J104" s="93"/>
      <c r="K104" s="94"/>
      <c r="L104" s="440"/>
    </row>
    <row r="105" spans="2:12">
      <c r="B105" s="120"/>
      <c r="C105" s="346"/>
      <c r="D105" s="1531" t="s">
        <v>1001</v>
      </c>
      <c r="E105" s="55"/>
      <c r="F105" s="48"/>
      <c r="G105" s="48"/>
      <c r="H105" s="48"/>
      <c r="I105" s="820">
        <f>'6A'!K106</f>
        <v>50000</v>
      </c>
      <c r="J105" s="97"/>
      <c r="K105" s="98"/>
      <c r="L105" s="440"/>
    </row>
    <row r="106" spans="2:12" ht="15" thickBot="1">
      <c r="B106" s="120"/>
      <c r="C106" s="41"/>
      <c r="D106" s="40"/>
      <c r="E106" s="40"/>
      <c r="F106" s="346"/>
      <c r="G106" s="44" t="s">
        <v>887</v>
      </c>
      <c r="H106" s="77"/>
      <c r="I106" s="95">
        <f>SUM(I95:I105)</f>
        <v>1091494.18130753</v>
      </c>
      <c r="J106" s="80">
        <f>SUM(J95:J101)+J103</f>
        <v>0</v>
      </c>
      <c r="K106" s="83">
        <f>SUM(K95:K101)+K103</f>
        <v>1016494.18130753</v>
      </c>
      <c r="L106" s="440"/>
    </row>
    <row r="107" spans="2:12" ht="9" customHeight="1" thickBot="1">
      <c r="B107" s="443"/>
      <c r="C107" s="105"/>
      <c r="D107" s="54"/>
      <c r="E107" s="54"/>
      <c r="F107" s="53"/>
      <c r="G107" s="53"/>
      <c r="H107" s="53"/>
      <c r="I107" s="75"/>
      <c r="J107" s="75"/>
      <c r="K107" s="75"/>
      <c r="L107" s="444"/>
    </row>
    <row r="108" spans="2:12" ht="15" thickBot="1">
      <c r="B108" s="120"/>
      <c r="C108" s="2417" t="s">
        <v>948</v>
      </c>
      <c r="D108" s="2443"/>
      <c r="E108" s="2443"/>
      <c r="F108" s="2444"/>
      <c r="G108" s="2444"/>
      <c r="H108" s="2444"/>
      <c r="I108" s="66"/>
      <c r="J108" s="66"/>
      <c r="K108" s="66"/>
      <c r="L108" s="122"/>
    </row>
    <row r="109" spans="2:12">
      <c r="B109" s="120"/>
      <c r="C109" s="121"/>
      <c r="D109" s="78" t="s">
        <v>949</v>
      </c>
      <c r="E109" s="44"/>
      <c r="F109" s="40"/>
      <c r="G109" s="40"/>
      <c r="H109" s="40"/>
      <c r="I109" s="821">
        <f>'6A'!K111</f>
        <v>0</v>
      </c>
      <c r="J109" s="90"/>
      <c r="K109" s="2447"/>
      <c r="L109" s="122"/>
    </row>
    <row r="110" spans="2:12">
      <c r="B110" s="120"/>
      <c r="C110" s="121"/>
      <c r="D110" s="78" t="s">
        <v>950</v>
      </c>
      <c r="E110" s="44"/>
      <c r="F110" s="40"/>
      <c r="G110" s="40"/>
      <c r="H110" s="40"/>
      <c r="I110" s="819">
        <f>'6A'!K112</f>
        <v>0</v>
      </c>
      <c r="J110" s="91"/>
      <c r="K110" s="92"/>
      <c r="L110" s="122"/>
    </row>
    <row r="111" spans="2:12">
      <c r="B111" s="120"/>
      <c r="C111" s="346"/>
      <c r="D111" s="78" t="s">
        <v>951</v>
      </c>
      <c r="E111" s="44"/>
      <c r="F111" s="40"/>
      <c r="G111" s="40"/>
      <c r="H111" s="40"/>
      <c r="I111" s="819">
        <f>'6A'!K113</f>
        <v>0</v>
      </c>
      <c r="J111" s="91"/>
      <c r="K111" s="92"/>
      <c r="L111" s="440"/>
    </row>
    <row r="112" spans="2:12">
      <c r="B112" s="120"/>
      <c r="C112" s="346"/>
      <c r="D112" s="78" t="s">
        <v>952</v>
      </c>
      <c r="E112" s="44"/>
      <c r="F112" s="40"/>
      <c r="G112" s="40"/>
      <c r="H112" s="40"/>
      <c r="I112" s="819">
        <f>'6A'!K114</f>
        <v>0</v>
      </c>
      <c r="J112" s="91"/>
      <c r="K112" s="92"/>
      <c r="L112" s="440"/>
    </row>
    <row r="113" spans="2:12">
      <c r="B113" s="120"/>
      <c r="C113" s="346"/>
      <c r="D113" s="78" t="s">
        <v>953</v>
      </c>
      <c r="E113" s="44"/>
      <c r="F113" s="40"/>
      <c r="G113" s="40"/>
      <c r="H113" s="40"/>
      <c r="I113" s="819">
        <f>'6A'!K115</f>
        <v>0</v>
      </c>
      <c r="J113" s="91"/>
      <c r="K113" s="92"/>
      <c r="L113" s="440"/>
    </row>
    <row r="114" spans="2:12">
      <c r="B114" s="120"/>
      <c r="C114" s="346"/>
      <c r="D114" s="78" t="s">
        <v>954</v>
      </c>
      <c r="E114" s="44"/>
      <c r="F114" s="40"/>
      <c r="G114" s="40"/>
      <c r="H114" s="40"/>
      <c r="I114" s="819">
        <f>'6A'!K116</f>
        <v>0</v>
      </c>
      <c r="J114" s="91"/>
      <c r="K114" s="92"/>
      <c r="L114" s="440"/>
    </row>
    <row r="115" spans="2:12">
      <c r="B115" s="120"/>
      <c r="C115" s="346"/>
      <c r="D115" s="78" t="s">
        <v>955</v>
      </c>
      <c r="E115" s="44"/>
      <c r="F115" s="40"/>
      <c r="G115" s="40"/>
      <c r="H115" s="40"/>
      <c r="I115" s="820">
        <f>'6A'!K117</f>
        <v>0</v>
      </c>
      <c r="J115" s="97"/>
      <c r="K115" s="98"/>
      <c r="L115" s="440"/>
    </row>
    <row r="116" spans="2:12" ht="15" thickBot="1">
      <c r="B116" s="120"/>
      <c r="C116" s="41"/>
      <c r="D116" s="346"/>
      <c r="E116" s="40"/>
      <c r="F116" s="346"/>
      <c r="G116" s="44" t="s">
        <v>887</v>
      </c>
      <c r="H116" s="77"/>
      <c r="I116" s="95">
        <f>SUM(I109:I115)</f>
        <v>0</v>
      </c>
      <c r="J116" s="80">
        <v>0</v>
      </c>
      <c r="K116" s="83">
        <v>0</v>
      </c>
      <c r="L116" s="440"/>
    </row>
    <row r="117" spans="2:12" ht="7.5" customHeight="1" thickBot="1">
      <c r="B117" s="120"/>
      <c r="C117" s="59"/>
      <c r="D117" s="58"/>
      <c r="E117" s="58"/>
      <c r="F117" s="60"/>
      <c r="G117" s="60"/>
      <c r="H117" s="60"/>
      <c r="I117" s="70"/>
      <c r="J117" s="70"/>
      <c r="K117" s="70"/>
      <c r="L117" s="440"/>
    </row>
    <row r="118" spans="2:12" ht="15" thickBot="1">
      <c r="B118" s="120"/>
      <c r="C118" s="2449" t="s">
        <v>1009</v>
      </c>
      <c r="D118" s="2450"/>
      <c r="E118" s="2450"/>
      <c r="F118" s="2450"/>
      <c r="G118" s="2450"/>
      <c r="H118" s="2450"/>
      <c r="I118" s="2451">
        <f ca="1">I27+I46+I62+I67+I75+I86+I92+I106+I116</f>
        <v>29402568.929132134</v>
      </c>
      <c r="J118" s="2452">
        <f>J27+J46+J62+J67+J75+J86+J92+J106+J116</f>
        <v>0</v>
      </c>
      <c r="K118" s="2453">
        <f ca="1">K27+K46+K62+K67+K75+K86+K92+K106+K116</f>
        <v>25222848.009132132</v>
      </c>
      <c r="L118" s="440"/>
    </row>
    <row r="119" spans="2:12" ht="7.5" customHeight="1">
      <c r="B119" s="120"/>
      <c r="C119" s="121"/>
      <c r="D119" s="121"/>
      <c r="E119" s="121"/>
      <c r="F119" s="121"/>
      <c r="G119" s="121"/>
      <c r="H119" s="121"/>
      <c r="I119" s="346"/>
      <c r="J119" s="346"/>
      <c r="K119" s="346"/>
      <c r="L119" s="440"/>
    </row>
    <row r="120" spans="2:12">
      <c r="B120" s="120"/>
      <c r="C120" s="2083" t="s">
        <v>1010</v>
      </c>
      <c r="D120" s="2084"/>
      <c r="E120" s="2084"/>
      <c r="F120" s="2084"/>
      <c r="G120" s="2084"/>
      <c r="H120" s="2084"/>
      <c r="I120" s="2084"/>
      <c r="J120" s="2084"/>
      <c r="K120" s="2085"/>
      <c r="L120" s="440"/>
    </row>
    <row r="121" spans="2:12">
      <c r="B121" s="120"/>
      <c r="C121" s="2086"/>
      <c r="D121" s="2087"/>
      <c r="E121" s="2087"/>
      <c r="F121" s="2087"/>
      <c r="G121" s="2087"/>
      <c r="H121" s="2087"/>
      <c r="I121" s="2087"/>
      <c r="J121" s="2087"/>
      <c r="K121" s="2088"/>
      <c r="L121" s="440"/>
    </row>
    <row r="122" spans="2:12">
      <c r="B122" s="120"/>
      <c r="C122" s="2089"/>
      <c r="D122" s="2090"/>
      <c r="E122" s="2090"/>
      <c r="F122" s="2090"/>
      <c r="G122" s="2090"/>
      <c r="H122" s="2090"/>
      <c r="I122" s="2090"/>
      <c r="J122" s="2090"/>
      <c r="K122" s="2091"/>
      <c r="L122" s="440"/>
    </row>
    <row r="123" spans="2:12" ht="9" customHeight="1" thickBot="1">
      <c r="B123" s="445"/>
      <c r="C123" s="446"/>
      <c r="D123" s="446"/>
      <c r="E123" s="446"/>
      <c r="F123" s="446"/>
      <c r="G123" s="446"/>
      <c r="H123" s="446"/>
      <c r="I123" s="446"/>
      <c r="J123" s="446"/>
      <c r="K123" s="446"/>
      <c r="L123" s="444"/>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72"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5:J54"/>
  <sheetViews>
    <sheetView showGridLines="0" topLeftCell="A19" zoomScaleNormal="100" workbookViewId="0" xr3:uid="{CF366857-BBDD-5199-9BC9-FF52903B0715}">
      <selection activeCell="J40" sqref="J40"/>
    </sheetView>
  </sheetViews>
  <sheetFormatPr defaultColWidth="9.140625" defaultRowHeight="14.45"/>
  <cols>
    <col min="1" max="2" width="1.7109375" style="339" customWidth="1"/>
    <col min="3" max="3" width="2.85546875" style="339" customWidth="1"/>
    <col min="4" max="4" width="14.28515625" style="339" customWidth="1"/>
    <col min="5" max="5" width="48.42578125" style="339" customWidth="1"/>
    <col min="6" max="6" width="11.42578125" style="339" customWidth="1"/>
    <col min="7" max="7" width="16" style="339" bestFit="1" customWidth="1"/>
    <col min="8" max="8" width="1.7109375" style="339" customWidth="1"/>
    <col min="9" max="16384" width="9.140625" style="339"/>
  </cols>
  <sheetData>
    <row r="5" spans="2:8" ht="9" customHeight="1" thickBot="1"/>
    <row r="6" spans="2:8" ht="9" customHeight="1">
      <c r="B6" s="447"/>
      <c r="C6" s="448"/>
      <c r="D6" s="448"/>
      <c r="E6" s="449"/>
      <c r="F6" s="449"/>
      <c r="G6" s="449"/>
      <c r="H6" s="450"/>
    </row>
    <row r="7" spans="2:8" ht="18.600000000000001">
      <c r="B7" s="451"/>
      <c r="C7" s="2103" t="s">
        <v>1011</v>
      </c>
      <c r="D7" s="2103"/>
      <c r="E7" s="2103"/>
      <c r="F7" s="2103"/>
      <c r="G7" s="2103"/>
      <c r="H7" s="452"/>
    </row>
    <row r="8" spans="2:8">
      <c r="B8" s="451"/>
      <c r="C8" s="453"/>
      <c r="D8" s="453"/>
      <c r="E8" s="454"/>
      <c r="F8" s="454"/>
      <c r="G8" s="454"/>
      <c r="H8" s="452"/>
    </row>
    <row r="9" spans="2:8" ht="15" thickBot="1">
      <c r="B9" s="451"/>
      <c r="C9" s="2454" t="str">
        <f>IF('1'!G5="","Enter Project Name on Form 1",(CONCATENATE("Project Name: ",'1'!G5)))</f>
        <v>Project Name: DESC 22nd Avenue PSH</v>
      </c>
      <c r="D9" s="2454"/>
      <c r="E9" s="2454"/>
      <c r="F9" s="2454"/>
      <c r="G9" s="424"/>
      <c r="H9" s="455"/>
    </row>
    <row r="10" spans="2:8">
      <c r="B10" s="451"/>
      <c r="C10" s="453"/>
      <c r="D10" s="453"/>
      <c r="E10" s="134"/>
      <c r="F10" s="136"/>
      <c r="G10" s="137"/>
      <c r="H10" s="456"/>
    </row>
    <row r="11" spans="2:8">
      <c r="B11" s="451"/>
      <c r="C11" s="134" t="s">
        <v>1012</v>
      </c>
      <c r="D11" s="134"/>
      <c r="E11" s="457"/>
      <c r="F11" s="136"/>
      <c r="G11" s="137"/>
      <c r="H11" s="456"/>
    </row>
    <row r="12" spans="2:8" ht="30" customHeight="1">
      <c r="B12" s="451"/>
      <c r="C12" s="453"/>
      <c r="D12" s="2104" t="s">
        <v>1013</v>
      </c>
      <c r="E12" s="2104"/>
      <c r="F12" s="584" t="s">
        <v>22</v>
      </c>
      <c r="G12" s="457"/>
      <c r="H12" s="456"/>
    </row>
    <row r="13" spans="2:8" ht="15" thickBot="1">
      <c r="B13" s="451"/>
      <c r="C13" s="453"/>
      <c r="D13" s="453"/>
      <c r="E13" s="134"/>
      <c r="F13" s="136"/>
      <c r="G13" s="136"/>
      <c r="H13" s="456"/>
    </row>
    <row r="14" spans="2:8" ht="24.6" thickBot="1">
      <c r="B14" s="451"/>
      <c r="C14" s="453"/>
      <c r="D14" s="453"/>
      <c r="E14" s="134"/>
      <c r="F14" s="2455" t="s">
        <v>89</v>
      </c>
      <c r="G14" s="2456" t="s">
        <v>1014</v>
      </c>
      <c r="H14" s="456"/>
    </row>
    <row r="15" spans="2:8" ht="15" thickBot="1">
      <c r="B15" s="451"/>
      <c r="C15" s="2457" t="s">
        <v>1015</v>
      </c>
      <c r="D15" s="2457"/>
      <c r="E15" s="2458"/>
      <c r="F15" s="2459"/>
      <c r="G15" s="2459"/>
      <c r="H15" s="456"/>
    </row>
    <row r="16" spans="2:8">
      <c r="B16" s="451"/>
      <c r="C16" s="134"/>
      <c r="D16" s="138" t="s">
        <v>1016</v>
      </c>
      <c r="E16" s="457"/>
      <c r="F16" s="827">
        <f>'6C'!J118</f>
        <v>0</v>
      </c>
      <c r="G16" s="139">
        <f ca="1">'6C'!K118</f>
        <v>25222848.009132132</v>
      </c>
      <c r="H16" s="456"/>
    </row>
    <row r="17" spans="2:8">
      <c r="B17" s="451"/>
      <c r="C17" s="134"/>
      <c r="D17" s="135" t="s">
        <v>1017</v>
      </c>
      <c r="E17" s="457"/>
      <c r="F17" s="823"/>
      <c r="G17" s="822"/>
      <c r="H17" s="456"/>
    </row>
    <row r="18" spans="2:8">
      <c r="B18" s="451"/>
      <c r="C18" s="134"/>
      <c r="D18" s="135" t="s">
        <v>1018</v>
      </c>
      <c r="E18" s="457"/>
      <c r="F18" s="823"/>
      <c r="G18" s="824"/>
      <c r="H18" s="456"/>
    </row>
    <row r="19" spans="2:8" ht="30" customHeight="1">
      <c r="B19" s="451"/>
      <c r="C19" s="134"/>
      <c r="D19" s="2104" t="s">
        <v>1019</v>
      </c>
      <c r="E19" s="2105"/>
      <c r="F19" s="823"/>
      <c r="G19" s="824"/>
      <c r="H19" s="456"/>
    </row>
    <row r="20" spans="2:8">
      <c r="B20" s="451"/>
      <c r="C20" s="134"/>
      <c r="D20" s="140" t="s">
        <v>1020</v>
      </c>
      <c r="E20" s="458"/>
      <c r="F20" s="825"/>
      <c r="G20" s="826"/>
      <c r="H20" s="456"/>
    </row>
    <row r="21" spans="2:8" ht="15" thickBot="1">
      <c r="B21" s="451"/>
      <c r="C21" s="134"/>
      <c r="D21" s="138" t="s">
        <v>1021</v>
      </c>
      <c r="E21" s="457"/>
      <c r="F21" s="141">
        <f>F16-(SUM(F17:F20))</f>
        <v>0</v>
      </c>
      <c r="G21" s="142">
        <f ca="1">G16-(SUM(G18:G20))</f>
        <v>25222848.009132132</v>
      </c>
      <c r="H21" s="456"/>
    </row>
    <row r="22" spans="2:8" ht="15" thickBot="1">
      <c r="B22" s="451"/>
      <c r="C22" s="134"/>
      <c r="D22" s="135"/>
      <c r="E22" s="457"/>
      <c r="F22" s="137"/>
      <c r="G22" s="136"/>
      <c r="H22" s="456"/>
    </row>
    <row r="23" spans="2:8">
      <c r="B23" s="451"/>
      <c r="C23" s="134"/>
      <c r="D23" s="136" t="s">
        <v>1021</v>
      </c>
      <c r="E23" s="457"/>
      <c r="F23" s="827">
        <f>F21</f>
        <v>0</v>
      </c>
      <c r="G23" s="828">
        <f ca="1">G21</f>
        <v>25222848.009132132</v>
      </c>
      <c r="H23" s="456"/>
    </row>
    <row r="24" spans="2:8">
      <c r="B24" s="451"/>
      <c r="C24" s="134"/>
      <c r="D24" s="136" t="s">
        <v>1022</v>
      </c>
      <c r="E24" s="457"/>
      <c r="F24" s="829">
        <v>1</v>
      </c>
      <c r="G24" s="830">
        <f>IF(F12="Yes",130%,100%)</f>
        <v>1.3</v>
      </c>
      <c r="H24" s="456"/>
    </row>
    <row r="25" spans="2:8">
      <c r="B25" s="451"/>
      <c r="C25" s="134"/>
      <c r="D25" s="143" t="s">
        <v>1023</v>
      </c>
      <c r="E25" s="458"/>
      <c r="F25" s="1596"/>
      <c r="G25" s="1595">
        <v>1</v>
      </c>
      <c r="H25" s="456"/>
    </row>
    <row r="26" spans="2:8" ht="15" thickBot="1">
      <c r="B26" s="451"/>
      <c r="C26" s="134"/>
      <c r="D26" s="144" t="s">
        <v>1024</v>
      </c>
      <c r="E26" s="457"/>
      <c r="F26" s="145">
        <f>(F23*F24)*F25</f>
        <v>0</v>
      </c>
      <c r="G26" s="146">
        <f ca="1">(G23*G24)*G25</f>
        <v>32789702.411871772</v>
      </c>
      <c r="H26" s="456"/>
    </row>
    <row r="27" spans="2:8" ht="15" thickBot="1">
      <c r="B27" s="451"/>
      <c r="C27" s="134"/>
      <c r="D27" s="135"/>
      <c r="E27" s="457"/>
      <c r="F27" s="136"/>
      <c r="G27" s="136"/>
      <c r="H27" s="456"/>
    </row>
    <row r="28" spans="2:8">
      <c r="B28" s="451"/>
      <c r="C28" s="134"/>
      <c r="D28" s="135" t="s">
        <v>1024</v>
      </c>
      <c r="E28" s="457"/>
      <c r="F28" s="827">
        <f>F26</f>
        <v>0</v>
      </c>
      <c r="G28" s="828">
        <f ca="1">G26</f>
        <v>32789702.411871772</v>
      </c>
      <c r="H28" s="456"/>
    </row>
    <row r="29" spans="2:8">
      <c r="B29" s="451"/>
      <c r="C29" s="134"/>
      <c r="D29" s="140" t="s">
        <v>1025</v>
      </c>
      <c r="E29" s="457"/>
      <c r="F29" s="1097">
        <v>3.2199999999999999E-2</v>
      </c>
      <c r="G29" s="1595">
        <v>0.09</v>
      </c>
      <c r="H29" s="456"/>
    </row>
    <row r="30" spans="2:8" ht="15" thickBot="1">
      <c r="B30" s="451"/>
      <c r="C30" s="134"/>
      <c r="D30" s="138" t="s">
        <v>1026</v>
      </c>
      <c r="E30" s="457"/>
      <c r="F30" s="141">
        <f>F28*F29</f>
        <v>0</v>
      </c>
      <c r="G30" s="142">
        <f ca="1">G28*G29</f>
        <v>2951073.2170684594</v>
      </c>
      <c r="H30" s="456"/>
    </row>
    <row r="31" spans="2:8" ht="15" customHeight="1" thickBot="1">
      <c r="B31" s="451"/>
      <c r="C31" s="134"/>
      <c r="D31" s="135"/>
      <c r="E31" s="457"/>
      <c r="F31" s="136"/>
      <c r="G31" s="136"/>
      <c r="H31" s="456"/>
    </row>
    <row r="32" spans="2:8" ht="15" thickBot="1">
      <c r="B32" s="451"/>
      <c r="C32" s="134"/>
      <c r="D32" s="138" t="s">
        <v>1027</v>
      </c>
      <c r="E32" s="457"/>
      <c r="F32" s="136"/>
      <c r="G32" s="147">
        <f ca="1">F30+G30</f>
        <v>2951073.2170684594</v>
      </c>
      <c r="H32" s="456"/>
    </row>
    <row r="33" spans="2:10">
      <c r="B33" s="451"/>
      <c r="C33" s="134"/>
      <c r="D33" s="134"/>
      <c r="E33" s="135"/>
      <c r="F33" s="136"/>
      <c r="G33" s="136"/>
      <c r="H33" s="456"/>
    </row>
    <row r="34" spans="2:10" ht="15" thickBot="1">
      <c r="B34" s="451"/>
      <c r="C34" s="2460" t="s">
        <v>1028</v>
      </c>
      <c r="D34" s="2460"/>
      <c r="E34" s="2461"/>
      <c r="F34" s="2462"/>
      <c r="G34" s="2463"/>
      <c r="H34" s="456"/>
    </row>
    <row r="35" spans="2:10">
      <c r="B35" s="451"/>
      <c r="C35" s="134"/>
      <c r="D35" s="135" t="s">
        <v>1029</v>
      </c>
      <c r="E35" s="457"/>
      <c r="F35" s="136"/>
      <c r="G35" s="831">
        <f ca="1">'6A'!K120</f>
        <v>29402568.929132134</v>
      </c>
      <c r="H35" s="148"/>
    </row>
    <row r="36" spans="2:10">
      <c r="B36" s="451"/>
      <c r="C36" s="134"/>
      <c r="D36" s="140" t="s">
        <v>1030</v>
      </c>
      <c r="E36" s="459"/>
      <c r="F36" s="302"/>
      <c r="G36" s="832">
        <f>-('7A'!F35)</f>
        <v>-13520742</v>
      </c>
      <c r="H36" s="456"/>
    </row>
    <row r="37" spans="2:10" ht="15" thickBot="1">
      <c r="B37" s="451"/>
      <c r="C37" s="134"/>
      <c r="D37" s="138" t="s">
        <v>1031</v>
      </c>
      <c r="E37" s="457"/>
      <c r="F37" s="144"/>
      <c r="G37" s="149">
        <f ca="1">G35+G36</f>
        <v>15881826.929132134</v>
      </c>
      <c r="H37" s="456"/>
    </row>
    <row r="38" spans="2:10" ht="15" thickBot="1">
      <c r="B38" s="451"/>
      <c r="C38" s="134"/>
      <c r="D38" s="135"/>
      <c r="E38" s="457"/>
      <c r="F38" s="136"/>
      <c r="G38" s="137"/>
      <c r="H38" s="456"/>
    </row>
    <row r="39" spans="2:10">
      <c r="B39" s="451"/>
      <c r="C39" s="134"/>
      <c r="D39" s="135" t="s">
        <v>1031</v>
      </c>
      <c r="E39" s="457"/>
      <c r="F39" s="136"/>
      <c r="G39" s="831">
        <f ca="1">G37</f>
        <v>15881826.929132134</v>
      </c>
      <c r="H39" s="456"/>
    </row>
    <row r="40" spans="2:10" ht="15" thickBot="1">
      <c r="B40" s="451"/>
      <c r="C40" s="134"/>
      <c r="D40" s="135" t="s">
        <v>1032</v>
      </c>
      <c r="E40" s="457"/>
      <c r="F40" s="136"/>
      <c r="G40" s="833">
        <v>0.93</v>
      </c>
      <c r="H40" s="456"/>
      <c r="J40" s="336"/>
    </row>
    <row r="41" spans="2:10" ht="15" thickBot="1">
      <c r="B41" s="451"/>
      <c r="C41" s="134"/>
      <c r="D41" s="150" t="s">
        <v>1033</v>
      </c>
      <c r="E41" s="459"/>
      <c r="F41" s="143"/>
      <c r="G41" s="2464">
        <v>10</v>
      </c>
      <c r="H41" s="456"/>
    </row>
    <row r="42" spans="2:10" ht="15" thickBot="1">
      <c r="B42" s="451"/>
      <c r="C42" s="134"/>
      <c r="D42" s="151" t="s">
        <v>1034</v>
      </c>
      <c r="E42" s="457"/>
      <c r="F42" s="136"/>
      <c r="G42" s="152">
        <f ca="1">IFERROR(((G39/G40)/10),0)</f>
        <v>1707723.3257131327</v>
      </c>
      <c r="H42" s="456"/>
    </row>
    <row r="43" spans="2:10">
      <c r="B43" s="451"/>
      <c r="C43" s="134"/>
      <c r="D43" s="134"/>
      <c r="E43" s="135"/>
      <c r="F43" s="136"/>
      <c r="G43" s="137"/>
      <c r="H43" s="456"/>
    </row>
    <row r="44" spans="2:10">
      <c r="B44" s="451"/>
      <c r="C44" s="134" t="s">
        <v>1035</v>
      </c>
      <c r="D44" s="134"/>
      <c r="E44" s="135"/>
      <c r="F44" s="136"/>
      <c r="G44" s="585" t="s">
        <v>22</v>
      </c>
      <c r="H44" s="456"/>
    </row>
    <row r="45" spans="2:10">
      <c r="B45" s="451"/>
      <c r="C45" s="134"/>
      <c r="D45" s="134"/>
      <c r="E45" s="135"/>
      <c r="F45" s="136"/>
      <c r="G45" s="137"/>
      <c r="H45" s="456"/>
    </row>
    <row r="46" spans="2:10" ht="15" thickBot="1">
      <c r="B46" s="451"/>
      <c r="C46" s="2460" t="s">
        <v>1036</v>
      </c>
      <c r="D46" s="2460"/>
      <c r="E46" s="2461"/>
      <c r="F46" s="2462"/>
      <c r="G46" s="136"/>
      <c r="H46" s="153"/>
    </row>
    <row r="47" spans="2:10">
      <c r="B47" s="451"/>
      <c r="C47" s="134"/>
      <c r="D47" s="135" t="s">
        <v>1037</v>
      </c>
      <c r="E47" s="457"/>
      <c r="F47" s="136"/>
      <c r="G47" s="1391">
        <f>SUM('8A'!L35:L42)</f>
        <v>90</v>
      </c>
      <c r="H47" s="153"/>
    </row>
    <row r="48" spans="2:10">
      <c r="B48" s="451"/>
      <c r="C48" s="134"/>
      <c r="D48" s="140" t="s">
        <v>1038</v>
      </c>
      <c r="E48" s="459"/>
      <c r="F48" s="302"/>
      <c r="G48" s="832">
        <f>IF(G44="Yes",20957,16153)</f>
        <v>20957</v>
      </c>
      <c r="H48" s="153"/>
    </row>
    <row r="49" spans="2:8" ht="15" thickBot="1">
      <c r="B49" s="451"/>
      <c r="C49" s="134"/>
      <c r="D49" s="138" t="s">
        <v>1039</v>
      </c>
      <c r="E49" s="457"/>
      <c r="F49" s="136"/>
      <c r="G49" s="152">
        <f>G47*G48</f>
        <v>1886130</v>
      </c>
      <c r="H49" s="153"/>
    </row>
    <row r="50" spans="2:8" ht="15" thickBot="1">
      <c r="B50" s="451"/>
      <c r="C50" s="453"/>
      <c r="D50" s="453"/>
      <c r="E50" s="134"/>
      <c r="F50" s="136"/>
      <c r="G50" s="136"/>
      <c r="H50" s="148"/>
    </row>
    <row r="51" spans="2:8" s="1139" customFormat="1" ht="19.5" thickTop="1" thickBot="1">
      <c r="B51" s="1136"/>
      <c r="C51" s="1137"/>
      <c r="D51" s="1137"/>
      <c r="E51" s="2465" t="s">
        <v>1040</v>
      </c>
      <c r="F51" s="2466"/>
      <c r="G51" s="1140">
        <f ca="1">MIN(G32,G42,G49)</f>
        <v>1707723.3257131327</v>
      </c>
      <c r="H51" s="1138"/>
    </row>
    <row r="52" spans="2:8" ht="7.5" customHeight="1" thickBot="1">
      <c r="B52" s="1392"/>
      <c r="C52" s="457"/>
      <c r="D52" s="457"/>
      <c r="E52" s="457"/>
      <c r="F52" s="457"/>
      <c r="G52" s="457"/>
      <c r="H52" s="1393"/>
    </row>
    <row r="53" spans="2:8" ht="15" thickBot="1">
      <c r="B53" s="1392"/>
      <c r="C53" s="457"/>
      <c r="D53" s="457"/>
      <c r="E53" s="2467" t="s">
        <v>1041</v>
      </c>
      <c r="F53" s="2468"/>
      <c r="G53" s="1141">
        <f ca="1">G51*G40*10</f>
        <v>15881826.929132136</v>
      </c>
      <c r="H53" s="1393"/>
    </row>
    <row r="54" spans="2:8" ht="15" thickBot="1">
      <c r="B54" s="460"/>
      <c r="C54" s="461"/>
      <c r="D54" s="461"/>
      <c r="E54" s="2106"/>
      <c r="F54" s="2106"/>
      <c r="G54" s="2106"/>
      <c r="H54" s="462"/>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xr:uid="{00000000-0002-0000-1200-000000000000}">
      <formula1>"Yes,No"</formula1>
    </dataValidation>
    <dataValidation type="list" allowBlank="1" showInputMessage="1" showErrorMessage="1" sqref="G44" xr:uid="{00000000-0002-0000-1200-000001000000}">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6:O66"/>
  <sheetViews>
    <sheetView showGridLines="0" topLeftCell="A44" zoomScaleNormal="100" workbookViewId="0" xr3:uid="{34904945-5288-588E-9F07-34343C13E9F2}">
      <selection activeCell="L68" sqref="L68"/>
    </sheetView>
  </sheetViews>
  <sheetFormatPr defaultColWidth="9.140625" defaultRowHeight="14.45"/>
  <cols>
    <col min="1" max="2" width="1.7109375" style="335" customWidth="1"/>
    <col min="3" max="3" width="2.85546875" style="335" customWidth="1"/>
    <col min="4" max="4" width="14.28515625" style="335" customWidth="1"/>
    <col min="5" max="5" width="9.140625" style="335"/>
    <col min="6" max="6" width="4.28515625" style="335" customWidth="1"/>
    <col min="7" max="7" width="11.42578125" style="335" customWidth="1"/>
    <col min="8" max="8" width="16.42578125" style="335" customWidth="1"/>
    <col min="9" max="9" width="31.42578125" style="354" customWidth="1"/>
    <col min="10" max="10" width="1.7109375" style="354" customWidth="1"/>
    <col min="11" max="16384" width="9.140625" style="335"/>
  </cols>
  <sheetData>
    <row r="6" spans="2:10" ht="15" thickBot="1"/>
    <row r="7" spans="2:10" s="354" customFormat="1">
      <c r="B7" s="465"/>
      <c r="C7" s="547"/>
      <c r="D7" s="547"/>
      <c r="E7" s="547"/>
      <c r="F7" s="547"/>
      <c r="G7" s="547"/>
      <c r="H7" s="547"/>
      <c r="I7" s="547"/>
      <c r="J7" s="466"/>
    </row>
    <row r="8" spans="2:10" s="354" customFormat="1" ht="18.600000000000001">
      <c r="B8" s="467"/>
      <c r="C8" s="2057" t="s">
        <v>1042</v>
      </c>
      <c r="D8" s="2057"/>
      <c r="E8" s="2057"/>
      <c r="F8" s="2057"/>
      <c r="G8" s="2057"/>
      <c r="H8" s="2057"/>
      <c r="I8" s="2057"/>
      <c r="J8" s="468"/>
    </row>
    <row r="9" spans="2:10" s="354" customFormat="1">
      <c r="B9" s="467"/>
      <c r="C9" s="362"/>
      <c r="D9" s="362"/>
      <c r="E9" s="362"/>
      <c r="F9" s="362"/>
      <c r="G9" s="362"/>
      <c r="H9" s="362"/>
      <c r="I9" s="362"/>
      <c r="J9" s="468"/>
    </row>
    <row r="10" spans="2:10" s="354" customFormat="1" ht="15" thickBot="1">
      <c r="B10" s="467"/>
      <c r="C10" s="2003" t="str">
        <f>IF('1'!G5="","Enter Project Name on Form 1",(CONCATENATE("Project Name: ",'1'!G5)))</f>
        <v>Project Name: DESC 22nd Avenue PSH</v>
      </c>
      <c r="D10" s="2003"/>
      <c r="E10" s="2003"/>
      <c r="F10" s="2003"/>
      <c r="G10" s="2003"/>
      <c r="H10" s="2003"/>
      <c r="I10" s="2003"/>
      <c r="J10" s="468"/>
    </row>
    <row r="11" spans="2:10" s="354" customFormat="1" ht="15" customHeight="1" thickBot="1">
      <c r="B11" s="467"/>
      <c r="C11" s="362"/>
      <c r="D11" s="362"/>
      <c r="E11" s="362"/>
      <c r="F11" s="362"/>
      <c r="G11" s="362"/>
      <c r="H11" s="362"/>
      <c r="I11" s="362"/>
      <c r="J11" s="468"/>
    </row>
    <row r="12" spans="2:10" s="354" customFormat="1" ht="15" thickBot="1">
      <c r="B12" s="467"/>
      <c r="C12" s="469" t="s">
        <v>1043</v>
      </c>
      <c r="D12" s="595"/>
      <c r="E12" s="595"/>
      <c r="F12" s="592" t="s">
        <v>1044</v>
      </c>
      <c r="G12" s="593" t="s">
        <v>1045</v>
      </c>
      <c r="H12" s="593" t="s">
        <v>848</v>
      </c>
      <c r="I12" s="2469" t="s">
        <v>1046</v>
      </c>
      <c r="J12" s="550"/>
    </row>
    <row r="13" spans="2:10" s="354" customFormat="1" ht="15" thickBot="1">
      <c r="B13" s="467"/>
      <c r="C13" s="2470" t="s">
        <v>1047</v>
      </c>
      <c r="D13" s="2470"/>
      <c r="E13" s="2470"/>
      <c r="F13" s="121"/>
      <c r="G13" s="121"/>
      <c r="H13" s="362"/>
      <c r="I13" s="362"/>
      <c r="J13" s="468"/>
    </row>
    <row r="14" spans="2:10" s="354" customFormat="1" ht="15" thickBot="1">
      <c r="B14" s="467"/>
      <c r="C14" s="61"/>
      <c r="D14" s="61" t="s">
        <v>1048</v>
      </c>
      <c r="E14" s="61"/>
      <c r="F14" s="594"/>
      <c r="G14" s="1843"/>
      <c r="H14" s="586">
        <f>F14*G14</f>
        <v>0</v>
      </c>
      <c r="I14" s="587"/>
      <c r="J14" s="468"/>
    </row>
    <row r="15" spans="2:10" s="354" customFormat="1" ht="15" thickBot="1">
      <c r="B15" s="467"/>
      <c r="C15" s="61"/>
      <c r="D15" s="61"/>
      <c r="E15" s="61"/>
      <c r="F15" s="2471"/>
      <c r="G15" s="2472"/>
      <c r="H15" s="588">
        <f>H14</f>
        <v>0</v>
      </c>
      <c r="I15" s="2473"/>
      <c r="J15" s="468"/>
    </row>
    <row r="16" spans="2:10" s="354" customFormat="1" ht="3.75" customHeight="1">
      <c r="B16" s="467"/>
      <c r="C16" s="61"/>
      <c r="D16" s="61"/>
      <c r="E16" s="61"/>
      <c r="F16" s="121"/>
      <c r="G16" s="121"/>
      <c r="H16" s="362"/>
      <c r="I16" s="362"/>
      <c r="J16" s="468"/>
    </row>
    <row r="17" spans="2:10" s="354" customFormat="1" ht="15" thickBot="1">
      <c r="B17" s="467"/>
      <c r="C17" s="2470" t="s">
        <v>1049</v>
      </c>
      <c r="D17" s="2470"/>
      <c r="E17" s="2470"/>
      <c r="F17" s="121"/>
      <c r="G17" s="121"/>
      <c r="H17" s="362"/>
      <c r="I17" s="362"/>
      <c r="J17" s="468"/>
    </row>
    <row r="18" spans="2:10" s="354" customFormat="1">
      <c r="B18" s="467"/>
      <c r="C18" s="61"/>
      <c r="D18" s="61" t="s">
        <v>1050</v>
      </c>
      <c r="E18" s="61"/>
      <c r="F18" s="834">
        <v>1</v>
      </c>
      <c r="G18" s="1844">
        <f>25000</f>
        <v>25000</v>
      </c>
      <c r="H18" s="835">
        <f t="shared" ref="H18:H25" si="0">F18*G18</f>
        <v>25000</v>
      </c>
      <c r="I18" s="836" t="s">
        <v>1051</v>
      </c>
      <c r="J18" s="468"/>
    </row>
    <row r="19" spans="2:10" s="354" customFormat="1">
      <c r="B19" s="467"/>
      <c r="C19" s="61"/>
      <c r="D19" s="61" t="s">
        <v>1052</v>
      </c>
      <c r="E19" s="61"/>
      <c r="F19" s="837">
        <v>1</v>
      </c>
      <c r="G19" s="1845">
        <f>70000</f>
        <v>70000</v>
      </c>
      <c r="H19" s="838">
        <f t="shared" si="0"/>
        <v>70000</v>
      </c>
      <c r="I19" s="839" t="s">
        <v>1053</v>
      </c>
      <c r="J19" s="468"/>
    </row>
    <row r="20" spans="2:10" s="354" customFormat="1">
      <c r="B20" s="467"/>
      <c r="C20" s="61"/>
      <c r="D20" s="61" t="s">
        <v>1054</v>
      </c>
      <c r="E20" s="61"/>
      <c r="F20" s="837"/>
      <c r="G20" s="1845"/>
      <c r="H20" s="838">
        <f t="shared" si="0"/>
        <v>0</v>
      </c>
      <c r="I20" s="839"/>
      <c r="J20" s="468"/>
    </row>
    <row r="21" spans="2:10" s="354" customFormat="1">
      <c r="B21" s="467"/>
      <c r="C21" s="61"/>
      <c r="D21" s="61" t="s">
        <v>480</v>
      </c>
      <c r="E21" s="61"/>
      <c r="F21" s="837"/>
      <c r="G21" s="1845"/>
      <c r="H21" s="838">
        <f t="shared" si="0"/>
        <v>0</v>
      </c>
      <c r="I21" s="839"/>
      <c r="J21" s="468"/>
    </row>
    <row r="22" spans="2:10" s="354" customFormat="1">
      <c r="B22" s="467"/>
      <c r="C22" s="61"/>
      <c r="D22" s="61" t="s">
        <v>1055</v>
      </c>
      <c r="E22" s="61"/>
      <c r="F22" s="837"/>
      <c r="G22" s="1845"/>
      <c r="H22" s="838">
        <f t="shared" si="0"/>
        <v>0</v>
      </c>
      <c r="I22" s="839"/>
      <c r="J22" s="468"/>
    </row>
    <row r="23" spans="2:10" s="354" customFormat="1">
      <c r="B23" s="467"/>
      <c r="C23" s="61"/>
      <c r="D23" s="61" t="s">
        <v>1056</v>
      </c>
      <c r="E23" s="61"/>
      <c r="F23" s="837"/>
      <c r="G23" s="1845"/>
      <c r="H23" s="838">
        <f t="shared" si="0"/>
        <v>0</v>
      </c>
      <c r="I23" s="839"/>
      <c r="J23" s="468"/>
    </row>
    <row r="24" spans="2:10" s="354" customFormat="1">
      <c r="B24" s="467"/>
      <c r="C24" s="61"/>
      <c r="D24" s="61" t="s">
        <v>66</v>
      </c>
      <c r="E24" s="61"/>
      <c r="F24" s="837"/>
      <c r="G24" s="1845"/>
      <c r="H24" s="838">
        <f t="shared" si="0"/>
        <v>0</v>
      </c>
      <c r="I24" s="839"/>
      <c r="J24" s="468"/>
    </row>
    <row r="25" spans="2:10" s="354" customFormat="1" ht="15" thickBot="1">
      <c r="B25" s="467"/>
      <c r="C25" s="61"/>
      <c r="D25" s="61" t="s">
        <v>1057</v>
      </c>
      <c r="E25" s="61"/>
      <c r="F25" s="840"/>
      <c r="G25" s="1846"/>
      <c r="H25" s="841">
        <f t="shared" si="0"/>
        <v>0</v>
      </c>
      <c r="I25" s="842"/>
      <c r="J25" s="468"/>
    </row>
    <row r="26" spans="2:10" s="354" customFormat="1" ht="15" thickBot="1">
      <c r="B26" s="467"/>
      <c r="C26" s="61"/>
      <c r="D26" s="61"/>
      <c r="E26" s="61"/>
      <c r="F26" s="2471"/>
      <c r="G26" s="2474" t="s">
        <v>887</v>
      </c>
      <c r="H26" s="589">
        <f>SUM(H18:H25)</f>
        <v>95000</v>
      </c>
      <c r="I26" s="590"/>
      <c r="J26" s="468"/>
    </row>
    <row r="27" spans="2:10" s="354" customFormat="1" ht="3.75" customHeight="1">
      <c r="B27" s="467"/>
      <c r="C27" s="61"/>
      <c r="D27" s="61"/>
      <c r="E27" s="61"/>
      <c r="F27" s="121"/>
      <c r="G27" s="121"/>
      <c r="H27" s="362"/>
      <c r="I27" s="362"/>
      <c r="J27" s="468"/>
    </row>
    <row r="28" spans="2:10" s="354" customFormat="1" ht="15" thickBot="1">
      <c r="B28" s="467"/>
      <c r="C28" s="2470" t="s">
        <v>1058</v>
      </c>
      <c r="D28" s="2470"/>
      <c r="E28" s="2470"/>
      <c r="F28" s="121"/>
      <c r="G28" s="121"/>
      <c r="H28" s="362"/>
      <c r="I28" s="362"/>
      <c r="J28" s="468"/>
    </row>
    <row r="29" spans="2:10" s="354" customFormat="1">
      <c r="B29" s="467"/>
      <c r="C29" s="61"/>
      <c r="D29" s="61" t="s">
        <v>1059</v>
      </c>
      <c r="E29" s="61"/>
      <c r="F29" s="834">
        <v>1</v>
      </c>
      <c r="G29" s="1920">
        <f>'6A'!J100-'6E'!H26-SUM('6E'!G30:G36)-'6E'!H45</f>
        <v>56947.95000000007</v>
      </c>
      <c r="H29" s="1917">
        <f t="shared" ref="H29:H36" si="1">F29*G29</f>
        <v>56947.95000000007</v>
      </c>
      <c r="I29" s="836" t="s">
        <v>1060</v>
      </c>
      <c r="J29" s="468"/>
    </row>
    <row r="30" spans="2:10" s="354" customFormat="1">
      <c r="B30" s="467"/>
      <c r="C30" s="61"/>
      <c r="D30" s="61" t="s">
        <v>1061</v>
      </c>
      <c r="E30" s="61"/>
      <c r="F30" s="837"/>
      <c r="G30" s="1921"/>
      <c r="H30" s="1918">
        <f t="shared" si="1"/>
        <v>0</v>
      </c>
      <c r="I30" s="839"/>
      <c r="J30" s="468"/>
    </row>
    <row r="31" spans="2:10" s="354" customFormat="1">
      <c r="B31" s="467"/>
      <c r="C31" s="61"/>
      <c r="D31" s="61" t="s">
        <v>1062</v>
      </c>
      <c r="E31" s="61"/>
      <c r="F31" s="837"/>
      <c r="G31" s="1921"/>
      <c r="H31" s="1918">
        <f t="shared" si="1"/>
        <v>0</v>
      </c>
      <c r="I31" s="839"/>
      <c r="J31" s="468"/>
    </row>
    <row r="32" spans="2:10" s="354" customFormat="1">
      <c r="B32" s="467"/>
      <c r="C32" s="61"/>
      <c r="D32" s="61" t="s">
        <v>1063</v>
      </c>
      <c r="E32" s="61"/>
      <c r="F32" s="837"/>
      <c r="G32" s="1921"/>
      <c r="H32" s="1918">
        <f t="shared" si="1"/>
        <v>0</v>
      </c>
      <c r="I32" s="839"/>
      <c r="J32" s="468"/>
    </row>
    <row r="33" spans="1:10" s="354" customFormat="1">
      <c r="B33" s="467"/>
      <c r="C33" s="61"/>
      <c r="D33" s="61" t="s">
        <v>1064</v>
      </c>
      <c r="E33" s="61"/>
      <c r="F33" s="837"/>
      <c r="G33" s="1921"/>
      <c r="H33" s="1918">
        <f t="shared" si="1"/>
        <v>0</v>
      </c>
      <c r="I33" s="839"/>
      <c r="J33" s="468"/>
    </row>
    <row r="34" spans="1:10" s="354" customFormat="1">
      <c r="B34" s="467"/>
      <c r="C34" s="61"/>
      <c r="D34" s="61" t="s">
        <v>1065</v>
      </c>
      <c r="E34" s="61"/>
      <c r="F34" s="837"/>
      <c r="G34" s="1921"/>
      <c r="H34" s="1918">
        <f t="shared" si="1"/>
        <v>0</v>
      </c>
      <c r="I34" s="839"/>
      <c r="J34" s="468"/>
    </row>
    <row r="35" spans="1:10" s="354" customFormat="1">
      <c r="B35" s="467"/>
      <c r="C35" s="61"/>
      <c r="D35" s="61" t="s">
        <v>1066</v>
      </c>
      <c r="E35" s="61"/>
      <c r="F35" s="837">
        <v>1</v>
      </c>
      <c r="G35" s="1921">
        <f>300000</f>
        <v>300000</v>
      </c>
      <c r="H35" s="1918">
        <f t="shared" si="1"/>
        <v>300000</v>
      </c>
      <c r="I35" s="839" t="s">
        <v>1067</v>
      </c>
      <c r="J35" s="468"/>
    </row>
    <row r="36" spans="1:10" s="354" customFormat="1" ht="15" thickBot="1">
      <c r="B36" s="467"/>
      <c r="C36" s="61"/>
      <c r="D36" s="61" t="s">
        <v>1068</v>
      </c>
      <c r="E36" s="61"/>
      <c r="F36" s="843"/>
      <c r="G36" s="1922"/>
      <c r="H36" s="841">
        <f t="shared" si="1"/>
        <v>0</v>
      </c>
      <c r="I36" s="842"/>
      <c r="J36" s="468"/>
    </row>
    <row r="37" spans="1:10" s="354" customFormat="1" ht="15" thickBot="1">
      <c r="B37" s="467"/>
      <c r="C37" s="61"/>
      <c r="D37" s="61"/>
      <c r="E37" s="61"/>
      <c r="F37" s="2471"/>
      <c r="G37" s="2474" t="s">
        <v>887</v>
      </c>
      <c r="H37" s="1919">
        <f>SUM(H29:H36)</f>
        <v>356947.95000000007</v>
      </c>
      <c r="I37" s="2473"/>
      <c r="J37" s="468"/>
    </row>
    <row r="38" spans="1:10" s="354" customFormat="1" ht="3.75" customHeight="1">
      <c r="B38" s="467"/>
      <c r="C38" s="61"/>
      <c r="D38" s="61"/>
      <c r="E38" s="61"/>
      <c r="F38" s="121"/>
      <c r="G38" s="121"/>
      <c r="H38" s="362"/>
      <c r="I38" s="362"/>
      <c r="J38" s="468"/>
    </row>
    <row r="39" spans="1:10" s="354" customFormat="1" ht="15" thickBot="1">
      <c r="B39" s="467"/>
      <c r="C39" s="2470" t="s">
        <v>1069</v>
      </c>
      <c r="D39" s="2470"/>
      <c r="E39" s="2470"/>
      <c r="F39" s="121"/>
      <c r="G39" s="121"/>
      <c r="H39" s="362"/>
      <c r="I39" s="362"/>
      <c r="J39" s="468"/>
    </row>
    <row r="40" spans="1:10" s="354" customFormat="1">
      <c r="B40" s="467"/>
      <c r="C40" s="61"/>
      <c r="D40" s="61" t="s">
        <v>1070</v>
      </c>
      <c r="E40" s="61"/>
      <c r="F40" s="834">
        <v>1</v>
      </c>
      <c r="G40" s="1920">
        <f>105000</f>
        <v>105000</v>
      </c>
      <c r="H40" s="1917">
        <f>F40*G40</f>
        <v>105000</v>
      </c>
      <c r="I40" s="836" t="s">
        <v>1071</v>
      </c>
      <c r="J40" s="468"/>
    </row>
    <row r="41" spans="1:10" s="354" customFormat="1">
      <c r="B41" s="467"/>
      <c r="C41" s="61"/>
      <c r="D41" s="61" t="s">
        <v>1072</v>
      </c>
      <c r="E41" s="61"/>
      <c r="F41" s="844"/>
      <c r="G41" s="1923"/>
      <c r="H41" s="1924">
        <f>F41*G41</f>
        <v>0</v>
      </c>
      <c r="I41" s="839"/>
      <c r="J41" s="468"/>
    </row>
    <row r="42" spans="1:10">
      <c r="A42" s="354"/>
      <c r="B42" s="467"/>
      <c r="C42" s="61"/>
      <c r="D42" s="61" t="s">
        <v>1073</v>
      </c>
      <c r="E42" s="61"/>
      <c r="F42" s="107"/>
      <c r="G42" s="1925"/>
      <c r="H42" s="1925"/>
      <c r="I42" s="846"/>
      <c r="J42" s="468"/>
    </row>
    <row r="43" spans="1:10" s="354" customFormat="1">
      <c r="B43" s="467"/>
      <c r="C43" s="61"/>
      <c r="D43" s="2107" t="s">
        <v>1074</v>
      </c>
      <c r="E43" s="2107"/>
      <c r="F43" s="845">
        <v>1</v>
      </c>
      <c r="G43" s="1926">
        <f>272000</f>
        <v>272000</v>
      </c>
      <c r="H43" s="1927">
        <f>F43*G43</f>
        <v>272000</v>
      </c>
      <c r="I43" s="839" t="s">
        <v>1075</v>
      </c>
      <c r="J43" s="468"/>
    </row>
    <row r="44" spans="1:10" s="354" customFormat="1" ht="15" thickBot="1">
      <c r="B44" s="467"/>
      <c r="C44" s="61"/>
      <c r="D44" s="2107" t="s">
        <v>1076</v>
      </c>
      <c r="E44" s="2107"/>
      <c r="F44" s="843"/>
      <c r="G44" s="1922"/>
      <c r="H44" s="1928">
        <f>F44*G44</f>
        <v>0</v>
      </c>
      <c r="I44" s="842"/>
      <c r="J44" s="468"/>
    </row>
    <row r="45" spans="1:10" s="354" customFormat="1" ht="15" thickBot="1">
      <c r="B45" s="467"/>
      <c r="C45" s="61"/>
      <c r="D45" s="61"/>
      <c r="E45" s="61"/>
      <c r="F45" s="2471"/>
      <c r="G45" s="2475" t="s">
        <v>887</v>
      </c>
      <c r="H45" s="1919">
        <f>SUM(H40:H41)+SUM(H43:H44)</f>
        <v>377000</v>
      </c>
      <c r="I45" s="2473"/>
      <c r="J45" s="468"/>
    </row>
    <row r="46" spans="1:10" s="354" customFormat="1" ht="3.75" customHeight="1">
      <c r="B46" s="467"/>
      <c r="C46" s="61"/>
      <c r="D46" s="61"/>
      <c r="E46" s="61"/>
      <c r="F46" s="121"/>
      <c r="G46" s="121"/>
      <c r="H46" s="362"/>
      <c r="I46" s="362"/>
      <c r="J46" s="468"/>
    </row>
    <row r="47" spans="1:10" s="354" customFormat="1" ht="15" thickBot="1">
      <c r="B47" s="467"/>
      <c r="C47" s="2470" t="s">
        <v>1077</v>
      </c>
      <c r="D47" s="2470"/>
      <c r="E47" s="2470"/>
      <c r="F47" s="121"/>
      <c r="G47" s="121"/>
      <c r="H47" s="362"/>
      <c r="I47" s="362"/>
      <c r="J47" s="468"/>
    </row>
    <row r="48" spans="1:10" s="354" customFormat="1">
      <c r="B48" s="467"/>
      <c r="C48" s="61"/>
      <c r="D48" s="61" t="s">
        <v>1078</v>
      </c>
      <c r="E48" s="61"/>
      <c r="F48" s="834"/>
      <c r="G48" s="1844"/>
      <c r="H48" s="835">
        <f>F48*G48</f>
        <v>0</v>
      </c>
      <c r="I48" s="836"/>
      <c r="J48" s="468"/>
    </row>
    <row r="49" spans="2:15" s="354" customFormat="1">
      <c r="B49" s="467"/>
      <c r="C49" s="61"/>
      <c r="D49" s="61" t="s">
        <v>1079</v>
      </c>
      <c r="E49" s="61"/>
      <c r="F49" s="837"/>
      <c r="G49" s="1845"/>
      <c r="H49" s="838">
        <f>F49*G49</f>
        <v>0</v>
      </c>
      <c r="I49" s="839"/>
      <c r="J49" s="468"/>
    </row>
    <row r="50" spans="2:15" s="354" customFormat="1">
      <c r="B50" s="467"/>
      <c r="C50" s="61"/>
      <c r="D50" s="61" t="s">
        <v>1052</v>
      </c>
      <c r="E50" s="61"/>
      <c r="F50" s="837"/>
      <c r="G50" s="1845"/>
      <c r="H50" s="838">
        <f>F50*G50</f>
        <v>0</v>
      </c>
      <c r="I50" s="839"/>
      <c r="J50" s="468"/>
    </row>
    <row r="51" spans="2:15" s="354" customFormat="1" ht="15" thickBot="1">
      <c r="B51" s="467"/>
      <c r="C51" s="61"/>
      <c r="D51" s="61" t="s">
        <v>1080</v>
      </c>
      <c r="E51" s="61"/>
      <c r="F51" s="840"/>
      <c r="G51" s="1846"/>
      <c r="H51" s="841">
        <f>F51*G51</f>
        <v>0</v>
      </c>
      <c r="I51" s="842"/>
      <c r="J51" s="468"/>
    </row>
    <row r="52" spans="2:15" s="354" customFormat="1" ht="15" thickBot="1">
      <c r="B52" s="467"/>
      <c r="C52" s="61"/>
      <c r="D52" s="61"/>
      <c r="E52" s="61"/>
      <c r="F52" s="2471"/>
      <c r="G52" s="2474" t="s">
        <v>887</v>
      </c>
      <c r="H52" s="588">
        <f>SUM(H48:H51)</f>
        <v>0</v>
      </c>
      <c r="I52" s="2473"/>
      <c r="J52" s="468"/>
    </row>
    <row r="53" spans="2:15" s="354" customFormat="1" ht="3.75" customHeight="1">
      <c r="B53" s="467"/>
      <c r="C53" s="61"/>
      <c r="D53" s="61"/>
      <c r="E53" s="61"/>
      <c r="F53" s="121"/>
      <c r="G53" s="121"/>
      <c r="H53" s="362"/>
      <c r="I53" s="362"/>
      <c r="J53" s="468"/>
    </row>
    <row r="54" spans="2:15" s="354" customFormat="1" ht="15" thickBot="1">
      <c r="B54" s="467"/>
      <c r="C54" s="2470" t="s">
        <v>66</v>
      </c>
      <c r="D54" s="2470"/>
      <c r="E54" s="2470"/>
      <c r="F54" s="2476"/>
      <c r="G54" s="2476"/>
      <c r="H54" s="2477"/>
      <c r="I54" s="300"/>
      <c r="J54" s="468"/>
    </row>
    <row r="55" spans="2:15" s="354" customFormat="1" ht="15" thickBot="1">
      <c r="B55" s="467"/>
      <c r="C55" s="61"/>
      <c r="D55" s="61"/>
      <c r="E55" s="61"/>
      <c r="F55" s="463"/>
      <c r="G55" s="464"/>
      <c r="H55" s="591">
        <f>F55*G55</f>
        <v>0</v>
      </c>
      <c r="I55" s="587"/>
      <c r="J55" s="468"/>
    </row>
    <row r="56" spans="2:15" s="354" customFormat="1" ht="15" thickBot="1">
      <c r="B56" s="467"/>
      <c r="C56" s="61"/>
      <c r="D56" s="61"/>
      <c r="E56" s="61"/>
      <c r="F56" s="2471"/>
      <c r="G56" s="2474" t="s">
        <v>887</v>
      </c>
      <c r="H56" s="588">
        <f>SUM(H55)</f>
        <v>0</v>
      </c>
      <c r="I56" s="2473"/>
      <c r="J56" s="468"/>
    </row>
    <row r="57" spans="2:15" s="354" customFormat="1" ht="7.5" customHeight="1" thickBot="1">
      <c r="B57" s="467"/>
      <c r="C57" s="61"/>
      <c r="D57" s="61"/>
      <c r="E57" s="61"/>
      <c r="F57" s="121"/>
      <c r="G57" s="121"/>
      <c r="H57" s="121"/>
      <c r="I57" s="121"/>
      <c r="J57" s="468"/>
    </row>
    <row r="58" spans="2:15" ht="15.75" customHeight="1" thickBot="1">
      <c r="B58" s="470"/>
      <c r="C58" s="596" t="s">
        <v>704</v>
      </c>
      <c r="D58" s="2478"/>
      <c r="E58" s="2479"/>
      <c r="F58" s="2480"/>
      <c r="G58" s="2481"/>
      <c r="H58" s="1916">
        <f>H15+H26+H37+H45+H52+H56</f>
        <v>828947.95000000007</v>
      </c>
      <c r="I58" s="471" t="str">
        <f>IF(H58&lt;&gt;('6A'!J100+'6A'!J101),"WARNING: Does not match Form 6A","")</f>
        <v/>
      </c>
      <c r="J58" s="468"/>
    </row>
    <row r="59" spans="2:15" s="354" customFormat="1" ht="9" customHeight="1" thickBot="1">
      <c r="B59" s="472"/>
      <c r="C59" s="473"/>
      <c r="D59" s="473"/>
      <c r="E59" s="473"/>
      <c r="F59" s="473"/>
      <c r="G59" s="473"/>
      <c r="H59" s="474" t="s">
        <v>732</v>
      </c>
      <c r="I59" s="473"/>
      <c r="J59" s="416"/>
    </row>
    <row r="60" spans="2:15">
      <c r="I60" s="2108" t="str">
        <f>IF(I58="WARNING: Does not match Form 6A","Ensure that the total of the Permits, Fees &amp; Hookups and Impact/Mitigation Fees cells on Form 6A matches the total here.","")</f>
        <v/>
      </c>
    </row>
    <row r="61" spans="2:15">
      <c r="I61" s="2109"/>
    </row>
    <row r="62" spans="2:15">
      <c r="I62" s="2109"/>
      <c r="L62" s="962"/>
      <c r="M62" s="962"/>
      <c r="N62" s="962"/>
      <c r="O62" s="962"/>
    </row>
    <row r="63" spans="2:15" ht="15" customHeight="1">
      <c r="I63" s="2109"/>
      <c r="J63" s="962"/>
      <c r="K63" s="962"/>
      <c r="L63" s="962"/>
    </row>
    <row r="64" spans="2:15">
      <c r="H64" s="962"/>
      <c r="I64" s="962"/>
      <c r="J64" s="962"/>
      <c r="K64" s="962"/>
      <c r="L64" s="962"/>
    </row>
    <row r="65" spans="8:12">
      <c r="H65" s="962"/>
      <c r="I65" s="962"/>
      <c r="J65" s="962"/>
      <c r="K65" s="962"/>
      <c r="L65" s="962"/>
    </row>
    <row r="66" spans="8:12">
      <c r="H66" s="962"/>
      <c r="I66" s="962"/>
      <c r="J66" s="962"/>
      <c r="K66" s="962"/>
      <c r="L66" s="962"/>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8:R51"/>
  <sheetViews>
    <sheetView showGridLines="0" topLeftCell="D42" zoomScaleNormal="100" workbookViewId="0" xr3:uid="{731C365F-4EDE-5636-9D2D-917179ED8537}">
      <selection activeCell="S24" sqref="S24"/>
    </sheetView>
  </sheetViews>
  <sheetFormatPr defaultColWidth="9.140625" defaultRowHeight="14.45"/>
  <cols>
    <col min="1" max="2" width="1.7109375" style="336" customWidth="1"/>
    <col min="3" max="3" width="24.5703125" style="336" bestFit="1" customWidth="1"/>
    <col min="4" max="4" width="22.28515625" style="336" bestFit="1" customWidth="1"/>
    <col min="5" max="5" width="15.42578125" style="336" bestFit="1" customWidth="1"/>
    <col min="6" max="6" width="17" style="336" bestFit="1" customWidth="1"/>
    <col min="7" max="7" width="9.140625" style="336"/>
    <col min="8" max="8" width="9.42578125" style="336" bestFit="1" customWidth="1"/>
    <col min="9" max="9" width="10.42578125" style="336" bestFit="1" customWidth="1"/>
    <col min="10" max="10" width="6.85546875" style="336" bestFit="1" customWidth="1"/>
    <col min="11" max="11" width="11.28515625" style="336" bestFit="1" customWidth="1"/>
    <col min="12" max="12" width="9" style="336" bestFit="1" customWidth="1"/>
    <col min="13" max="13" width="11.28515625" style="336" bestFit="1" customWidth="1"/>
    <col min="14" max="14" width="9.7109375" style="336" bestFit="1" customWidth="1"/>
    <col min="15" max="15" width="10.140625" style="336" bestFit="1" customWidth="1"/>
    <col min="16" max="16" width="10" style="336" bestFit="1" customWidth="1"/>
    <col min="17" max="17" width="1.7109375" style="336" customWidth="1"/>
    <col min="18" max="16384" width="9.140625" style="336"/>
  </cols>
  <sheetData>
    <row r="8" spans="2:17" ht="9" customHeight="1" thickBot="1"/>
    <row r="9" spans="2:17" ht="9" customHeight="1">
      <c r="B9" s="476"/>
      <c r="C9" s="477"/>
      <c r="D9" s="477"/>
      <c r="E9" s="478"/>
      <c r="F9" s="478"/>
      <c r="G9" s="478"/>
      <c r="H9" s="477"/>
      <c r="I9" s="477"/>
      <c r="J9" s="477"/>
      <c r="K9" s="477"/>
      <c r="L9" s="477"/>
      <c r="M9" s="477"/>
      <c r="N9" s="477"/>
      <c r="O9" s="477"/>
      <c r="P9" s="477"/>
      <c r="Q9" s="479"/>
    </row>
    <row r="10" spans="2:17" ht="18.600000000000001">
      <c r="B10" s="480"/>
      <c r="C10" s="2057" t="s">
        <v>1081</v>
      </c>
      <c r="D10" s="2057"/>
      <c r="E10" s="2057"/>
      <c r="F10" s="2057"/>
      <c r="G10" s="2057"/>
      <c r="H10" s="2057"/>
      <c r="I10" s="2057"/>
      <c r="J10" s="2057"/>
      <c r="K10" s="2057"/>
      <c r="L10" s="2057"/>
      <c r="M10" s="2057"/>
      <c r="N10" s="2057"/>
      <c r="O10" s="2057"/>
      <c r="P10" s="2057"/>
      <c r="Q10" s="481"/>
    </row>
    <row r="11" spans="2:17">
      <c r="B11" s="480"/>
      <c r="C11" s="1945"/>
      <c r="D11" s="1945"/>
      <c r="E11" s="308"/>
      <c r="F11" s="308"/>
      <c r="G11" s="308"/>
      <c r="H11" s="1945"/>
      <c r="I11" s="1945"/>
      <c r="J11" s="1945"/>
      <c r="K11" s="1945"/>
      <c r="L11" s="1945"/>
      <c r="M11" s="1945"/>
      <c r="N11" s="1945"/>
      <c r="O11" s="1945"/>
      <c r="P11" s="1945"/>
      <c r="Q11" s="481"/>
    </row>
    <row r="12" spans="2:17" ht="15" thickBot="1">
      <c r="B12" s="480"/>
      <c r="C12" s="2003" t="str">
        <f>IF('1'!G5="","Enter Project Name on Form 1",(CONCATENATE("Project Name: ",'1'!G5)))</f>
        <v>Project Name: DESC 22nd Avenue PSH</v>
      </c>
      <c r="D12" s="2003"/>
      <c r="E12" s="2003"/>
      <c r="F12" s="2003"/>
      <c r="G12" s="2003"/>
      <c r="H12" s="2003"/>
      <c r="I12" s="2003"/>
      <c r="J12" s="2003"/>
      <c r="K12" s="2003"/>
      <c r="L12" s="2003"/>
      <c r="M12" s="2003"/>
      <c r="N12" s="1945"/>
      <c r="O12" s="1945"/>
      <c r="P12" s="1945"/>
      <c r="Q12" s="481"/>
    </row>
    <row r="13" spans="2:17" ht="22.5" customHeight="1">
      <c r="B13" s="480"/>
      <c r="C13" s="1945"/>
      <c r="D13" s="1945"/>
      <c r="E13" s="308"/>
      <c r="F13" s="308"/>
      <c r="G13" s="308"/>
      <c r="H13" s="1945"/>
      <c r="I13" s="1945"/>
      <c r="J13" s="1945"/>
      <c r="K13" s="1945"/>
      <c r="L13" s="1945"/>
      <c r="M13" s="1945"/>
      <c r="N13" s="1945"/>
      <c r="O13" s="1945"/>
      <c r="P13" s="1945"/>
      <c r="Q13" s="481"/>
    </row>
    <row r="14" spans="2:17" ht="15" thickBot="1">
      <c r="B14" s="480"/>
      <c r="C14" s="2117" t="s">
        <v>1082</v>
      </c>
      <c r="D14" s="2117"/>
      <c r="E14" s="2117"/>
      <c r="F14" s="2117"/>
      <c r="G14" s="2117"/>
      <c r="H14" s="2117"/>
      <c r="I14" s="2117"/>
      <c r="J14" s="2117"/>
      <c r="K14" s="2117"/>
      <c r="L14" s="2117"/>
      <c r="M14" s="2117"/>
      <c r="N14" s="1945"/>
      <c r="O14" s="425"/>
      <c r="P14" s="425"/>
      <c r="Q14" s="482"/>
    </row>
    <row r="15" spans="2:17" ht="27" thickBot="1">
      <c r="B15" s="483"/>
      <c r="C15" s="944" t="s">
        <v>1083</v>
      </c>
      <c r="D15" s="638" t="s">
        <v>1084</v>
      </c>
      <c r="E15" s="2482" t="s">
        <v>1085</v>
      </c>
      <c r="F15" s="638" t="s">
        <v>1086</v>
      </c>
      <c r="G15" s="2483" t="s">
        <v>1087</v>
      </c>
      <c r="H15" s="2483" t="s">
        <v>1088</v>
      </c>
      <c r="I15" s="2484" t="s">
        <v>1089</v>
      </c>
      <c r="J15" s="2485" t="s">
        <v>1090</v>
      </c>
      <c r="K15" s="2118"/>
      <c r="L15" s="2118"/>
      <c r="M15" s="2486"/>
      <c r="N15" s="1945"/>
      <c r="O15" s="484"/>
      <c r="P15" s="484"/>
      <c r="Q15" s="485"/>
    </row>
    <row r="16" spans="2:17">
      <c r="B16" s="480"/>
      <c r="C16" s="639" t="s">
        <v>1091</v>
      </c>
      <c r="D16" s="942" t="s">
        <v>56</v>
      </c>
      <c r="E16" s="640"/>
      <c r="F16" s="1874">
        <v>3567100</v>
      </c>
      <c r="G16" s="1939">
        <v>6.25E-2</v>
      </c>
      <c r="H16" s="642" t="s">
        <v>1092</v>
      </c>
      <c r="I16" s="643"/>
      <c r="J16" s="2119" t="s">
        <v>1093</v>
      </c>
      <c r="K16" s="2120"/>
      <c r="L16" s="2120"/>
      <c r="M16" s="2121"/>
      <c r="N16" s="1945"/>
      <c r="O16" s="1945"/>
      <c r="P16" s="1945"/>
      <c r="Q16" s="481"/>
    </row>
    <row r="17" spans="2:18">
      <c r="B17" s="480"/>
      <c r="C17" s="644" t="s">
        <v>1094</v>
      </c>
      <c r="D17" s="943" t="s">
        <v>109</v>
      </c>
      <c r="E17" s="1879">
        <v>10020000</v>
      </c>
      <c r="F17" s="1875">
        <v>0</v>
      </c>
      <c r="G17" s="1940">
        <v>3.5000000000000003E-2</v>
      </c>
      <c r="H17" s="647" t="s">
        <v>1092</v>
      </c>
      <c r="I17" s="648"/>
      <c r="J17" s="2110" t="s">
        <v>1095</v>
      </c>
      <c r="K17" s="2111"/>
      <c r="L17" s="2111"/>
      <c r="M17" s="2112"/>
      <c r="N17" s="1945"/>
      <c r="O17" s="1945"/>
      <c r="P17" s="1945"/>
      <c r="Q17" s="481"/>
    </row>
    <row r="18" spans="2:18">
      <c r="B18" s="480"/>
      <c r="C18" s="644"/>
      <c r="D18" s="943"/>
      <c r="E18" s="645">
        <v>0</v>
      </c>
      <c r="F18" s="1875">
        <v>0</v>
      </c>
      <c r="G18" s="1142"/>
      <c r="H18" s="647"/>
      <c r="I18" s="648"/>
      <c r="J18" s="2110"/>
      <c r="K18" s="2111"/>
      <c r="L18" s="2111"/>
      <c r="M18" s="2112"/>
      <c r="N18" s="1945"/>
      <c r="O18" s="1945"/>
      <c r="P18" s="1945"/>
      <c r="Q18" s="481"/>
    </row>
    <row r="19" spans="2:18" ht="7.5" customHeight="1" thickBot="1">
      <c r="B19" s="480"/>
      <c r="C19" s="1394"/>
      <c r="D19" s="1395"/>
      <c r="E19" s="1396"/>
      <c r="F19" s="1876"/>
      <c r="G19" s="1398"/>
      <c r="H19" s="1399"/>
      <c r="I19" s="1400"/>
      <c r="J19" s="2113"/>
      <c r="K19" s="2114"/>
      <c r="L19" s="2114"/>
      <c r="M19" s="2115"/>
      <c r="N19" s="1945"/>
      <c r="O19" s="1945"/>
      <c r="P19" s="1945"/>
      <c r="Q19" s="481"/>
    </row>
    <row r="20" spans="2:18" ht="15" thickBot="1">
      <c r="B20" s="480"/>
      <c r="C20" s="321"/>
      <c r="D20" s="621" t="s">
        <v>1096</v>
      </c>
      <c r="E20" s="1880">
        <f>SUM(E16:E19)</f>
        <v>10020000</v>
      </c>
      <c r="F20" s="1877">
        <f>SUM(F16:F19)</f>
        <v>3567100</v>
      </c>
      <c r="G20" s="154"/>
      <c r="H20" s="1945"/>
      <c r="I20" s="1945"/>
      <c r="J20" s="1945"/>
      <c r="K20" s="1945"/>
      <c r="L20" s="1945"/>
      <c r="M20" s="1945"/>
      <c r="N20" s="1945"/>
      <c r="O20" s="1945"/>
      <c r="P20" s="1945"/>
      <c r="Q20" s="481"/>
    </row>
    <row r="21" spans="2:18" ht="3.75" customHeight="1" thickBot="1">
      <c r="B21" s="480"/>
      <c r="C21" s="155"/>
      <c r="D21" s="155"/>
      <c r="E21" s="156"/>
      <c r="F21" s="1878"/>
      <c r="G21" s="154"/>
      <c r="H21" s="1945"/>
      <c r="I21" s="1945"/>
      <c r="J21" s="1945"/>
      <c r="K21" s="1945"/>
      <c r="L21" s="1945"/>
      <c r="M21" s="1945"/>
      <c r="N21" s="1945"/>
      <c r="O21" s="1945"/>
      <c r="P21" s="1945"/>
      <c r="Q21" s="481"/>
    </row>
    <row r="22" spans="2:18" ht="15" thickBot="1">
      <c r="B22" s="480"/>
      <c r="C22" s="487" t="s">
        <v>1097</v>
      </c>
      <c r="D22" s="487"/>
      <c r="E22" s="321"/>
      <c r="F22" s="1868">
        <f>E20+F20</f>
        <v>13587100</v>
      </c>
      <c r="G22" s="308"/>
      <c r="H22" s="1945"/>
      <c r="I22" s="1945"/>
      <c r="J22" s="1945"/>
      <c r="K22" s="1945"/>
      <c r="L22" s="1945"/>
      <c r="M22" s="1945"/>
      <c r="N22" s="1945"/>
      <c r="O22" s="1945"/>
      <c r="P22" s="1945"/>
      <c r="Q22" s="481"/>
    </row>
    <row r="23" spans="2:18" ht="7.5" customHeight="1">
      <c r="B23" s="480"/>
      <c r="C23" s="1945"/>
      <c r="D23" s="1945"/>
      <c r="E23" s="308"/>
      <c r="F23" s="308"/>
      <c r="G23" s="308"/>
      <c r="H23" s="1945"/>
      <c r="I23" s="1945"/>
      <c r="J23" s="1945"/>
      <c r="K23" s="1945"/>
      <c r="L23" s="1945"/>
      <c r="M23" s="1945"/>
      <c r="N23" s="1945"/>
      <c r="O23" s="1945"/>
      <c r="P23" s="1945"/>
      <c r="Q23" s="481"/>
    </row>
    <row r="24" spans="2:18" ht="15" thickBot="1">
      <c r="B24" s="480"/>
      <c r="C24" s="2003" t="s">
        <v>1098</v>
      </c>
      <c r="D24" s="2003"/>
      <c r="E24" s="2003"/>
      <c r="F24" s="2003"/>
      <c r="G24" s="2003"/>
      <c r="H24" s="2003"/>
      <c r="I24" s="2003"/>
      <c r="J24" s="2003"/>
      <c r="K24" s="2003"/>
      <c r="L24" s="2003"/>
      <c r="M24" s="2003"/>
      <c r="N24" s="2003"/>
      <c r="O24" s="2003"/>
      <c r="P24" s="2003"/>
      <c r="Q24" s="482"/>
    </row>
    <row r="25" spans="2:18" ht="27" thickBot="1">
      <c r="B25" s="483"/>
      <c r="C25" s="944" t="s">
        <v>1099</v>
      </c>
      <c r="D25" s="638" t="s">
        <v>1100</v>
      </c>
      <c r="E25" s="638" t="s">
        <v>1085</v>
      </c>
      <c r="F25" s="638" t="s">
        <v>1086</v>
      </c>
      <c r="G25" s="638" t="s">
        <v>1101</v>
      </c>
      <c r="H25" s="2484" t="s">
        <v>1102</v>
      </c>
      <c r="I25" s="2484" t="s">
        <v>1103</v>
      </c>
      <c r="J25" s="638" t="s">
        <v>1104</v>
      </c>
      <c r="K25" s="638" t="s">
        <v>1105</v>
      </c>
      <c r="L25" s="638" t="s">
        <v>1106</v>
      </c>
      <c r="M25" s="2483" t="s">
        <v>1087</v>
      </c>
      <c r="N25" s="2483" t="s">
        <v>1107</v>
      </c>
      <c r="O25" s="2484" t="s">
        <v>1089</v>
      </c>
      <c r="P25" s="2487" t="s">
        <v>1108</v>
      </c>
      <c r="Q25" s="485"/>
    </row>
    <row r="26" spans="2:18" ht="15" thickBot="1">
      <c r="B26" s="480"/>
      <c r="C26" s="649" t="s">
        <v>1109</v>
      </c>
      <c r="D26" s="661" t="s">
        <v>110</v>
      </c>
      <c r="E26" s="1870">
        <v>9520742</v>
      </c>
      <c r="F26" s="641">
        <v>0</v>
      </c>
      <c r="G26" s="650" t="s">
        <v>55</v>
      </c>
      <c r="H26" s="1834">
        <v>42990</v>
      </c>
      <c r="I26" s="1135">
        <v>43070</v>
      </c>
      <c r="J26" s="1533" t="s">
        <v>44</v>
      </c>
      <c r="K26" s="1536" t="s">
        <v>49</v>
      </c>
      <c r="L26" s="652" t="s">
        <v>53</v>
      </c>
      <c r="M26" s="1941">
        <v>0.01</v>
      </c>
      <c r="N26" s="1958">
        <v>50</v>
      </c>
      <c r="O26" s="1958"/>
      <c r="P26" s="653" t="s">
        <v>1110</v>
      </c>
      <c r="Q26" s="481"/>
      <c r="R26" s="475"/>
    </row>
    <row r="27" spans="2:18" ht="15" thickBot="1">
      <c r="B27" s="480"/>
      <c r="C27" s="654" t="s">
        <v>863</v>
      </c>
      <c r="D27" s="664" t="s">
        <v>111</v>
      </c>
      <c r="E27" s="1871">
        <v>1000000</v>
      </c>
      <c r="F27" s="646">
        <v>0</v>
      </c>
      <c r="G27" s="655" t="s">
        <v>55</v>
      </c>
      <c r="H27" s="1835">
        <v>42992</v>
      </c>
      <c r="I27" s="1836">
        <v>43070</v>
      </c>
      <c r="J27" s="1534" t="s">
        <v>44</v>
      </c>
      <c r="K27" s="1537" t="s">
        <v>49</v>
      </c>
      <c r="L27" s="657" t="s">
        <v>53</v>
      </c>
      <c r="M27" s="1941">
        <v>0.01</v>
      </c>
      <c r="N27" s="1955">
        <v>50</v>
      </c>
      <c r="O27" s="1955"/>
      <c r="P27" s="658" t="s">
        <v>1110</v>
      </c>
      <c r="Q27" s="481"/>
    </row>
    <row r="28" spans="2:18">
      <c r="B28" s="480"/>
      <c r="C28" s="654" t="s">
        <v>1111</v>
      </c>
      <c r="D28" s="664" t="s">
        <v>117</v>
      </c>
      <c r="E28" s="1871">
        <v>3000000</v>
      </c>
      <c r="F28" s="646">
        <v>0</v>
      </c>
      <c r="G28" s="655" t="s">
        <v>55</v>
      </c>
      <c r="H28" s="1835">
        <v>43009</v>
      </c>
      <c r="I28" s="1836">
        <v>43070</v>
      </c>
      <c r="J28" s="1534" t="s">
        <v>44</v>
      </c>
      <c r="K28" s="1537" t="s">
        <v>49</v>
      </c>
      <c r="L28" s="657" t="s">
        <v>53</v>
      </c>
      <c r="M28" s="1941">
        <v>0.01</v>
      </c>
      <c r="N28" s="1955">
        <v>50</v>
      </c>
      <c r="O28" s="1955"/>
      <c r="P28" s="658" t="s">
        <v>1110</v>
      </c>
      <c r="Q28" s="481"/>
    </row>
    <row r="29" spans="2:18">
      <c r="B29" s="480"/>
      <c r="C29" s="654"/>
      <c r="D29" s="664"/>
      <c r="E29" s="1871">
        <v>0</v>
      </c>
      <c r="F29" s="646">
        <v>0</v>
      </c>
      <c r="G29" s="655"/>
      <c r="H29" s="1955"/>
      <c r="I29" s="656"/>
      <c r="J29" s="1534"/>
      <c r="K29" s="1537"/>
      <c r="L29" s="657"/>
      <c r="M29" s="1143"/>
      <c r="N29" s="1955"/>
      <c r="O29" s="1955"/>
      <c r="P29" s="658"/>
      <c r="Q29" s="481"/>
    </row>
    <row r="30" spans="2:18">
      <c r="B30" s="480"/>
      <c r="C30" s="654"/>
      <c r="D30" s="664"/>
      <c r="E30" s="1871">
        <v>0</v>
      </c>
      <c r="F30" s="646">
        <v>0</v>
      </c>
      <c r="G30" s="655"/>
      <c r="H30" s="1955"/>
      <c r="I30" s="656"/>
      <c r="J30" s="1534"/>
      <c r="K30" s="1537"/>
      <c r="L30" s="657"/>
      <c r="M30" s="1143"/>
      <c r="N30" s="1955"/>
      <c r="O30" s="1955"/>
      <c r="P30" s="658"/>
      <c r="Q30" s="481"/>
    </row>
    <row r="31" spans="2:18">
      <c r="B31" s="480"/>
      <c r="C31" s="654"/>
      <c r="D31" s="664"/>
      <c r="E31" s="1871">
        <v>0</v>
      </c>
      <c r="F31" s="646">
        <v>0</v>
      </c>
      <c r="G31" s="655"/>
      <c r="H31" s="1835"/>
      <c r="I31" s="1836"/>
      <c r="J31" s="1534"/>
      <c r="K31" s="1537"/>
      <c r="L31" s="657"/>
      <c r="M31" s="1143"/>
      <c r="N31" s="1955"/>
      <c r="O31" s="1955"/>
      <c r="P31" s="658"/>
      <c r="Q31" s="481"/>
    </row>
    <row r="32" spans="2:18" ht="7.5" customHeight="1" thickBot="1">
      <c r="B32" s="480"/>
      <c r="C32" s="1401"/>
      <c r="D32" s="1402"/>
      <c r="E32" s="1872"/>
      <c r="F32" s="1397"/>
      <c r="G32" s="1403"/>
      <c r="H32" s="1956"/>
      <c r="I32" s="1404"/>
      <c r="J32" s="1535"/>
      <c r="K32" s="1535"/>
      <c r="L32" s="1957"/>
      <c r="M32" s="1405"/>
      <c r="N32" s="1956"/>
      <c r="O32" s="1956"/>
      <c r="P32" s="1406"/>
      <c r="Q32" s="481"/>
    </row>
    <row r="33" spans="2:17" ht="15" thickBot="1">
      <c r="B33" s="480"/>
      <c r="C33" s="321"/>
      <c r="D33" s="621" t="s">
        <v>1112</v>
      </c>
      <c r="E33" s="1873">
        <f>SUM(E26:E32)</f>
        <v>13520742</v>
      </c>
      <c r="F33" s="157">
        <f>SUM(F26:F32)</f>
        <v>0</v>
      </c>
      <c r="G33" s="2488"/>
      <c r="H33" s="2489"/>
      <c r="I33" s="622"/>
      <c r="J33" s="1945"/>
      <c r="K33" s="1945"/>
      <c r="L33" s="1945"/>
      <c r="M33" s="1945"/>
      <c r="N33" s="1945"/>
      <c r="O33" s="622"/>
      <c r="P33" s="622"/>
      <c r="Q33" s="488"/>
    </row>
    <row r="34" spans="2:17" ht="3.75" customHeight="1" thickBot="1">
      <c r="B34" s="480"/>
      <c r="C34" s="155"/>
      <c r="D34" s="155"/>
      <c r="E34" s="156"/>
      <c r="F34" s="156"/>
      <c r="G34" s="154"/>
      <c r="H34" s="489"/>
      <c r="I34" s="622"/>
      <c r="J34" s="1945"/>
      <c r="K34" s="1945"/>
      <c r="L34" s="1945"/>
      <c r="M34" s="1945"/>
      <c r="N34" s="1945"/>
      <c r="O34" s="622"/>
      <c r="P34" s="622"/>
      <c r="Q34" s="488"/>
    </row>
    <row r="35" spans="2:17" ht="15" thickBot="1">
      <c r="B35" s="480"/>
      <c r="C35" s="321"/>
      <c r="D35" s="622"/>
      <c r="E35" s="945" t="s">
        <v>1113</v>
      </c>
      <c r="F35" s="1868">
        <f>E33+F33</f>
        <v>13520742</v>
      </c>
      <c r="G35" s="154"/>
      <c r="H35" s="489"/>
      <c r="I35" s="622"/>
      <c r="J35" s="1945"/>
      <c r="K35" s="1945"/>
      <c r="L35" s="1945"/>
      <c r="M35" s="1945"/>
      <c r="N35" s="1945"/>
      <c r="O35" s="622"/>
      <c r="P35" s="622"/>
      <c r="Q35" s="488"/>
    </row>
    <row r="36" spans="2:17" ht="3.75" customHeight="1" thickBot="1">
      <c r="B36" s="480"/>
      <c r="C36" s="321"/>
      <c r="D36" s="900"/>
      <c r="E36" s="946"/>
      <c r="F36" s="1869"/>
      <c r="G36" s="154"/>
      <c r="H36" s="489"/>
      <c r="I36" s="622"/>
      <c r="J36" s="1945"/>
      <c r="K36" s="1945"/>
      <c r="L36" s="1945"/>
      <c r="M36" s="1945"/>
      <c r="N36" s="1945"/>
      <c r="O36" s="622"/>
      <c r="P36" s="622"/>
      <c r="Q36" s="488"/>
    </row>
    <row r="37" spans="2:17" ht="15" thickBot="1">
      <c r="B37" s="480"/>
      <c r="C37" s="321"/>
      <c r="D37" s="622"/>
      <c r="E37" s="945" t="s">
        <v>1114</v>
      </c>
      <c r="F37" s="1868">
        <f ca="1">'6D'!G53</f>
        <v>15881826.929132136</v>
      </c>
      <c r="G37" s="490"/>
      <c r="H37" s="489"/>
      <c r="I37" s="622"/>
      <c r="J37" s="1945"/>
      <c r="K37" s="1945"/>
      <c r="L37" s="1945"/>
      <c r="M37" s="1945"/>
      <c r="N37" s="1945"/>
      <c r="O37" s="622"/>
      <c r="P37" s="622"/>
      <c r="Q37" s="488"/>
    </row>
    <row r="38" spans="2:17" ht="3.75" customHeight="1" thickBot="1">
      <c r="B38" s="480"/>
      <c r="C38" s="321"/>
      <c r="D38" s="900"/>
      <c r="E38" s="946"/>
      <c r="F38" s="1869"/>
      <c r="G38" s="154"/>
      <c r="H38" s="489"/>
      <c r="I38" s="622"/>
      <c r="J38" s="1945"/>
      <c r="K38" s="1945"/>
      <c r="L38" s="1945"/>
      <c r="M38" s="1945"/>
      <c r="N38" s="1945"/>
      <c r="O38" s="622"/>
      <c r="P38" s="622"/>
      <c r="Q38" s="488"/>
    </row>
    <row r="39" spans="2:17" ht="15" thickBot="1">
      <c r="B39" s="480"/>
      <c r="C39" s="321"/>
      <c r="D39" s="622"/>
      <c r="E39" s="945" t="s">
        <v>1115</v>
      </c>
      <c r="F39" s="1868">
        <f ca="1">F35+F37</f>
        <v>29402568.929132134</v>
      </c>
      <c r="G39" s="308"/>
      <c r="H39" s="489"/>
      <c r="I39" s="622"/>
      <c r="J39" s="622"/>
      <c r="K39" s="622"/>
      <c r="L39" s="622"/>
      <c r="M39" s="622"/>
      <c r="N39" s="622"/>
      <c r="O39" s="622"/>
      <c r="P39" s="1945"/>
      <c r="Q39" s="481"/>
    </row>
    <row r="40" spans="2:17" ht="7.5" customHeight="1">
      <c r="B40" s="480"/>
      <c r="C40" s="1945"/>
      <c r="D40" s="1945"/>
      <c r="E40" s="308"/>
      <c r="F40" s="491"/>
      <c r="G40" s="308"/>
      <c r="H40" s="1945"/>
      <c r="I40" s="1945"/>
      <c r="J40" s="1945"/>
      <c r="K40" s="1945"/>
      <c r="L40" s="1945"/>
      <c r="M40" s="1945"/>
      <c r="N40" s="1945"/>
      <c r="O40" s="1945"/>
      <c r="P40" s="1945"/>
      <c r="Q40" s="481"/>
    </row>
    <row r="41" spans="2:17" ht="15" thickBot="1">
      <c r="B41" s="480"/>
      <c r="C41" s="2003" t="s">
        <v>1116</v>
      </c>
      <c r="D41" s="2003"/>
      <c r="E41" s="2003"/>
      <c r="F41" s="2003"/>
      <c r="G41" s="2003"/>
      <c r="H41" s="2003"/>
      <c r="I41" s="2003"/>
      <c r="J41" s="2003"/>
      <c r="K41" s="2003"/>
      <c r="L41" s="2003"/>
      <c r="M41" s="2003"/>
      <c r="N41" s="2003"/>
      <c r="O41" s="2003"/>
      <c r="P41" s="2003"/>
      <c r="Q41" s="481"/>
    </row>
    <row r="42" spans="2:17" ht="27" thickBot="1">
      <c r="B42" s="480"/>
      <c r="C42" s="944" t="s">
        <v>1117</v>
      </c>
      <c r="D42" s="638" t="s">
        <v>1118</v>
      </c>
      <c r="E42" s="638" t="s">
        <v>1085</v>
      </c>
      <c r="F42" s="638" t="s">
        <v>1086</v>
      </c>
      <c r="G42" s="638" t="s">
        <v>1101</v>
      </c>
      <c r="H42" s="2484" t="s">
        <v>1102</v>
      </c>
      <c r="I42" s="2484" t="s">
        <v>1103</v>
      </c>
      <c r="J42" s="638" t="s">
        <v>1104</v>
      </c>
      <c r="K42" s="638" t="s">
        <v>1105</v>
      </c>
      <c r="L42" s="638" t="s">
        <v>1106</v>
      </c>
      <c r="M42" s="2483" t="s">
        <v>1087</v>
      </c>
      <c r="N42" s="2483" t="s">
        <v>1119</v>
      </c>
      <c r="O42" s="2484" t="s">
        <v>1089</v>
      </c>
      <c r="P42" s="2487" t="s">
        <v>1108</v>
      </c>
      <c r="Q42" s="481"/>
    </row>
    <row r="43" spans="2:17">
      <c r="B43" s="480"/>
      <c r="C43" s="649" t="s">
        <v>642</v>
      </c>
      <c r="D43" s="661" t="s">
        <v>116</v>
      </c>
      <c r="E43" s="1870">
        <f>'6A'!T121</f>
        <v>1365000</v>
      </c>
      <c r="F43" s="1874"/>
      <c r="G43" s="650" t="s">
        <v>1120</v>
      </c>
      <c r="H43" s="659"/>
      <c r="I43" s="651"/>
      <c r="J43" s="1533" t="s">
        <v>1</v>
      </c>
      <c r="K43" s="1538"/>
      <c r="L43" s="1540" t="s">
        <v>1</v>
      </c>
      <c r="M43" s="660"/>
      <c r="N43" s="659"/>
      <c r="O43" s="659"/>
      <c r="P43" s="661"/>
      <c r="Q43" s="481"/>
    </row>
    <row r="44" spans="2:17">
      <c r="B44" s="480"/>
      <c r="C44" s="654"/>
      <c r="D44" s="664"/>
      <c r="E44" s="1871"/>
      <c r="F44" s="1875"/>
      <c r="G44" s="655"/>
      <c r="H44" s="662"/>
      <c r="I44" s="656"/>
      <c r="J44" s="1534"/>
      <c r="K44" s="1539"/>
      <c r="L44" s="1541"/>
      <c r="M44" s="663"/>
      <c r="N44" s="662"/>
      <c r="O44" s="662"/>
      <c r="P44" s="664"/>
      <c r="Q44" s="481"/>
    </row>
    <row r="45" spans="2:17" ht="7.5" customHeight="1" thickBot="1">
      <c r="B45" s="480"/>
      <c r="C45" s="1401"/>
      <c r="D45" s="1402"/>
      <c r="E45" s="1872"/>
      <c r="F45" s="1876"/>
      <c r="G45" s="1403"/>
      <c r="H45" s="1383"/>
      <c r="I45" s="1404"/>
      <c r="J45" s="1535"/>
      <c r="K45" s="1535"/>
      <c r="L45" s="1542"/>
      <c r="M45" s="1407"/>
      <c r="N45" s="1383"/>
      <c r="O45" s="1383"/>
      <c r="P45" s="1408"/>
      <c r="Q45" s="481"/>
    </row>
    <row r="46" spans="2:17" ht="15" thickBot="1">
      <c r="B46" s="480"/>
      <c r="C46" s="321"/>
      <c r="D46" s="621" t="s">
        <v>1112</v>
      </c>
      <c r="E46" s="1929">
        <f>SUM(E43:E45)</f>
        <v>1365000</v>
      </c>
      <c r="F46" s="1930">
        <f>SUM(F43:F45)</f>
        <v>0</v>
      </c>
      <c r="G46" s="154"/>
      <c r="H46" s="622"/>
      <c r="I46" s="1945"/>
      <c r="J46" s="1945"/>
      <c r="K46" s="1945"/>
      <c r="L46" s="1945"/>
      <c r="M46" s="1945"/>
      <c r="N46" s="1945"/>
      <c r="O46" s="1945"/>
      <c r="P46" s="1945"/>
      <c r="Q46" s="481"/>
    </row>
    <row r="47" spans="2:17" ht="3.75" customHeight="1" thickBot="1">
      <c r="B47" s="480"/>
      <c r="C47" s="622"/>
      <c r="D47" s="622"/>
      <c r="E47" s="1878"/>
      <c r="F47" s="1869"/>
      <c r="G47" s="154"/>
      <c r="H47" s="622"/>
      <c r="I47" s="1945"/>
      <c r="J47" s="1945"/>
      <c r="K47" s="1945"/>
      <c r="L47" s="1945"/>
      <c r="M47" s="1945"/>
      <c r="N47" s="1945"/>
      <c r="O47" s="1945"/>
      <c r="P47" s="1945"/>
      <c r="Q47" s="481"/>
    </row>
    <row r="48" spans="2:17" ht="15.95" thickBot="1">
      <c r="B48" s="480"/>
      <c r="C48" s="321"/>
      <c r="D48" s="622"/>
      <c r="E48" s="1931" t="s">
        <v>1121</v>
      </c>
      <c r="F48" s="1868">
        <f>E46+F46</f>
        <v>1365000</v>
      </c>
      <c r="G48" s="154"/>
      <c r="H48" s="492"/>
      <c r="I48" s="622"/>
      <c r="J48" s="622"/>
      <c r="K48" s="622"/>
      <c r="L48" s="622"/>
      <c r="M48" s="622"/>
      <c r="N48" s="622"/>
      <c r="O48" s="622"/>
      <c r="P48" s="1945"/>
      <c r="Q48" s="481"/>
    </row>
    <row r="49" spans="2:17" ht="3.75" customHeight="1" thickBot="1">
      <c r="B49" s="1409"/>
      <c r="C49" s="321"/>
      <c r="D49" s="321"/>
      <c r="E49" s="1932"/>
      <c r="F49" s="1932"/>
      <c r="G49" s="321"/>
      <c r="H49" s="321"/>
      <c r="I49" s="321"/>
      <c r="J49" s="321"/>
      <c r="K49" s="321"/>
      <c r="L49" s="321"/>
      <c r="M49" s="321"/>
      <c r="N49" s="321"/>
      <c r="O49" s="321"/>
      <c r="P49" s="321"/>
      <c r="Q49" s="1410"/>
    </row>
    <row r="50" spans="2:17" ht="15.6" thickTop="1" thickBot="1">
      <c r="B50" s="1409"/>
      <c r="C50" s="321"/>
      <c r="D50" s="321"/>
      <c r="E50" s="1933" t="s">
        <v>1122</v>
      </c>
      <c r="F50" s="1934">
        <f ca="1">F39+F48</f>
        <v>30767568.929132134</v>
      </c>
      <c r="G50" s="321"/>
      <c r="H50" s="321"/>
      <c r="I50" s="321"/>
      <c r="J50" s="321"/>
      <c r="K50" s="321"/>
      <c r="L50" s="321"/>
      <c r="M50" s="321"/>
      <c r="N50" s="321"/>
      <c r="O50" s="321"/>
      <c r="P50" s="321"/>
      <c r="Q50" s="1410"/>
    </row>
    <row r="51" spans="2:17" ht="9" customHeight="1" thickTop="1" thickBot="1">
      <c r="B51" s="493"/>
      <c r="C51" s="494"/>
      <c r="D51" s="494"/>
      <c r="E51" s="496"/>
      <c r="F51" s="497"/>
      <c r="G51" s="497"/>
      <c r="H51" s="498"/>
      <c r="I51" s="498"/>
      <c r="J51" s="495"/>
      <c r="K51" s="495"/>
      <c r="L51" s="495"/>
      <c r="M51" s="495"/>
      <c r="N51" s="495"/>
      <c r="O51" s="498"/>
      <c r="P51" s="498"/>
      <c r="Q51" s="499"/>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43:P44 L26:P31">
    <cfRule type="expression" dxfId="31" priority="2">
      <formula>$K26="Non-Recoverable"</formula>
    </cfRule>
  </conditionalFormatting>
  <dataValidations count="11">
    <dataValidation type="list" allowBlank="1" showInputMessage="1" showErrorMessage="1" sqref="K43" xr:uid="{00000000-0002-0000-1400-000000000000}">
      <formula1>INDIRECT(J26)</formula1>
    </dataValidation>
    <dataValidation type="list" allowBlank="1" showInputMessage="1" showErrorMessage="1" sqref="D43:D44" xr:uid="{00000000-0002-0000-1400-000001000000}">
      <formula1>NonRes_FundSource</formula1>
    </dataValidation>
    <dataValidation type="list" allowBlank="1" showInputMessage="1" showErrorMessage="1" sqref="D16:D18 D26:D31" xr:uid="{00000000-0002-0000-1400-000002000000}">
      <formula1>Fund_Source</formula1>
    </dataValidation>
    <dataValidation type="list" allowBlank="1" showInputMessage="1" showErrorMessage="1" sqref="G26:G31 G43:G44" xr:uid="{00000000-0002-0000-1400-000003000000}">
      <formula1>"Select...,Public,Private"</formula1>
    </dataValidation>
    <dataValidation type="list" allowBlank="1" showInputMessage="1" showErrorMessage="1" sqref="G32 G45" xr:uid="{00000000-0002-0000-1400-000004000000}">
      <formula1>"Public,Private"</formula1>
    </dataValidation>
    <dataValidation type="list" allowBlank="1" showInputMessage="1" showErrorMessage="1" sqref="J43:J45 J26:J32" xr:uid="{00000000-0002-0000-1400-000005000000}">
      <formula1>G_or_L</formula1>
    </dataValidation>
    <dataValidation type="list" allowBlank="1" showInputMessage="1" showErrorMessage="1" sqref="K26:K31" xr:uid="{00000000-0002-0000-1400-000006000000}">
      <formula1>INDIRECT(J26)</formula1>
    </dataValidation>
    <dataValidation type="list" allowBlank="1" showInputMessage="1" showErrorMessage="1" sqref="K32" xr:uid="{00000000-0002-0000-1400-000007000000}">
      <formula1>INDIRECT(J26)</formula1>
    </dataValidation>
    <dataValidation type="list" allowBlank="1" showInputMessage="1" showErrorMessage="1" sqref="K44" xr:uid="{00000000-0002-0000-1400-000008000000}">
      <formula1>INDIRECT(J26)</formula1>
    </dataValidation>
    <dataValidation type="list" allowBlank="1" showInputMessage="1" showErrorMessage="1" sqref="K45" xr:uid="{00000000-0002-0000-1400-000009000000}">
      <formula1>INDIRECT(J26)</formula1>
    </dataValidation>
    <dataValidation type="list" allowBlank="1" showInputMessage="1" showErrorMessage="1" sqref="L26:L32 L43:L45" xr:uid="{00000000-0002-0000-1400-00000A000000}">
      <formula1>Debt_Type</formula1>
    </dataValidation>
  </dataValidations>
  <pageMargins left="0.25" right="0.25" top="0.75" bottom="0.75" header="0.3" footer="0.3"/>
  <pageSetup scale="74" orientation="landscape" r:id="rId1"/>
  <headerFooter>
    <oddFooter>&amp;LForm 7A
Financing Sources&amp;CCFA Forms&amp;REdition: 2016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0:Y60"/>
  <sheetViews>
    <sheetView showGridLines="0" topLeftCell="B50" zoomScaleNormal="100" zoomScaleSheetLayoutView="100" workbookViewId="0" xr3:uid="{0801C90D-E949-51CC-9495-7D82D7DEDABF}">
      <selection activeCell="W75" sqref="W75"/>
    </sheetView>
  </sheetViews>
  <sheetFormatPr defaultColWidth="9.140625" defaultRowHeight="14.45"/>
  <cols>
    <col min="1" max="2" width="1.7109375" style="335" customWidth="1"/>
    <col min="3" max="3" width="20.28515625" style="335" bestFit="1" customWidth="1"/>
    <col min="4" max="6" width="8" style="335" hidden="1" customWidth="1"/>
    <col min="7" max="7" width="12" style="335" hidden="1" customWidth="1"/>
    <col min="8" max="11" width="12" style="335" bestFit="1" customWidth="1"/>
    <col min="12" max="12" width="12.5703125" style="335" bestFit="1" customWidth="1"/>
    <col min="13" max="13" width="11.42578125" style="335" customWidth="1"/>
    <col min="14" max="14" width="10.140625" style="335" customWidth="1"/>
    <col min="15" max="15" width="12.42578125" style="335" customWidth="1"/>
    <col min="16" max="19" width="8" style="335" bestFit="1" customWidth="1"/>
    <col min="20" max="20" width="13.5703125" style="335" bestFit="1" customWidth="1"/>
    <col min="21" max="21" width="2.28515625" style="335" customWidth="1"/>
    <col min="22" max="16384" width="9.140625" style="335"/>
  </cols>
  <sheetData>
    <row r="10" spans="2:25" ht="9" customHeight="1" thickBot="1"/>
    <row r="11" spans="2:25" ht="9" customHeight="1">
      <c r="B11" s="500"/>
      <c r="C11" s="376"/>
      <c r="D11" s="376"/>
      <c r="E11" s="376"/>
      <c r="F11" s="376"/>
      <c r="G11" s="376"/>
      <c r="H11" s="376"/>
      <c r="I11" s="376"/>
      <c r="J11" s="376"/>
      <c r="K11" s="376"/>
      <c r="L11" s="1411"/>
      <c r="M11" s="1411"/>
      <c r="N11" s="1411"/>
      <c r="O11" s="1411"/>
      <c r="P11" s="1411"/>
      <c r="Q11" s="1411"/>
      <c r="R11" s="1411"/>
      <c r="S11" s="1411"/>
      <c r="T11" s="1411"/>
      <c r="U11" s="1412"/>
    </row>
    <row r="12" spans="2:25" ht="18.600000000000001">
      <c r="B12" s="501"/>
      <c r="C12" s="2057" t="s">
        <v>1123</v>
      </c>
      <c r="D12" s="2057"/>
      <c r="E12" s="2057"/>
      <c r="F12" s="2057"/>
      <c r="G12" s="2057"/>
      <c r="H12" s="2057"/>
      <c r="I12" s="2057"/>
      <c r="J12" s="2057"/>
      <c r="K12" s="2057"/>
      <c r="L12" s="2057"/>
      <c r="M12" s="2057"/>
      <c r="N12" s="2057"/>
      <c r="O12" s="2057"/>
      <c r="P12" s="2057"/>
      <c r="Q12" s="2057"/>
      <c r="R12" s="2057"/>
      <c r="S12" s="2057"/>
      <c r="T12" s="2057"/>
      <c r="U12" s="1413"/>
    </row>
    <row r="13" spans="2:25" ht="15" customHeight="1">
      <c r="B13" s="501"/>
      <c r="C13" s="347"/>
      <c r="D13" s="347"/>
      <c r="E13" s="347"/>
      <c r="F13" s="347"/>
      <c r="G13" s="347"/>
      <c r="H13" s="347"/>
      <c r="I13" s="347"/>
      <c r="J13" s="347"/>
      <c r="K13" s="347"/>
      <c r="L13" s="965"/>
      <c r="M13" s="965"/>
      <c r="N13" s="965"/>
      <c r="O13" s="965"/>
      <c r="P13" s="965"/>
      <c r="Q13" s="965"/>
      <c r="R13" s="965"/>
      <c r="S13" s="965"/>
      <c r="T13" s="965"/>
      <c r="U13" s="1413"/>
    </row>
    <row r="14" spans="2:25" ht="15" thickBot="1">
      <c r="B14" s="502"/>
      <c r="C14" s="2131" t="str">
        <f>IF('1'!G5="","Enter Project Name on Form 1",(CONCATENATE("Project Name: ",'1'!G5)))</f>
        <v>Project Name: DESC 22nd Avenue PSH</v>
      </c>
      <c r="D14" s="2131"/>
      <c r="E14" s="2131"/>
      <c r="F14" s="2131"/>
      <c r="G14" s="2131"/>
      <c r="H14" s="2131"/>
      <c r="I14" s="2131"/>
      <c r="J14" s="2131"/>
      <c r="K14" s="311"/>
      <c r="L14" s="112" t="s">
        <v>1124</v>
      </c>
      <c r="M14" s="1935">
        <v>42988</v>
      </c>
      <c r="N14" s="965"/>
      <c r="O14" s="965"/>
      <c r="P14" s="965"/>
      <c r="Q14" s="965"/>
      <c r="R14" s="965"/>
      <c r="S14" s="965"/>
      <c r="T14" s="965"/>
      <c r="U14" s="1413"/>
    </row>
    <row r="15" spans="2:25" s="354" customFormat="1" ht="15" customHeight="1">
      <c r="B15" s="502"/>
      <c r="C15" s="1945"/>
      <c r="D15" s="512"/>
      <c r="E15" s="929"/>
      <c r="F15" s="545"/>
      <c r="G15" s="930"/>
      <c r="H15" s="512"/>
      <c r="I15" s="512"/>
      <c r="J15" s="512"/>
      <c r="K15" s="324"/>
      <c r="L15" s="1177"/>
      <c r="M15" s="1177"/>
      <c r="N15" s="1177"/>
      <c r="O15" s="1177"/>
      <c r="P15" s="1177"/>
      <c r="Q15" s="1177"/>
      <c r="R15" s="1177"/>
      <c r="S15" s="1177"/>
      <c r="T15" s="1177"/>
      <c r="U15" s="1414"/>
      <c r="W15" s="335"/>
      <c r="X15" s="335"/>
      <c r="Y15" s="335"/>
    </row>
    <row r="16" spans="2:25" s="354" customFormat="1" ht="15" customHeight="1" thickBot="1">
      <c r="B16" s="502"/>
      <c r="C16" s="2490" t="s">
        <v>1125</v>
      </c>
      <c r="D16" s="2490"/>
      <c r="E16" s="2490"/>
      <c r="F16" s="2490"/>
      <c r="G16" s="2490"/>
      <c r="H16" s="2490"/>
      <c r="I16" s="2490"/>
      <c r="J16" s="2490"/>
      <c r="K16" s="2490"/>
      <c r="L16" s="1177"/>
      <c r="M16" s="1177"/>
      <c r="N16" s="1177"/>
      <c r="O16" s="1177"/>
      <c r="P16" s="1177"/>
      <c r="Q16" s="1177"/>
      <c r="R16" s="1177"/>
      <c r="S16" s="1177"/>
      <c r="T16" s="1177"/>
      <c r="U16" s="1414"/>
    </row>
    <row r="17" spans="2:21" s="354" customFormat="1" ht="15" customHeight="1">
      <c r="B17" s="502"/>
      <c r="C17" s="108"/>
      <c r="D17" s="931" t="s">
        <v>1126</v>
      </c>
      <c r="E17" s="932" t="s">
        <v>1127</v>
      </c>
      <c r="F17" s="932" t="s">
        <v>1128</v>
      </c>
      <c r="G17" s="932" t="s">
        <v>1129</v>
      </c>
      <c r="H17" s="932" t="s">
        <v>1126</v>
      </c>
      <c r="I17" s="932" t="s">
        <v>1127</v>
      </c>
      <c r="J17" s="932" t="s">
        <v>1128</v>
      </c>
      <c r="K17" s="932" t="s">
        <v>1129</v>
      </c>
      <c r="L17" s="932" t="s">
        <v>1126</v>
      </c>
      <c r="M17" s="932" t="s">
        <v>1127</v>
      </c>
      <c r="N17" s="932" t="s">
        <v>1128</v>
      </c>
      <c r="O17" s="932" t="s">
        <v>1129</v>
      </c>
      <c r="P17" s="932" t="s">
        <v>1126</v>
      </c>
      <c r="Q17" s="932" t="s">
        <v>1127</v>
      </c>
      <c r="R17" s="932" t="s">
        <v>1128</v>
      </c>
      <c r="S17" s="933" t="s">
        <v>1129</v>
      </c>
      <c r="T17" s="295" t="s">
        <v>1130</v>
      </c>
      <c r="U17" s="1414"/>
    </row>
    <row r="18" spans="2:21" s="354" customFormat="1" ht="15" customHeight="1" thickBot="1">
      <c r="B18" s="502"/>
      <c r="C18" s="109" t="s">
        <v>1082</v>
      </c>
      <c r="D18" s="1853">
        <v>43009</v>
      </c>
      <c r="E18" s="1854">
        <v>43101</v>
      </c>
      <c r="F18" s="1854">
        <v>43191</v>
      </c>
      <c r="G18" s="1854">
        <v>43282</v>
      </c>
      <c r="H18" s="1854">
        <v>43374</v>
      </c>
      <c r="I18" s="1854">
        <v>43466</v>
      </c>
      <c r="J18" s="1854">
        <v>43556</v>
      </c>
      <c r="K18" s="1854">
        <v>43647</v>
      </c>
      <c r="L18" s="1854">
        <v>43739</v>
      </c>
      <c r="M18" s="1854">
        <v>43831</v>
      </c>
      <c r="N18" s="1855">
        <v>43922</v>
      </c>
      <c r="O18" s="1854">
        <v>44013</v>
      </c>
      <c r="P18" s="1854">
        <v>44105</v>
      </c>
      <c r="Q18" s="1854">
        <v>44197</v>
      </c>
      <c r="R18" s="1854">
        <v>44287</v>
      </c>
      <c r="S18" s="1856">
        <v>44378</v>
      </c>
      <c r="T18" s="296"/>
      <c r="U18" s="1414"/>
    </row>
    <row r="19" spans="2:21" s="354" customFormat="1" ht="15" customHeight="1">
      <c r="B19" s="502"/>
      <c r="C19" s="504" t="s">
        <v>1131</v>
      </c>
      <c r="D19" s="973">
        <v>0</v>
      </c>
      <c r="E19" s="974">
        <v>0</v>
      </c>
      <c r="F19" s="974">
        <v>0</v>
      </c>
      <c r="G19" s="974">
        <v>0</v>
      </c>
      <c r="H19" s="1882">
        <v>0</v>
      </c>
      <c r="I19" s="1882">
        <v>0</v>
      </c>
      <c r="J19" s="1882">
        <v>0</v>
      </c>
      <c r="K19" s="1882">
        <v>0</v>
      </c>
      <c r="L19" s="1882">
        <v>0</v>
      </c>
      <c r="M19" s="1882">
        <v>0</v>
      </c>
      <c r="N19" s="1882">
        <v>0</v>
      </c>
      <c r="O19" s="1882">
        <v>0</v>
      </c>
      <c r="P19" s="1882">
        <v>0</v>
      </c>
      <c r="Q19" s="1882">
        <v>0</v>
      </c>
      <c r="R19" s="1882">
        <v>0</v>
      </c>
      <c r="S19" s="1883">
        <v>0</v>
      </c>
      <c r="T19" s="1896">
        <f>SUM(D19:K19)+SUM(L19:S19)</f>
        <v>0</v>
      </c>
      <c r="U19" s="1414"/>
    </row>
    <row r="20" spans="2:21" s="354" customFormat="1" ht="15" customHeight="1">
      <c r="B20" s="502"/>
      <c r="C20" s="968" t="str">
        <f>IF('7A'!C16="","Enter on Form 7A",'7A'!C16)</f>
        <v>Corp. for Supportive Housing</v>
      </c>
      <c r="D20" s="975">
        <v>0</v>
      </c>
      <c r="E20" s="976">
        <v>0</v>
      </c>
      <c r="F20" s="976">
        <v>0</v>
      </c>
      <c r="G20" s="976">
        <v>0</v>
      </c>
      <c r="H20" s="1881">
        <v>0</v>
      </c>
      <c r="I20" s="1881">
        <v>0</v>
      </c>
      <c r="J20" s="1881">
        <v>0</v>
      </c>
      <c r="K20" s="1881">
        <v>0</v>
      </c>
      <c r="L20" s="1881">
        <v>0</v>
      </c>
      <c r="M20" s="1881">
        <v>0</v>
      </c>
      <c r="N20" s="1881">
        <v>0</v>
      </c>
      <c r="O20" s="1881">
        <v>0</v>
      </c>
      <c r="P20" s="1881">
        <v>0</v>
      </c>
      <c r="Q20" s="1881">
        <v>0</v>
      </c>
      <c r="R20" s="1881">
        <v>0</v>
      </c>
      <c r="S20" s="1885">
        <v>0</v>
      </c>
      <c r="T20" s="1897">
        <f>SUM(D20:K20)+SUM(L20:S20)</f>
        <v>0</v>
      </c>
      <c r="U20" s="1414"/>
    </row>
    <row r="21" spans="2:21" s="354" customFormat="1" ht="15" customHeight="1">
      <c r="B21" s="502"/>
      <c r="C21" s="968" t="str">
        <f>IF('7A'!C17="","Enter on Form 7A",'7A'!C17)</f>
        <v>Construction Loan TBD</v>
      </c>
      <c r="D21" s="975">
        <v>0</v>
      </c>
      <c r="E21" s="976">
        <v>0</v>
      </c>
      <c r="F21" s="976">
        <v>0</v>
      </c>
      <c r="G21" s="976">
        <v>0</v>
      </c>
      <c r="H21" s="1881">
        <v>0</v>
      </c>
      <c r="I21" s="1881">
        <v>0</v>
      </c>
      <c r="J21" s="1881">
        <v>282675.40848712251</v>
      </c>
      <c r="K21" s="1881">
        <v>5593036.1224211585</v>
      </c>
      <c r="L21" s="1881">
        <v>4113155.9900748935</v>
      </c>
      <c r="M21" s="1881">
        <v>0</v>
      </c>
      <c r="N21" s="1881">
        <v>26955.109330012339</v>
      </c>
      <c r="O21" s="1881">
        <f>-SUM(J21:N21)</f>
        <v>-10015822.630313186</v>
      </c>
      <c r="P21" s="1881">
        <v>0</v>
      </c>
      <c r="Q21" s="1881">
        <v>0</v>
      </c>
      <c r="R21" s="1881">
        <v>0</v>
      </c>
      <c r="S21" s="1885">
        <v>0</v>
      </c>
      <c r="T21" s="1886">
        <f>SUM(D21:K21)+SUM(L21:S21)</f>
        <v>0</v>
      </c>
      <c r="U21" s="1414"/>
    </row>
    <row r="22" spans="2:21" s="354" customFormat="1" ht="15" customHeight="1" thickBot="1">
      <c r="B22" s="502"/>
      <c r="C22" s="968" t="str">
        <f>IF('7A'!C18="","Enter on Form 7A",'7A'!C18)</f>
        <v>Enter on Form 7A</v>
      </c>
      <c r="D22" s="977">
        <v>0</v>
      </c>
      <c r="E22" s="978">
        <v>0</v>
      </c>
      <c r="F22" s="978">
        <v>0</v>
      </c>
      <c r="G22" s="978">
        <v>0</v>
      </c>
      <c r="H22" s="1887">
        <v>0</v>
      </c>
      <c r="I22" s="1887">
        <v>0</v>
      </c>
      <c r="J22" s="1887">
        <v>0</v>
      </c>
      <c r="K22" s="1887">
        <v>0</v>
      </c>
      <c r="L22" s="1887">
        <v>0</v>
      </c>
      <c r="M22" s="1887">
        <v>0</v>
      </c>
      <c r="N22" s="1887">
        <v>0</v>
      </c>
      <c r="O22" s="1887">
        <v>0</v>
      </c>
      <c r="P22" s="1887">
        <v>0</v>
      </c>
      <c r="Q22" s="1887">
        <v>0</v>
      </c>
      <c r="R22" s="1887">
        <v>0</v>
      </c>
      <c r="S22" s="1888">
        <v>0</v>
      </c>
      <c r="T22" s="1889">
        <f>SUM(D22:K22)+SUM(L22:S22)</f>
        <v>0</v>
      </c>
      <c r="U22" s="1414"/>
    </row>
    <row r="23" spans="2:21" s="354" customFormat="1" ht="15" customHeight="1" thickBot="1">
      <c r="B23" s="502"/>
      <c r="C23" s="116" t="s">
        <v>1132</v>
      </c>
      <c r="D23" s="969">
        <f>SUM(D19:D22)</f>
        <v>0</v>
      </c>
      <c r="E23" s="970">
        <f t="shared" ref="E23:K23" si="0">SUM(E19:E22)</f>
        <v>0</v>
      </c>
      <c r="F23" s="970">
        <f t="shared" si="0"/>
        <v>0</v>
      </c>
      <c r="G23" s="970">
        <f t="shared" si="0"/>
        <v>0</v>
      </c>
      <c r="H23" s="1890">
        <f t="shared" si="0"/>
        <v>0</v>
      </c>
      <c r="I23" s="1890">
        <f t="shared" si="0"/>
        <v>0</v>
      </c>
      <c r="J23" s="1890">
        <f t="shared" si="0"/>
        <v>282675.40848712251</v>
      </c>
      <c r="K23" s="1890">
        <f t="shared" si="0"/>
        <v>5593036.1224211585</v>
      </c>
      <c r="L23" s="1890">
        <f t="shared" ref="L23:T23" si="1">SUM(L19:L22)</f>
        <v>4113155.9900748935</v>
      </c>
      <c r="M23" s="1890">
        <f t="shared" si="1"/>
        <v>0</v>
      </c>
      <c r="N23" s="1890">
        <f t="shared" si="1"/>
        <v>26955.109330012339</v>
      </c>
      <c r="O23" s="1890">
        <f t="shared" si="1"/>
        <v>-10015822.630313186</v>
      </c>
      <c r="P23" s="1890">
        <f t="shared" si="1"/>
        <v>0</v>
      </c>
      <c r="Q23" s="1890">
        <f t="shared" si="1"/>
        <v>0</v>
      </c>
      <c r="R23" s="1890">
        <f t="shared" si="1"/>
        <v>0</v>
      </c>
      <c r="S23" s="1891">
        <f t="shared" si="1"/>
        <v>0</v>
      </c>
      <c r="T23" s="1892">
        <f t="shared" si="1"/>
        <v>0</v>
      </c>
      <c r="U23" s="1414"/>
    </row>
    <row r="24" spans="2:21" s="354" customFormat="1" ht="3.75" customHeight="1">
      <c r="B24" s="502"/>
      <c r="C24" s="1945"/>
      <c r="D24" s="512"/>
      <c r="E24" s="929"/>
      <c r="F24" s="545"/>
      <c r="G24" s="930"/>
      <c r="H24" s="512"/>
      <c r="I24" s="512"/>
      <c r="J24" s="512"/>
      <c r="K24" s="512"/>
      <c r="L24" s="512"/>
      <c r="M24" s="1177"/>
      <c r="N24" s="1177"/>
      <c r="O24" s="1177"/>
      <c r="P24" s="1177"/>
      <c r="Q24" s="1177"/>
      <c r="R24" s="1177"/>
      <c r="S24" s="1177"/>
      <c r="T24" s="1177"/>
      <c r="U24" s="1414"/>
    </row>
    <row r="25" spans="2:21" s="354" customFormat="1" ht="15" customHeight="1" thickBot="1">
      <c r="B25" s="502"/>
      <c r="C25" s="109" t="s">
        <v>926</v>
      </c>
      <c r="D25" s="965"/>
      <c r="E25" s="965"/>
      <c r="F25" s="965"/>
      <c r="G25" s="965"/>
      <c r="H25" s="965"/>
      <c r="I25" s="965"/>
      <c r="J25" s="965"/>
      <c r="K25" s="965"/>
      <c r="L25" s="965"/>
      <c r="M25" s="1177"/>
      <c r="N25" s="1177"/>
      <c r="O25" s="1177"/>
      <c r="P25" s="1177"/>
      <c r="Q25" s="1177"/>
      <c r="R25" s="1177"/>
      <c r="S25" s="1177"/>
      <c r="T25" s="1177"/>
      <c r="U25" s="1414"/>
    </row>
    <row r="26" spans="2:21" s="354" customFormat="1" ht="15" customHeight="1">
      <c r="B26" s="502"/>
      <c r="C26" s="934" t="s">
        <v>1133</v>
      </c>
      <c r="D26" s="973">
        <v>0</v>
      </c>
      <c r="E26" s="974">
        <v>0</v>
      </c>
      <c r="F26" s="974">
        <v>0</v>
      </c>
      <c r="G26" s="974">
        <v>0</v>
      </c>
      <c r="H26" s="1882">
        <f>3952500-'6A'!S120</f>
        <v>2587500</v>
      </c>
      <c r="I26" s="1882">
        <v>0</v>
      </c>
      <c r="J26" s="1882">
        <v>0</v>
      </c>
      <c r="K26" s="1882">
        <v>0</v>
      </c>
      <c r="L26" s="1882">
        <v>1231803.7753786489</v>
      </c>
      <c r="M26" s="1882">
        <v>2696421.659401604</v>
      </c>
      <c r="N26" s="1882">
        <v>49956.803747509606</v>
      </c>
      <c r="O26" s="1882">
        <f ca="1">'7A'!F37-SUM('7B'!H26:N26)</f>
        <v>9316144.6906043738</v>
      </c>
      <c r="P26" s="1882">
        <v>0</v>
      </c>
      <c r="Q26" s="1882">
        <v>0</v>
      </c>
      <c r="R26" s="1882">
        <v>0</v>
      </c>
      <c r="S26" s="1883">
        <v>0</v>
      </c>
      <c r="T26" s="1884">
        <f t="shared" ref="T26:T33" ca="1" si="2">SUM(D26:K26)+SUM(L26:S26)</f>
        <v>15881826.929132137</v>
      </c>
      <c r="U26" s="1414"/>
    </row>
    <row r="27" spans="2:21">
      <c r="B27" s="1365"/>
      <c r="C27" s="1415" t="str">
        <f>IF('7A'!C26="","Enter on Form 7A",'7A'!C26)</f>
        <v>Seattle OH</v>
      </c>
      <c r="D27" s="975">
        <v>0</v>
      </c>
      <c r="E27" s="976">
        <v>0</v>
      </c>
      <c r="F27" s="976">
        <v>0</v>
      </c>
      <c r="G27" s="976">
        <v>0</v>
      </c>
      <c r="H27" s="1881">
        <v>0</v>
      </c>
      <c r="I27" s="1881">
        <v>3512415.4075934486</v>
      </c>
      <c r="J27" s="1881">
        <v>5056252.3851200426</v>
      </c>
      <c r="K27" s="1881">
        <v>0</v>
      </c>
      <c r="L27" s="1881">
        <v>0</v>
      </c>
      <c r="M27" s="1881">
        <v>0</v>
      </c>
      <c r="N27" s="1881">
        <v>0</v>
      </c>
      <c r="O27" s="1881">
        <f>'7A'!E26-SUM('7B'!H27:N27)</f>
        <v>952074.20728650875</v>
      </c>
      <c r="P27" s="1881">
        <v>0</v>
      </c>
      <c r="Q27" s="1881">
        <v>0</v>
      </c>
      <c r="R27" s="1881">
        <v>0</v>
      </c>
      <c r="S27" s="1885">
        <v>0</v>
      </c>
      <c r="T27" s="1886">
        <f t="shared" si="2"/>
        <v>9520742</v>
      </c>
      <c r="U27" s="1413"/>
    </row>
    <row r="28" spans="2:21">
      <c r="B28" s="1365"/>
      <c r="C28" s="1415" t="str">
        <f>IF('7A'!C27="","Enter on Form 7A",'7A'!C27)</f>
        <v>King County</v>
      </c>
      <c r="D28" s="975">
        <v>0</v>
      </c>
      <c r="E28" s="976">
        <v>0</v>
      </c>
      <c r="F28" s="976">
        <v>0</v>
      </c>
      <c r="G28" s="976">
        <v>0</v>
      </c>
      <c r="H28" s="1881">
        <v>900000</v>
      </c>
      <c r="I28" s="1881">
        <v>0</v>
      </c>
      <c r="J28" s="1881">
        <v>0</v>
      </c>
      <c r="K28" s="1881">
        <v>0</v>
      </c>
      <c r="L28" s="1881">
        <v>0</v>
      </c>
      <c r="M28" s="1881">
        <v>0</v>
      </c>
      <c r="N28" s="1881">
        <v>0</v>
      </c>
      <c r="O28" s="1881">
        <v>100000</v>
      </c>
      <c r="P28" s="1881">
        <v>0</v>
      </c>
      <c r="Q28" s="1881">
        <v>0</v>
      </c>
      <c r="R28" s="1881">
        <v>0</v>
      </c>
      <c r="S28" s="1885">
        <v>0</v>
      </c>
      <c r="T28" s="1886">
        <f t="shared" si="2"/>
        <v>1000000</v>
      </c>
      <c r="U28" s="1413"/>
    </row>
    <row r="29" spans="2:21">
      <c r="B29" s="1365"/>
      <c r="C29" s="1415" t="str">
        <f>IF('7A'!C28="","Enter on Form 7A",'7A'!C28)</f>
        <v>Dept. of Commerce</v>
      </c>
      <c r="D29" s="975">
        <v>0</v>
      </c>
      <c r="E29" s="976">
        <v>0</v>
      </c>
      <c r="F29" s="976">
        <v>0</v>
      </c>
      <c r="G29" s="976">
        <v>0</v>
      </c>
      <c r="H29" s="1881">
        <v>2645748.4551526089</v>
      </c>
      <c r="I29" s="1881">
        <v>54251.544847349636</v>
      </c>
      <c r="J29" s="1881">
        <v>0</v>
      </c>
      <c r="K29" s="1881">
        <v>0</v>
      </c>
      <c r="L29" s="1881">
        <v>0</v>
      </c>
      <c r="M29" s="1881">
        <v>0</v>
      </c>
      <c r="N29" s="1881">
        <v>0</v>
      </c>
      <c r="O29" s="1881">
        <v>299999.99999814946</v>
      </c>
      <c r="P29" s="1881">
        <v>0</v>
      </c>
      <c r="Q29" s="1881">
        <v>0</v>
      </c>
      <c r="R29" s="1881">
        <v>0</v>
      </c>
      <c r="S29" s="1885">
        <v>0</v>
      </c>
      <c r="T29" s="1886">
        <f t="shared" si="2"/>
        <v>2999999.999998108</v>
      </c>
      <c r="U29" s="1413"/>
    </row>
    <row r="30" spans="2:21">
      <c r="B30" s="1365"/>
      <c r="C30" s="1415" t="str">
        <f>IF('7A'!C30="","Enter on Form 7A",'7A'!C30)</f>
        <v>Enter on Form 7A</v>
      </c>
      <c r="D30" s="975">
        <v>0</v>
      </c>
      <c r="E30" s="976">
        <v>0</v>
      </c>
      <c r="F30" s="976">
        <v>0</v>
      </c>
      <c r="G30" s="976">
        <v>0</v>
      </c>
      <c r="H30" s="1881">
        <v>0</v>
      </c>
      <c r="I30" s="1881">
        <v>0</v>
      </c>
      <c r="J30" s="1881">
        <v>0</v>
      </c>
      <c r="K30" s="1881">
        <v>0</v>
      </c>
      <c r="L30" s="1881">
        <v>0</v>
      </c>
      <c r="M30" s="1881">
        <v>0</v>
      </c>
      <c r="N30" s="1881">
        <v>0</v>
      </c>
      <c r="O30" s="1881">
        <v>0</v>
      </c>
      <c r="P30" s="1881">
        <v>0</v>
      </c>
      <c r="Q30" s="1881">
        <v>0</v>
      </c>
      <c r="R30" s="1881">
        <v>0</v>
      </c>
      <c r="S30" s="1885">
        <v>0</v>
      </c>
      <c r="T30" s="1886">
        <f t="shared" si="2"/>
        <v>0</v>
      </c>
      <c r="U30" s="1413"/>
    </row>
    <row r="31" spans="2:21">
      <c r="B31" s="1365"/>
      <c r="C31" s="1415" t="str">
        <f>IF('7A'!C31="","Enter on Form 7A",'7A'!C31)</f>
        <v>Enter on Form 7A</v>
      </c>
      <c r="D31" s="975">
        <v>0</v>
      </c>
      <c r="E31" s="976">
        <v>0</v>
      </c>
      <c r="F31" s="976">
        <v>0</v>
      </c>
      <c r="G31" s="976">
        <v>0</v>
      </c>
      <c r="H31" s="1881">
        <v>0</v>
      </c>
      <c r="I31" s="1881">
        <v>0</v>
      </c>
      <c r="J31" s="1881">
        <v>0</v>
      </c>
      <c r="K31" s="1881">
        <v>0</v>
      </c>
      <c r="L31" s="1881">
        <v>0</v>
      </c>
      <c r="M31" s="1881">
        <v>0</v>
      </c>
      <c r="N31" s="1881">
        <v>0</v>
      </c>
      <c r="O31" s="1881">
        <v>0</v>
      </c>
      <c r="P31" s="1881">
        <v>0</v>
      </c>
      <c r="Q31" s="1881">
        <v>0</v>
      </c>
      <c r="R31" s="1881">
        <v>0</v>
      </c>
      <c r="S31" s="1885">
        <v>0</v>
      </c>
      <c r="T31" s="1886">
        <f t="shared" si="2"/>
        <v>0</v>
      </c>
      <c r="U31" s="1413"/>
    </row>
    <row r="32" spans="2:21">
      <c r="B32" s="1365"/>
      <c r="C32" s="1415" t="str">
        <f>IF('7A'!C43="","Enter on Form 7A",'7A'!C43)</f>
        <v>DESC</v>
      </c>
      <c r="D32" s="975">
        <v>0</v>
      </c>
      <c r="E32" s="976">
        <v>0</v>
      </c>
      <c r="F32" s="976">
        <v>0</v>
      </c>
      <c r="G32" s="976">
        <v>0</v>
      </c>
      <c r="H32" s="1881">
        <v>0</v>
      </c>
      <c r="I32" s="1881">
        <v>0</v>
      </c>
      <c r="J32" s="1881">
        <v>0</v>
      </c>
      <c r="K32" s="1881">
        <v>0</v>
      </c>
      <c r="L32" s="1881">
        <v>0</v>
      </c>
      <c r="M32" s="1881">
        <v>0</v>
      </c>
      <c r="N32" s="1881">
        <v>0</v>
      </c>
      <c r="O32" s="1881">
        <v>0</v>
      </c>
      <c r="P32" s="1881">
        <v>0</v>
      </c>
      <c r="Q32" s="1881">
        <v>0</v>
      </c>
      <c r="R32" s="1881">
        <v>0</v>
      </c>
      <c r="S32" s="1885">
        <v>0</v>
      </c>
      <c r="T32" s="1886">
        <f t="shared" si="2"/>
        <v>0</v>
      </c>
      <c r="U32" s="1413"/>
    </row>
    <row r="33" spans="2:21" ht="15" thickBot="1">
      <c r="B33" s="1365"/>
      <c r="C33" s="1415" t="str">
        <f>IF('7A'!C44="","Enter on Form 7A",'7A'!C44)</f>
        <v>Enter on Form 7A</v>
      </c>
      <c r="D33" s="977">
        <v>0</v>
      </c>
      <c r="E33" s="978">
        <v>0</v>
      </c>
      <c r="F33" s="978">
        <v>0</v>
      </c>
      <c r="G33" s="978">
        <v>0</v>
      </c>
      <c r="H33" s="1887">
        <v>0</v>
      </c>
      <c r="I33" s="1887">
        <v>0</v>
      </c>
      <c r="J33" s="1887">
        <v>0</v>
      </c>
      <c r="K33" s="1887">
        <v>0</v>
      </c>
      <c r="L33" s="1887">
        <v>0</v>
      </c>
      <c r="M33" s="1887">
        <v>0</v>
      </c>
      <c r="N33" s="1887">
        <v>0</v>
      </c>
      <c r="O33" s="1887">
        <v>0</v>
      </c>
      <c r="P33" s="1887">
        <v>0</v>
      </c>
      <c r="Q33" s="1887">
        <v>0</v>
      </c>
      <c r="R33" s="1887">
        <v>0</v>
      </c>
      <c r="S33" s="1888">
        <v>0</v>
      </c>
      <c r="T33" s="1889">
        <f t="shared" si="2"/>
        <v>0</v>
      </c>
      <c r="U33" s="1413"/>
    </row>
    <row r="34" spans="2:21" ht="15" thickBot="1">
      <c r="B34" s="505"/>
      <c r="C34" s="110" t="s">
        <v>1132</v>
      </c>
      <c r="D34" s="969">
        <f>SUM(D26:D33)</f>
        <v>0</v>
      </c>
      <c r="E34" s="970">
        <f t="shared" ref="E34:J34" si="3">SUM(E26:E33)</f>
        <v>0</v>
      </c>
      <c r="F34" s="970">
        <f t="shared" si="3"/>
        <v>0</v>
      </c>
      <c r="G34" s="970">
        <f t="shared" si="3"/>
        <v>0</v>
      </c>
      <c r="H34" s="1890">
        <f t="shared" si="3"/>
        <v>6133248.4551526085</v>
      </c>
      <c r="I34" s="1890">
        <f t="shared" si="3"/>
        <v>3566666.9524407983</v>
      </c>
      <c r="J34" s="1890">
        <f t="shared" si="3"/>
        <v>5056252.3851200426</v>
      </c>
      <c r="K34" s="1890">
        <f>SUM(K26:K33)</f>
        <v>0</v>
      </c>
      <c r="L34" s="1890">
        <f t="shared" ref="L34:T34" si="4">SUM(L26:L33)</f>
        <v>1231803.7753786489</v>
      </c>
      <c r="M34" s="1890">
        <f t="shared" si="4"/>
        <v>2696421.659401604</v>
      </c>
      <c r="N34" s="1890">
        <f t="shared" si="4"/>
        <v>49956.803747509606</v>
      </c>
      <c r="O34" s="1890">
        <f t="shared" ca="1" si="4"/>
        <v>10668218.897889033</v>
      </c>
      <c r="P34" s="1890">
        <f t="shared" si="4"/>
        <v>0</v>
      </c>
      <c r="Q34" s="1890">
        <f t="shared" si="4"/>
        <v>0</v>
      </c>
      <c r="R34" s="1890">
        <f t="shared" si="4"/>
        <v>0</v>
      </c>
      <c r="S34" s="1891">
        <f t="shared" si="4"/>
        <v>0</v>
      </c>
      <c r="T34" s="1892">
        <f t="shared" ca="1" si="4"/>
        <v>29402568.929130245</v>
      </c>
      <c r="U34" s="1413"/>
    </row>
    <row r="35" spans="2:21" ht="3.75" customHeight="1" thickBot="1">
      <c r="B35" s="505"/>
      <c r="C35" s="111"/>
      <c r="D35" s="114"/>
      <c r="E35" s="114"/>
      <c r="F35" s="114"/>
      <c r="G35" s="114"/>
      <c r="H35" s="1893"/>
      <c r="I35" s="1893"/>
      <c r="J35" s="1893"/>
      <c r="K35" s="1893"/>
      <c r="L35" s="1893"/>
      <c r="M35" s="1893"/>
      <c r="N35" s="1893"/>
      <c r="O35" s="1893"/>
      <c r="P35" s="1893"/>
      <c r="Q35" s="1893"/>
      <c r="R35" s="1893"/>
      <c r="S35" s="1893"/>
      <c r="T35" s="1894"/>
      <c r="U35" s="1413"/>
    </row>
    <row r="36" spans="2:21" ht="15" thickBot="1">
      <c r="B36" s="502"/>
      <c r="C36" s="109" t="s">
        <v>1134</v>
      </c>
      <c r="D36" s="969">
        <f>D23+D34</f>
        <v>0</v>
      </c>
      <c r="E36" s="970">
        <f t="shared" ref="E36:K36" si="5">E23+E34</f>
        <v>0</v>
      </c>
      <c r="F36" s="970">
        <f t="shared" si="5"/>
        <v>0</v>
      </c>
      <c r="G36" s="970">
        <f t="shared" si="5"/>
        <v>0</v>
      </c>
      <c r="H36" s="1890">
        <f t="shared" si="5"/>
        <v>6133248.4551526085</v>
      </c>
      <c r="I36" s="1890">
        <f t="shared" si="5"/>
        <v>3566666.9524407983</v>
      </c>
      <c r="J36" s="1890">
        <f t="shared" si="5"/>
        <v>5338927.7936071651</v>
      </c>
      <c r="K36" s="1890">
        <f t="shared" si="5"/>
        <v>5593036.1224211585</v>
      </c>
      <c r="L36" s="1890">
        <f t="shared" ref="L36:T36" si="6">L23+L34</f>
        <v>5344959.7654535426</v>
      </c>
      <c r="M36" s="1890">
        <f t="shared" si="6"/>
        <v>2696421.659401604</v>
      </c>
      <c r="N36" s="1890">
        <f t="shared" si="6"/>
        <v>76911.913077521953</v>
      </c>
      <c r="O36" s="1890">
        <f t="shared" ca="1" si="6"/>
        <v>652396.26757584698</v>
      </c>
      <c r="P36" s="1890">
        <f t="shared" si="6"/>
        <v>0</v>
      </c>
      <c r="Q36" s="1890">
        <f t="shared" si="6"/>
        <v>0</v>
      </c>
      <c r="R36" s="1890">
        <f t="shared" si="6"/>
        <v>0</v>
      </c>
      <c r="S36" s="1891">
        <f t="shared" si="6"/>
        <v>0</v>
      </c>
      <c r="T36" s="1895">
        <f t="shared" ca="1" si="6"/>
        <v>29402568.929130245</v>
      </c>
      <c r="U36" s="1413"/>
    </row>
    <row r="37" spans="2:21">
      <c r="B37" s="502"/>
      <c r="C37" s="108"/>
      <c r="D37" s="108"/>
      <c r="E37" s="108"/>
      <c r="F37" s="108"/>
      <c r="G37" s="108"/>
      <c r="H37" s="108"/>
      <c r="I37" s="503"/>
      <c r="J37" s="108"/>
      <c r="K37" s="964"/>
      <c r="L37" s="965"/>
      <c r="M37" s="965"/>
      <c r="N37" s="965"/>
      <c r="O37" s="965"/>
      <c r="P37" s="965"/>
      <c r="Q37" s="965"/>
      <c r="R37" s="965"/>
      <c r="S37" s="965"/>
      <c r="T37" s="965"/>
      <c r="U37" s="1413"/>
    </row>
    <row r="38" spans="2:21" ht="15" thickBot="1">
      <c r="B38" s="502"/>
      <c r="C38" s="2491" t="s">
        <v>1135</v>
      </c>
      <c r="D38" s="2491"/>
      <c r="E38" s="2491"/>
      <c r="F38" s="2491"/>
      <c r="G38" s="2491"/>
      <c r="H38" s="2491"/>
      <c r="I38" s="2491"/>
      <c r="J38" s="2491"/>
      <c r="K38" s="2491"/>
      <c r="L38" s="965"/>
      <c r="M38" s="965"/>
      <c r="N38" s="965"/>
      <c r="O38" s="965"/>
      <c r="P38" s="965"/>
      <c r="Q38" s="965"/>
      <c r="R38" s="965"/>
      <c r="S38" s="965"/>
      <c r="T38" s="965"/>
      <c r="U38" s="1413"/>
    </row>
    <row r="39" spans="2:21">
      <c r="B39" s="502"/>
      <c r="C39" s="117" t="s">
        <v>89</v>
      </c>
      <c r="D39" s="979">
        <v>0</v>
      </c>
      <c r="E39" s="980">
        <v>0</v>
      </c>
      <c r="F39" s="980">
        <v>0</v>
      </c>
      <c r="G39" s="980">
        <v>0</v>
      </c>
      <c r="H39" s="1898">
        <f>'6A'!K28</f>
        <v>2047500</v>
      </c>
      <c r="I39" s="1898">
        <v>0</v>
      </c>
      <c r="J39" s="1898">
        <v>0</v>
      </c>
      <c r="K39" s="1898"/>
      <c r="L39" s="1898"/>
      <c r="M39" s="1898"/>
      <c r="N39" s="1898"/>
      <c r="O39" s="1898"/>
      <c r="P39" s="1898"/>
      <c r="Q39" s="1898">
        <v>0</v>
      </c>
      <c r="R39" s="1898">
        <v>0</v>
      </c>
      <c r="S39" s="1899">
        <v>0</v>
      </c>
      <c r="T39" s="1884">
        <f t="shared" ref="T39:T47" si="7">SUM(D39:K39)+SUM(L39:S39)</f>
        <v>2047500</v>
      </c>
      <c r="U39" s="1413"/>
    </row>
    <row r="40" spans="2:21">
      <c r="B40" s="502"/>
      <c r="C40" s="118" t="s">
        <v>1136</v>
      </c>
      <c r="D40" s="981">
        <v>0</v>
      </c>
      <c r="E40" s="982">
        <v>0</v>
      </c>
      <c r="F40" s="982">
        <v>0</v>
      </c>
      <c r="G40" s="982">
        <v>0</v>
      </c>
      <c r="H40" s="1900">
        <v>1020671.6929500001</v>
      </c>
      <c r="I40" s="1900">
        <v>3468152.4332099995</v>
      </c>
      <c r="J40" s="1900">
        <v>5209772.0761599988</v>
      </c>
      <c r="K40" s="1900">
        <v>5476030.1576999994</v>
      </c>
      <c r="L40" s="1900">
        <v>5174703.3989800001</v>
      </c>
      <c r="M40" s="1900">
        <v>0</v>
      </c>
      <c r="N40" s="1900">
        <v>0</v>
      </c>
      <c r="O40" s="1900">
        <v>0</v>
      </c>
      <c r="P40" s="1900">
        <v>0</v>
      </c>
      <c r="Q40" s="1900">
        <v>0</v>
      </c>
      <c r="R40" s="1900">
        <v>0</v>
      </c>
      <c r="S40" s="1901">
        <v>0</v>
      </c>
      <c r="T40" s="1886">
        <f t="shared" si="7"/>
        <v>20349329.758999996</v>
      </c>
      <c r="U40" s="1413"/>
    </row>
    <row r="41" spans="2:21">
      <c r="B41" s="502"/>
      <c r="C41" s="118" t="s">
        <v>1137</v>
      </c>
      <c r="D41" s="981">
        <v>0</v>
      </c>
      <c r="E41" s="982">
        <v>0</v>
      </c>
      <c r="F41" s="982">
        <v>0</v>
      </c>
      <c r="G41" s="982">
        <v>0</v>
      </c>
      <c r="H41" s="1900">
        <v>1417579.5192918123</v>
      </c>
      <c r="I41" s="1900">
        <v>98514.51923076922</v>
      </c>
      <c r="J41" s="1900">
        <v>122405.71744743589</v>
      </c>
      <c r="K41" s="1900">
        <v>100514.51923076922</v>
      </c>
      <c r="L41" s="1900">
        <v>103905.71744743589</v>
      </c>
      <c r="M41" s="1900">
        <v>1321173.7959964448</v>
      </c>
      <c r="N41" s="1900">
        <v>0</v>
      </c>
      <c r="O41" s="1900">
        <v>521778.3979982225</v>
      </c>
      <c r="P41" s="1900">
        <v>0</v>
      </c>
      <c r="Q41" s="1900">
        <v>0</v>
      </c>
      <c r="R41" s="1900">
        <v>0</v>
      </c>
      <c r="S41" s="1901">
        <v>0</v>
      </c>
      <c r="T41" s="1886">
        <f t="shared" si="7"/>
        <v>3685872.1866428899</v>
      </c>
      <c r="U41" s="1413"/>
    </row>
    <row r="42" spans="2:21">
      <c r="B42" s="502"/>
      <c r="C42" s="118" t="s">
        <v>1138</v>
      </c>
      <c r="D42" s="981">
        <v>0</v>
      </c>
      <c r="E42" s="982">
        <v>0</v>
      </c>
      <c r="F42" s="982">
        <v>0</v>
      </c>
      <c r="G42" s="982">
        <v>0</v>
      </c>
      <c r="H42" s="1900">
        <v>360506.5</v>
      </c>
      <c r="I42" s="1900">
        <v>0</v>
      </c>
      <c r="J42" s="1900">
        <v>0</v>
      </c>
      <c r="K42" s="1900">
        <v>0</v>
      </c>
      <c r="L42" s="1900">
        <v>0</v>
      </c>
      <c r="M42" s="1900">
        <v>0</v>
      </c>
      <c r="N42" s="1900">
        <v>0</v>
      </c>
      <c r="O42" s="1900">
        <v>0</v>
      </c>
      <c r="P42" s="1900">
        <v>0</v>
      </c>
      <c r="Q42" s="1900">
        <v>0</v>
      </c>
      <c r="R42" s="1900">
        <v>0</v>
      </c>
      <c r="S42" s="1901">
        <v>0</v>
      </c>
      <c r="T42" s="1886">
        <f t="shared" si="7"/>
        <v>360506.5</v>
      </c>
      <c r="U42" s="1413"/>
    </row>
    <row r="43" spans="2:21">
      <c r="B43" s="502"/>
      <c r="C43" s="119" t="s">
        <v>920</v>
      </c>
      <c r="D43" s="981">
        <v>0</v>
      </c>
      <c r="E43" s="982">
        <v>0</v>
      </c>
      <c r="F43" s="982">
        <v>0</v>
      </c>
      <c r="G43" s="982">
        <v>0</v>
      </c>
      <c r="H43" s="1900">
        <v>50000.000000000007</v>
      </c>
      <c r="I43" s="1900">
        <v>2.5074696168303486E-11</v>
      </c>
      <c r="J43" s="1900">
        <v>2.5074696168303486E-11</v>
      </c>
      <c r="K43" s="1900">
        <v>16491.445491666836</v>
      </c>
      <c r="L43" s="1900">
        <v>61813.385361187349</v>
      </c>
      <c r="M43" s="1900">
        <v>177039.36340515033</v>
      </c>
      <c r="N43" s="1900">
        <v>76911.913078447687</v>
      </c>
      <c r="O43" s="1900">
        <f ca="1">O34+O23-SUM(O39:O42)-SUM(O44:O47)</f>
        <v>127367.86957762449</v>
      </c>
      <c r="P43" s="1900">
        <v>0</v>
      </c>
      <c r="Q43" s="1900">
        <v>0</v>
      </c>
      <c r="R43" s="1900">
        <v>0</v>
      </c>
      <c r="S43" s="1901">
        <v>0</v>
      </c>
      <c r="T43" s="1886">
        <f t="shared" ca="1" si="7"/>
        <v>509623.97691407677</v>
      </c>
      <c r="U43" s="1413"/>
    </row>
    <row r="44" spans="2:21">
      <c r="B44" s="502"/>
      <c r="C44" s="119" t="s">
        <v>926</v>
      </c>
      <c r="D44" s="981">
        <v>0</v>
      </c>
      <c r="E44" s="982">
        <v>0</v>
      </c>
      <c r="F44" s="982">
        <v>0</v>
      </c>
      <c r="G44" s="982">
        <v>0</v>
      </c>
      <c r="H44" s="1900">
        <v>361207.41991903912</v>
      </c>
      <c r="I44" s="1900">
        <v>0</v>
      </c>
      <c r="J44" s="1900">
        <v>0</v>
      </c>
      <c r="K44" s="1900">
        <v>0</v>
      </c>
      <c r="L44" s="1900">
        <v>0</v>
      </c>
      <c r="M44" s="1900">
        <v>35000</v>
      </c>
      <c r="N44" s="1900">
        <v>0</v>
      </c>
      <c r="O44" s="1900">
        <v>0</v>
      </c>
      <c r="P44" s="1900">
        <v>0</v>
      </c>
      <c r="Q44" s="1900">
        <v>0</v>
      </c>
      <c r="R44" s="1900">
        <v>0</v>
      </c>
      <c r="S44" s="1901">
        <v>0</v>
      </c>
      <c r="T44" s="1886">
        <f t="shared" si="7"/>
        <v>396207.41991903912</v>
      </c>
      <c r="U44" s="1413"/>
    </row>
    <row r="45" spans="2:21">
      <c r="B45" s="502"/>
      <c r="C45" s="119" t="s">
        <v>934</v>
      </c>
      <c r="D45" s="981">
        <v>0</v>
      </c>
      <c r="E45" s="982">
        <v>0</v>
      </c>
      <c r="F45" s="982">
        <v>0</v>
      </c>
      <c r="G45" s="982">
        <v>0</v>
      </c>
      <c r="H45" s="1900">
        <v>0</v>
      </c>
      <c r="I45" s="1900">
        <v>0</v>
      </c>
      <c r="J45" s="1900">
        <v>0</v>
      </c>
      <c r="K45" s="1900">
        <v>0</v>
      </c>
      <c r="L45" s="1900">
        <v>0</v>
      </c>
      <c r="M45" s="1900">
        <v>1104708.5</v>
      </c>
      <c r="N45" s="1900">
        <v>0</v>
      </c>
      <c r="O45" s="1900">
        <v>0</v>
      </c>
      <c r="P45" s="1900">
        <v>0</v>
      </c>
      <c r="Q45" s="1900">
        <v>0</v>
      </c>
      <c r="R45" s="1900">
        <v>0</v>
      </c>
      <c r="S45" s="1901">
        <v>0</v>
      </c>
      <c r="T45" s="1886">
        <f t="shared" si="7"/>
        <v>1104708.5</v>
      </c>
      <c r="U45" s="1413"/>
    </row>
    <row r="46" spans="2:21">
      <c r="B46" s="502"/>
      <c r="C46" s="119" t="s">
        <v>937</v>
      </c>
      <c r="D46" s="981">
        <v>0</v>
      </c>
      <c r="E46" s="982">
        <v>0</v>
      </c>
      <c r="F46" s="982">
        <v>0</v>
      </c>
      <c r="G46" s="982">
        <v>0</v>
      </c>
      <c r="H46" s="1900">
        <v>875783.3229917771</v>
      </c>
      <c r="I46" s="1900">
        <v>0</v>
      </c>
      <c r="J46" s="1900">
        <v>6750</v>
      </c>
      <c r="K46" s="1900">
        <v>0</v>
      </c>
      <c r="L46" s="1900">
        <v>4537.263665753002</v>
      </c>
      <c r="M46" s="1900">
        <v>58500</v>
      </c>
      <c r="N46" s="1900">
        <v>0</v>
      </c>
      <c r="O46" s="1900">
        <v>3250</v>
      </c>
      <c r="P46" s="1900">
        <v>0</v>
      </c>
      <c r="Q46" s="1900">
        <v>0</v>
      </c>
      <c r="R46" s="1900">
        <v>0</v>
      </c>
      <c r="S46" s="1901">
        <v>0</v>
      </c>
      <c r="T46" s="1886">
        <f t="shared" si="7"/>
        <v>948820.58665753016</v>
      </c>
      <c r="U46" s="1413"/>
    </row>
    <row r="47" spans="2:21" ht="15" thickBot="1">
      <c r="B47" s="502"/>
      <c r="C47" s="119" t="s">
        <v>1139</v>
      </c>
      <c r="D47" s="983">
        <v>0</v>
      </c>
      <c r="E47" s="984">
        <v>0</v>
      </c>
      <c r="F47" s="984">
        <v>0</v>
      </c>
      <c r="G47" s="984">
        <v>0</v>
      </c>
      <c r="H47" s="1902">
        <v>0</v>
      </c>
      <c r="I47" s="1902"/>
      <c r="J47" s="1902"/>
      <c r="K47" s="1902"/>
      <c r="L47" s="1902"/>
      <c r="M47" s="1902"/>
      <c r="N47" s="1902"/>
      <c r="O47" s="1902"/>
      <c r="P47" s="1902"/>
      <c r="Q47" s="1902">
        <v>0</v>
      </c>
      <c r="R47" s="1902">
        <v>0</v>
      </c>
      <c r="S47" s="1903">
        <v>0</v>
      </c>
      <c r="T47" s="1889">
        <f t="shared" si="7"/>
        <v>0</v>
      </c>
      <c r="U47" s="1413"/>
    </row>
    <row r="48" spans="2:21" ht="3.75" customHeight="1" thickBot="1">
      <c r="B48" s="502"/>
      <c r="C48" s="115"/>
      <c r="D48" s="108"/>
      <c r="E48" s="108"/>
      <c r="F48" s="108"/>
      <c r="G48" s="108"/>
      <c r="H48" s="1904"/>
      <c r="I48" s="1904"/>
      <c r="J48" s="1904"/>
      <c r="K48" s="1904"/>
      <c r="L48" s="1904"/>
      <c r="M48" s="1893"/>
      <c r="N48" s="1893"/>
      <c r="O48" s="1893"/>
      <c r="P48" s="1893"/>
      <c r="Q48" s="1893"/>
      <c r="R48" s="1893"/>
      <c r="S48" s="1893"/>
      <c r="T48" s="1894"/>
      <c r="U48" s="1413"/>
    </row>
    <row r="49" spans="2:21" ht="15" thickBot="1">
      <c r="B49" s="502"/>
      <c r="C49" s="109" t="s">
        <v>1140</v>
      </c>
      <c r="D49" s="969">
        <f>SUM(D39:D47)</f>
        <v>0</v>
      </c>
      <c r="E49" s="970">
        <f t="shared" ref="E49:J49" si="8">SUM(E39:E47)</f>
        <v>0</v>
      </c>
      <c r="F49" s="970">
        <f t="shared" si="8"/>
        <v>0</v>
      </c>
      <c r="G49" s="970">
        <f t="shared" si="8"/>
        <v>0</v>
      </c>
      <c r="H49" s="1890">
        <f t="shared" si="8"/>
        <v>6133248.4551526289</v>
      </c>
      <c r="I49" s="1890">
        <f t="shared" si="8"/>
        <v>3566666.9524407685</v>
      </c>
      <c r="J49" s="1890">
        <f t="shared" si="8"/>
        <v>5338927.7936074343</v>
      </c>
      <c r="K49" s="1890">
        <f>SUM(K39:K47)</f>
        <v>5593036.1224224353</v>
      </c>
      <c r="L49" s="1890">
        <f>SUM(L39:L47)</f>
        <v>5344959.7654543761</v>
      </c>
      <c r="M49" s="1890">
        <f t="shared" ref="M49:S49" si="9">SUM(M39:M47)</f>
        <v>2696421.6594015951</v>
      </c>
      <c r="N49" s="1890">
        <f t="shared" si="9"/>
        <v>76911.913078447687</v>
      </c>
      <c r="O49" s="1890">
        <f t="shared" ca="1" si="9"/>
        <v>652396.26757584698</v>
      </c>
      <c r="P49" s="1890">
        <f t="shared" si="9"/>
        <v>0</v>
      </c>
      <c r="Q49" s="1890">
        <f t="shared" si="9"/>
        <v>0</v>
      </c>
      <c r="R49" s="1890">
        <f t="shared" si="9"/>
        <v>0</v>
      </c>
      <c r="S49" s="1891">
        <f t="shared" si="9"/>
        <v>0</v>
      </c>
      <c r="T49" s="1905">
        <f ca="1">SUM(T39:T47)</f>
        <v>29402568.929133534</v>
      </c>
      <c r="U49" s="1413"/>
    </row>
    <row r="50" spans="2:21" ht="3.75" customHeight="1" thickBot="1">
      <c r="B50" s="502"/>
      <c r="C50" s="108"/>
      <c r="D50" s="114"/>
      <c r="E50" s="114"/>
      <c r="F50" s="114"/>
      <c r="G50" s="114"/>
      <c r="H50" s="114"/>
      <c r="I50" s="506"/>
      <c r="J50" s="108"/>
      <c r="K50" s="506"/>
      <c r="L50" s="108"/>
      <c r="M50" s="114"/>
      <c r="N50" s="114"/>
      <c r="O50" s="114"/>
      <c r="P50" s="114"/>
      <c r="Q50" s="506"/>
      <c r="R50" s="108"/>
      <c r="S50" s="108"/>
      <c r="T50" s="115"/>
      <c r="U50" s="1413"/>
    </row>
    <row r="51" spans="2:21" ht="15" thickBot="1">
      <c r="B51" s="502"/>
      <c r="C51" s="112" t="s">
        <v>1141</v>
      </c>
      <c r="D51" s="969">
        <f t="shared" ref="D51:T51" si="10">D36-D49</f>
        <v>0</v>
      </c>
      <c r="E51" s="970">
        <f t="shared" si="10"/>
        <v>0</v>
      </c>
      <c r="F51" s="970">
        <f t="shared" si="10"/>
        <v>0</v>
      </c>
      <c r="G51" s="970">
        <f t="shared" si="10"/>
        <v>0</v>
      </c>
      <c r="H51" s="970">
        <f t="shared" si="10"/>
        <v>-2.0489096641540527E-8</v>
      </c>
      <c r="I51" s="970">
        <f t="shared" si="10"/>
        <v>2.9802322387695313E-8</v>
      </c>
      <c r="J51" s="970">
        <f t="shared" si="10"/>
        <v>-2.6915222406387329E-7</v>
      </c>
      <c r="K51" s="970">
        <f t="shared" si="10"/>
        <v>-1.276843249797821E-6</v>
      </c>
      <c r="L51" s="970">
        <f t="shared" si="10"/>
        <v>-8.3353370428085327E-7</v>
      </c>
      <c r="M51" s="970">
        <f t="shared" si="10"/>
        <v>8.8475644588470459E-9</v>
      </c>
      <c r="N51" s="970">
        <f t="shared" si="10"/>
        <v>-9.2573463916778564E-7</v>
      </c>
      <c r="O51" s="970">
        <f t="shared" ca="1" si="10"/>
        <v>0</v>
      </c>
      <c r="P51" s="970">
        <f t="shared" si="10"/>
        <v>0</v>
      </c>
      <c r="Q51" s="970">
        <f t="shared" si="10"/>
        <v>0</v>
      </c>
      <c r="R51" s="970">
        <f t="shared" si="10"/>
        <v>0</v>
      </c>
      <c r="S51" s="971">
        <f t="shared" si="10"/>
        <v>0</v>
      </c>
      <c r="T51" s="972">
        <f t="shared" ca="1" si="10"/>
        <v>-3.2894313335418701E-6</v>
      </c>
      <c r="U51" s="1413"/>
    </row>
    <row r="52" spans="2:21" ht="7.5" customHeight="1">
      <c r="B52" s="502"/>
      <c r="C52" s="108"/>
      <c r="D52" s="108"/>
      <c r="E52" s="114"/>
      <c r="F52" s="114"/>
      <c r="G52" s="114"/>
      <c r="H52" s="114"/>
      <c r="I52" s="114"/>
      <c r="J52" s="114"/>
      <c r="K52" s="114"/>
      <c r="L52" s="965"/>
      <c r="M52" s="965"/>
      <c r="N52" s="965"/>
      <c r="O52" s="965"/>
      <c r="P52" s="965"/>
      <c r="Q52" s="965"/>
      <c r="R52" s="965"/>
      <c r="S52" s="965"/>
      <c r="T52" s="965"/>
      <c r="U52" s="1413"/>
    </row>
    <row r="53" spans="2:21">
      <c r="B53" s="502"/>
      <c r="C53" s="113" t="s">
        <v>1142</v>
      </c>
      <c r="D53" s="965"/>
      <c r="E53" s="114"/>
      <c r="F53" s="114"/>
      <c r="G53" s="114"/>
      <c r="H53" s="114"/>
      <c r="I53" s="114"/>
      <c r="J53" s="114"/>
      <c r="K53" s="114"/>
      <c r="L53" s="965"/>
      <c r="M53" s="965"/>
      <c r="N53" s="965"/>
      <c r="O53" s="965"/>
      <c r="P53" s="965"/>
      <c r="Q53" s="965"/>
      <c r="R53" s="965"/>
      <c r="S53" s="965"/>
      <c r="T53" s="965"/>
      <c r="U53" s="1413"/>
    </row>
    <row r="54" spans="2:21" ht="15" customHeight="1">
      <c r="B54" s="502"/>
      <c r="C54" s="2122"/>
      <c r="D54" s="2123"/>
      <c r="E54" s="2123"/>
      <c r="F54" s="2123"/>
      <c r="G54" s="2123"/>
      <c r="H54" s="2123"/>
      <c r="I54" s="2123"/>
      <c r="J54" s="2123"/>
      <c r="K54" s="2124"/>
      <c r="L54" s="965"/>
      <c r="M54" s="965"/>
      <c r="N54" s="965"/>
      <c r="O54" s="965"/>
      <c r="P54" s="965"/>
      <c r="Q54" s="965"/>
      <c r="R54" s="965"/>
      <c r="S54" s="965"/>
      <c r="T54" s="965"/>
      <c r="U54" s="1413"/>
    </row>
    <row r="55" spans="2:21" ht="15" customHeight="1">
      <c r="B55" s="502"/>
      <c r="C55" s="2125"/>
      <c r="D55" s="2126"/>
      <c r="E55" s="2126"/>
      <c r="F55" s="2126"/>
      <c r="G55" s="2126"/>
      <c r="H55" s="2126"/>
      <c r="I55" s="2126"/>
      <c r="J55" s="2126"/>
      <c r="K55" s="2127"/>
      <c r="L55" s="965"/>
      <c r="M55" s="965"/>
      <c r="N55" s="965"/>
      <c r="O55" s="965"/>
      <c r="P55" s="965"/>
      <c r="Q55" s="965"/>
      <c r="R55" s="965"/>
      <c r="S55" s="965"/>
      <c r="T55" s="965"/>
      <c r="U55" s="1413"/>
    </row>
    <row r="56" spans="2:21" ht="15" customHeight="1">
      <c r="B56" s="502"/>
      <c r="C56" s="2125"/>
      <c r="D56" s="2126"/>
      <c r="E56" s="2126"/>
      <c r="F56" s="2126"/>
      <c r="G56" s="2126"/>
      <c r="H56" s="2126"/>
      <c r="I56" s="2126"/>
      <c r="J56" s="2126"/>
      <c r="K56" s="2127"/>
      <c r="L56" s="965"/>
      <c r="M56" s="965"/>
      <c r="N56" s="965"/>
      <c r="O56" s="965"/>
      <c r="P56" s="965"/>
      <c r="Q56" s="965"/>
      <c r="R56" s="965"/>
      <c r="S56" s="965"/>
      <c r="T56" s="965"/>
      <c r="U56" s="1413"/>
    </row>
    <row r="57" spans="2:21" ht="15" customHeight="1">
      <c r="B57" s="502"/>
      <c r="C57" s="2128"/>
      <c r="D57" s="2129"/>
      <c r="E57" s="2129"/>
      <c r="F57" s="2129"/>
      <c r="G57" s="2129"/>
      <c r="H57" s="2129"/>
      <c r="I57" s="2129"/>
      <c r="J57" s="2129"/>
      <c r="K57" s="2130"/>
      <c r="L57" s="965"/>
      <c r="M57" s="965"/>
      <c r="N57" s="965"/>
      <c r="O57" s="965"/>
      <c r="P57" s="965"/>
      <c r="Q57" s="965"/>
      <c r="R57" s="965"/>
      <c r="S57" s="965"/>
      <c r="T57" s="965"/>
      <c r="U57" s="1413"/>
    </row>
    <row r="58" spans="2:21" ht="9" customHeight="1" thickBot="1">
      <c r="B58" s="507"/>
      <c r="C58" s="967"/>
      <c r="D58" s="966"/>
      <c r="E58" s="966"/>
      <c r="F58" s="966"/>
      <c r="G58" s="966"/>
      <c r="H58" s="966"/>
      <c r="I58" s="966"/>
      <c r="J58" s="966"/>
      <c r="K58" s="966"/>
      <c r="L58" s="1416"/>
      <c r="M58" s="1416"/>
      <c r="N58" s="1416"/>
      <c r="O58" s="1416"/>
      <c r="P58" s="1416"/>
      <c r="Q58" s="1416"/>
      <c r="R58" s="1416"/>
      <c r="S58" s="1416"/>
      <c r="T58" s="1416"/>
      <c r="U58" s="1374"/>
    </row>
    <row r="59" spans="2:21" ht="3.75" customHeight="1"/>
    <row r="60" spans="2:21" ht="3.75" customHeight="1"/>
  </sheetData>
  <sheetProtection algorithmName="SHA-512" hashValue="lV8kWBH3tO8ThF/RfP9tODjKSDQRZaaGEE2BcjhuSy+pGAF9/uRxkyR20lfMYxPStKMbtjBpupKuxRfwL9BnNg==" saltValue="B4k44Za98ceg1CxUU/phiQ==" spinCount="100000" sheet="1" formatCells="0" formatColumns="0" formatRows="0" insertRows="0"/>
  <mergeCells count="5">
    <mergeCell ref="C54:K57"/>
    <mergeCell ref="C14:J14"/>
    <mergeCell ref="C16:K16"/>
    <mergeCell ref="C38:K38"/>
    <mergeCell ref="C12:T12"/>
  </mergeCells>
  <pageMargins left="0.25" right="0.25" top="0.75" bottom="0.75" header="0.3" footer="0.3"/>
  <pageSetup scale="79"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7:P54"/>
  <sheetViews>
    <sheetView showGridLines="0" topLeftCell="A35" zoomScaleNormal="100" zoomScaleSheetLayoutView="100" workbookViewId="0" xr3:uid="{AB5DE215-5931-5800-A1A6-141DC62B4C85}">
      <selection activeCell="S56" sqref="S56"/>
    </sheetView>
  </sheetViews>
  <sheetFormatPr defaultColWidth="9.140625" defaultRowHeight="14.45"/>
  <cols>
    <col min="1" max="2" width="1.7109375" style="354" customWidth="1"/>
    <col min="3" max="3" width="14.28515625" style="354" customWidth="1"/>
    <col min="4" max="4" width="5.28515625" style="354" bestFit="1" customWidth="1"/>
    <col min="5" max="5" width="8.42578125" style="354" bestFit="1" customWidth="1"/>
    <col min="6" max="7" width="10" style="354" bestFit="1" customWidth="1"/>
    <col min="8" max="8" width="11" style="354" customWidth="1"/>
    <col min="9" max="9" width="11.140625" style="354" customWidth="1"/>
    <col min="10" max="10" width="12.28515625" style="354" customWidth="1"/>
    <col min="11" max="12" width="11.140625" style="354" customWidth="1"/>
    <col min="13" max="13" width="11.7109375" style="354" bestFit="1" customWidth="1"/>
    <col min="14" max="15" width="12.5703125" style="354" bestFit="1" customWidth="1"/>
    <col min="16" max="16" width="1.7109375" style="354" customWidth="1"/>
    <col min="17" max="16384" width="9.140625" style="354"/>
  </cols>
  <sheetData>
    <row r="7" spans="2:16" ht="9" customHeight="1" thickBot="1"/>
    <row r="8" spans="2:16" ht="9" customHeight="1">
      <c r="B8" s="158"/>
      <c r="C8" s="563"/>
      <c r="D8" s="563"/>
      <c r="E8" s="564"/>
      <c r="F8" s="564"/>
      <c r="G8" s="564"/>
      <c r="H8" s="563"/>
      <c r="I8" s="563"/>
      <c r="J8" s="563"/>
      <c r="K8" s="563"/>
      <c r="L8" s="563"/>
      <c r="M8" s="563"/>
      <c r="N8" s="563"/>
      <c r="O8" s="563"/>
      <c r="P8" s="565"/>
    </row>
    <row r="9" spans="2:16" ht="18.600000000000001">
      <c r="B9" s="4"/>
      <c r="C9" s="2002" t="s">
        <v>1143</v>
      </c>
      <c r="D9" s="2002"/>
      <c r="E9" s="2002"/>
      <c r="F9" s="2002"/>
      <c r="G9" s="2002"/>
      <c r="H9" s="2002"/>
      <c r="I9" s="2002"/>
      <c r="J9" s="2002"/>
      <c r="K9" s="2002"/>
      <c r="L9" s="2002"/>
      <c r="M9" s="2002"/>
      <c r="N9" s="2002"/>
      <c r="O9" s="2002"/>
      <c r="P9" s="566"/>
    </row>
    <row r="10" spans="2:16">
      <c r="B10" s="4"/>
      <c r="C10" s="1"/>
      <c r="D10" s="1"/>
      <c r="E10" s="121"/>
      <c r="F10" s="121"/>
      <c r="G10" s="121"/>
      <c r="H10" s="1"/>
      <c r="I10" s="1"/>
      <c r="J10" s="1"/>
      <c r="K10" s="1"/>
      <c r="L10" s="1"/>
      <c r="M10" s="1"/>
      <c r="N10" s="1"/>
      <c r="O10" s="1"/>
      <c r="P10" s="566"/>
    </row>
    <row r="11" spans="2:16" ht="15" thickBot="1">
      <c r="B11" s="426"/>
      <c r="C11" s="2003" t="str">
        <f>IF('1'!G5="","Enter Project Name on Form 1",(CONCATENATE("Project Name: ",'1'!G5)))</f>
        <v>Project Name: DESC 22nd Avenue PSH</v>
      </c>
      <c r="D11" s="2003"/>
      <c r="E11" s="2003"/>
      <c r="F11" s="2003"/>
      <c r="G11" s="2003"/>
      <c r="H11" s="2003"/>
      <c r="I11" s="2003"/>
      <c r="J11" s="2003"/>
      <c r="K11" s="2003"/>
      <c r="L11" s="2003"/>
      <c r="M11" s="2003"/>
      <c r="N11" s="2003"/>
      <c r="O11" s="425"/>
      <c r="P11" s="482"/>
    </row>
    <row r="12" spans="2:16" ht="22.5" customHeight="1" thickBot="1">
      <c r="B12" s="4"/>
      <c r="C12" s="1"/>
      <c r="D12" s="1"/>
      <c r="E12" s="121"/>
      <c r="F12" s="121"/>
      <c r="G12" s="121"/>
      <c r="H12" s="1"/>
      <c r="I12" s="1"/>
      <c r="J12" s="1"/>
      <c r="K12" s="1"/>
      <c r="L12" s="1"/>
      <c r="M12" s="1"/>
      <c r="N12" s="1"/>
      <c r="O12" s="1"/>
      <c r="P12" s="566"/>
    </row>
    <row r="13" spans="2:16" ht="46.5" thickBot="1">
      <c r="B13" s="4"/>
      <c r="C13" s="567" t="s">
        <v>1144</v>
      </c>
      <c r="D13" s="568" t="s">
        <v>832</v>
      </c>
      <c r="E13" s="568" t="s">
        <v>1145</v>
      </c>
      <c r="F13" s="568" t="s">
        <v>1146</v>
      </c>
      <c r="G13" s="568" t="s">
        <v>1147</v>
      </c>
      <c r="H13" s="569" t="s">
        <v>1148</v>
      </c>
      <c r="I13" s="568" t="s">
        <v>1149</v>
      </c>
      <c r="J13" s="569" t="s">
        <v>1150</v>
      </c>
      <c r="K13" s="569" t="s">
        <v>1151</v>
      </c>
      <c r="L13" s="568" t="s">
        <v>1152</v>
      </c>
      <c r="M13" s="569" t="s">
        <v>1153</v>
      </c>
      <c r="N13" s="569" t="s">
        <v>1154</v>
      </c>
      <c r="O13" s="570" t="s">
        <v>1155</v>
      </c>
      <c r="P13" s="122"/>
    </row>
    <row r="14" spans="2:16">
      <c r="B14" s="4"/>
      <c r="C14" s="985">
        <v>0.3</v>
      </c>
      <c r="D14" s="986">
        <v>90</v>
      </c>
      <c r="E14" s="986" t="s">
        <v>59</v>
      </c>
      <c r="F14" s="986">
        <v>5</v>
      </c>
      <c r="G14" s="986">
        <v>344</v>
      </c>
      <c r="H14" s="987">
        <v>176</v>
      </c>
      <c r="I14" s="987">
        <v>0</v>
      </c>
      <c r="J14" s="1774">
        <f>H14+I14</f>
        <v>176</v>
      </c>
      <c r="K14" s="987">
        <v>0</v>
      </c>
      <c r="L14" s="1774">
        <f>J14+K14</f>
        <v>176</v>
      </c>
      <c r="M14" s="1774">
        <f>D14*H14*12</f>
        <v>190080</v>
      </c>
      <c r="N14" s="1774">
        <f>D14*K14*12</f>
        <v>0</v>
      </c>
      <c r="O14" s="1775">
        <f>M14+N14</f>
        <v>190080</v>
      </c>
      <c r="P14" s="122"/>
    </row>
    <row r="15" spans="2:16">
      <c r="B15" s="4"/>
      <c r="C15" s="988"/>
      <c r="D15" s="989"/>
      <c r="E15" s="989"/>
      <c r="F15" s="989"/>
      <c r="G15" s="989"/>
      <c r="H15" s="990">
        <v>0</v>
      </c>
      <c r="I15" s="990">
        <v>0</v>
      </c>
      <c r="J15" s="1776">
        <f t="shared" ref="J15:J26" si="0">H15+I15</f>
        <v>0</v>
      </c>
      <c r="K15" s="990">
        <v>0</v>
      </c>
      <c r="L15" s="1776">
        <f t="shared" ref="L15:L26" si="1">J15+K15</f>
        <v>0</v>
      </c>
      <c r="M15" s="1776">
        <f t="shared" ref="M15:M26" si="2">D15*H15*12</f>
        <v>0</v>
      </c>
      <c r="N15" s="1776">
        <f t="shared" ref="N15:N26" si="3">D15*K15*12</f>
        <v>0</v>
      </c>
      <c r="O15" s="1777">
        <f t="shared" ref="O15:O26" si="4">M15+N15</f>
        <v>0</v>
      </c>
      <c r="P15" s="122"/>
    </row>
    <row r="16" spans="2:16">
      <c r="B16" s="4"/>
      <c r="C16" s="988"/>
      <c r="D16" s="989"/>
      <c r="E16" s="989"/>
      <c r="F16" s="989"/>
      <c r="G16" s="989"/>
      <c r="H16" s="990">
        <v>0</v>
      </c>
      <c r="I16" s="990">
        <v>0</v>
      </c>
      <c r="J16" s="1776">
        <f t="shared" si="0"/>
        <v>0</v>
      </c>
      <c r="K16" s="990">
        <v>0</v>
      </c>
      <c r="L16" s="1776">
        <f t="shared" si="1"/>
        <v>0</v>
      </c>
      <c r="M16" s="1776">
        <f t="shared" si="2"/>
        <v>0</v>
      </c>
      <c r="N16" s="1776">
        <f t="shared" si="3"/>
        <v>0</v>
      </c>
      <c r="O16" s="1777">
        <f t="shared" si="4"/>
        <v>0</v>
      </c>
      <c r="P16" s="566"/>
    </row>
    <row r="17" spans="2:16">
      <c r="B17" s="4"/>
      <c r="C17" s="988"/>
      <c r="D17" s="989"/>
      <c r="E17" s="989"/>
      <c r="F17" s="989"/>
      <c r="G17" s="989"/>
      <c r="H17" s="990">
        <v>0</v>
      </c>
      <c r="I17" s="990">
        <v>0</v>
      </c>
      <c r="J17" s="1776">
        <f>H17+I17</f>
        <v>0</v>
      </c>
      <c r="K17" s="990">
        <v>0</v>
      </c>
      <c r="L17" s="1776">
        <f t="shared" si="1"/>
        <v>0</v>
      </c>
      <c r="M17" s="1776">
        <f t="shared" si="2"/>
        <v>0</v>
      </c>
      <c r="N17" s="1776">
        <f t="shared" si="3"/>
        <v>0</v>
      </c>
      <c r="O17" s="1777">
        <f t="shared" si="4"/>
        <v>0</v>
      </c>
      <c r="P17" s="566"/>
    </row>
    <row r="18" spans="2:16">
      <c r="B18" s="4"/>
      <c r="C18" s="988"/>
      <c r="D18" s="989"/>
      <c r="E18" s="989"/>
      <c r="F18" s="989"/>
      <c r="G18" s="989"/>
      <c r="H18" s="990">
        <v>0</v>
      </c>
      <c r="I18" s="990">
        <v>0</v>
      </c>
      <c r="J18" s="1776">
        <f t="shared" si="0"/>
        <v>0</v>
      </c>
      <c r="K18" s="990">
        <v>0</v>
      </c>
      <c r="L18" s="1776">
        <f t="shared" si="1"/>
        <v>0</v>
      </c>
      <c r="M18" s="1776">
        <f t="shared" si="2"/>
        <v>0</v>
      </c>
      <c r="N18" s="1776">
        <f t="shared" si="3"/>
        <v>0</v>
      </c>
      <c r="O18" s="1777">
        <f t="shared" si="4"/>
        <v>0</v>
      </c>
      <c r="P18" s="566"/>
    </row>
    <row r="19" spans="2:16">
      <c r="B19" s="4"/>
      <c r="C19" s="988"/>
      <c r="D19" s="989"/>
      <c r="E19" s="989"/>
      <c r="F19" s="989"/>
      <c r="G19" s="989"/>
      <c r="H19" s="990">
        <v>0</v>
      </c>
      <c r="I19" s="990">
        <v>0</v>
      </c>
      <c r="J19" s="1776">
        <f>H19+I19</f>
        <v>0</v>
      </c>
      <c r="K19" s="990">
        <v>0</v>
      </c>
      <c r="L19" s="1776">
        <f t="shared" si="1"/>
        <v>0</v>
      </c>
      <c r="M19" s="1776">
        <f t="shared" si="2"/>
        <v>0</v>
      </c>
      <c r="N19" s="1776">
        <f t="shared" si="3"/>
        <v>0</v>
      </c>
      <c r="O19" s="1777">
        <f t="shared" si="4"/>
        <v>0</v>
      </c>
      <c r="P19" s="566"/>
    </row>
    <row r="20" spans="2:16">
      <c r="B20" s="4"/>
      <c r="C20" s="988"/>
      <c r="D20" s="989"/>
      <c r="E20" s="989"/>
      <c r="F20" s="989"/>
      <c r="G20" s="989"/>
      <c r="H20" s="990">
        <v>0</v>
      </c>
      <c r="I20" s="990">
        <v>0</v>
      </c>
      <c r="J20" s="1776">
        <f t="shared" si="0"/>
        <v>0</v>
      </c>
      <c r="K20" s="990">
        <v>0</v>
      </c>
      <c r="L20" s="1776">
        <f t="shared" si="1"/>
        <v>0</v>
      </c>
      <c r="M20" s="1776">
        <f t="shared" si="2"/>
        <v>0</v>
      </c>
      <c r="N20" s="1776">
        <f t="shared" si="3"/>
        <v>0</v>
      </c>
      <c r="O20" s="1777">
        <f t="shared" si="4"/>
        <v>0</v>
      </c>
      <c r="P20" s="566"/>
    </row>
    <row r="21" spans="2:16">
      <c r="B21" s="4"/>
      <c r="C21" s="988"/>
      <c r="D21" s="989"/>
      <c r="E21" s="989"/>
      <c r="F21" s="989"/>
      <c r="G21" s="989"/>
      <c r="H21" s="990">
        <v>0</v>
      </c>
      <c r="I21" s="990">
        <v>0</v>
      </c>
      <c r="J21" s="1776">
        <f t="shared" si="0"/>
        <v>0</v>
      </c>
      <c r="K21" s="990">
        <v>0</v>
      </c>
      <c r="L21" s="1776">
        <f t="shared" si="1"/>
        <v>0</v>
      </c>
      <c r="M21" s="1776">
        <f t="shared" si="2"/>
        <v>0</v>
      </c>
      <c r="N21" s="1776">
        <f t="shared" si="3"/>
        <v>0</v>
      </c>
      <c r="O21" s="1777">
        <f t="shared" si="4"/>
        <v>0</v>
      </c>
      <c r="P21" s="566"/>
    </row>
    <row r="22" spans="2:16">
      <c r="B22" s="4"/>
      <c r="C22" s="988"/>
      <c r="D22" s="989"/>
      <c r="E22" s="989"/>
      <c r="F22" s="989"/>
      <c r="G22" s="989"/>
      <c r="H22" s="990">
        <v>0</v>
      </c>
      <c r="I22" s="990">
        <v>0</v>
      </c>
      <c r="J22" s="1776">
        <f t="shared" si="0"/>
        <v>0</v>
      </c>
      <c r="K22" s="990">
        <v>0</v>
      </c>
      <c r="L22" s="1776">
        <f t="shared" si="1"/>
        <v>0</v>
      </c>
      <c r="M22" s="1776">
        <f t="shared" si="2"/>
        <v>0</v>
      </c>
      <c r="N22" s="1776">
        <f t="shared" si="3"/>
        <v>0</v>
      </c>
      <c r="O22" s="1777">
        <f t="shared" si="4"/>
        <v>0</v>
      </c>
      <c r="P22" s="122"/>
    </row>
    <row r="23" spans="2:16">
      <c r="B23" s="4"/>
      <c r="C23" s="988"/>
      <c r="D23" s="989"/>
      <c r="E23" s="989"/>
      <c r="F23" s="989"/>
      <c r="G23" s="989"/>
      <c r="H23" s="990">
        <v>0</v>
      </c>
      <c r="I23" s="990">
        <v>0</v>
      </c>
      <c r="J23" s="1776">
        <f t="shared" si="0"/>
        <v>0</v>
      </c>
      <c r="K23" s="990">
        <v>0</v>
      </c>
      <c r="L23" s="1776">
        <f t="shared" si="1"/>
        <v>0</v>
      </c>
      <c r="M23" s="1776">
        <f t="shared" si="2"/>
        <v>0</v>
      </c>
      <c r="N23" s="1776">
        <f t="shared" si="3"/>
        <v>0</v>
      </c>
      <c r="O23" s="1777">
        <f t="shared" si="4"/>
        <v>0</v>
      </c>
      <c r="P23" s="122"/>
    </row>
    <row r="24" spans="2:16">
      <c r="B24" s="4"/>
      <c r="C24" s="988"/>
      <c r="D24" s="989"/>
      <c r="E24" s="989"/>
      <c r="F24" s="989"/>
      <c r="G24" s="989"/>
      <c r="H24" s="990">
        <v>0</v>
      </c>
      <c r="I24" s="990">
        <v>0</v>
      </c>
      <c r="J24" s="1776">
        <f t="shared" si="0"/>
        <v>0</v>
      </c>
      <c r="K24" s="990">
        <v>0</v>
      </c>
      <c r="L24" s="1776">
        <f t="shared" si="1"/>
        <v>0</v>
      </c>
      <c r="M24" s="1776">
        <f t="shared" si="2"/>
        <v>0</v>
      </c>
      <c r="N24" s="1776">
        <f t="shared" si="3"/>
        <v>0</v>
      </c>
      <c r="O24" s="1777">
        <f t="shared" si="4"/>
        <v>0</v>
      </c>
      <c r="P24" s="122"/>
    </row>
    <row r="25" spans="2:16">
      <c r="B25" s="4"/>
      <c r="C25" s="988"/>
      <c r="D25" s="989"/>
      <c r="E25" s="989"/>
      <c r="F25" s="989"/>
      <c r="G25" s="989"/>
      <c r="H25" s="990">
        <v>0</v>
      </c>
      <c r="I25" s="990">
        <v>0</v>
      </c>
      <c r="J25" s="1776">
        <f t="shared" si="0"/>
        <v>0</v>
      </c>
      <c r="K25" s="990">
        <v>0</v>
      </c>
      <c r="L25" s="1776">
        <f t="shared" si="1"/>
        <v>0</v>
      </c>
      <c r="M25" s="1776">
        <f t="shared" si="2"/>
        <v>0</v>
      </c>
      <c r="N25" s="1776">
        <f t="shared" si="3"/>
        <v>0</v>
      </c>
      <c r="O25" s="1777">
        <f t="shared" si="4"/>
        <v>0</v>
      </c>
      <c r="P25" s="122"/>
    </row>
    <row r="26" spans="2:16">
      <c r="B26" s="4"/>
      <c r="C26" s="991"/>
      <c r="D26" s="992"/>
      <c r="E26" s="992"/>
      <c r="F26" s="992"/>
      <c r="G26" s="992"/>
      <c r="H26" s="993">
        <v>0</v>
      </c>
      <c r="I26" s="993">
        <v>0</v>
      </c>
      <c r="J26" s="1778">
        <f t="shared" si="0"/>
        <v>0</v>
      </c>
      <c r="K26" s="993">
        <v>0</v>
      </c>
      <c r="L26" s="1778">
        <f t="shared" si="1"/>
        <v>0</v>
      </c>
      <c r="M26" s="1778">
        <f t="shared" si="2"/>
        <v>0</v>
      </c>
      <c r="N26" s="1778">
        <f t="shared" si="3"/>
        <v>0</v>
      </c>
      <c r="O26" s="1779">
        <f t="shared" si="4"/>
        <v>0</v>
      </c>
      <c r="P26" s="122"/>
    </row>
    <row r="27" spans="2:16" ht="3.75" customHeight="1">
      <c r="B27" s="4"/>
      <c r="C27" s="1417"/>
      <c r="D27" s="1418"/>
      <c r="E27" s="1418"/>
      <c r="F27" s="1418"/>
      <c r="G27" s="1418"/>
      <c r="H27" s="1419"/>
      <c r="I27" s="1419"/>
      <c r="J27" s="1420"/>
      <c r="K27" s="1419"/>
      <c r="L27" s="1420"/>
      <c r="M27" s="1420"/>
      <c r="N27" s="1420"/>
      <c r="O27" s="1421"/>
      <c r="P27" s="122"/>
    </row>
    <row r="28" spans="2:16">
      <c r="B28" s="4"/>
      <c r="C28" s="1780" t="s">
        <v>69</v>
      </c>
      <c r="D28" s="675"/>
      <c r="E28" s="675"/>
      <c r="F28" s="675"/>
      <c r="G28" s="675"/>
      <c r="H28" s="1781"/>
      <c r="I28" s="1781"/>
      <c r="J28" s="1422"/>
      <c r="K28" s="1781"/>
      <c r="L28" s="1422"/>
      <c r="M28" s="1422"/>
      <c r="N28" s="1422"/>
      <c r="O28" s="1423"/>
      <c r="P28" s="122"/>
    </row>
    <row r="29" spans="2:16" ht="15" thickBot="1">
      <c r="B29" s="4"/>
      <c r="C29" s="1782" t="s">
        <v>70</v>
      </c>
      <c r="D29" s="673"/>
      <c r="E29" s="673"/>
      <c r="F29" s="673"/>
      <c r="G29" s="673"/>
      <c r="H29" s="674">
        <v>0</v>
      </c>
      <c r="I29" s="1362">
        <v>0</v>
      </c>
      <c r="J29" s="1778">
        <f>H29+I29</f>
        <v>0</v>
      </c>
      <c r="K29" s="674">
        <v>0</v>
      </c>
      <c r="L29" s="1778">
        <f>J29+K29</f>
        <v>0</v>
      </c>
      <c r="M29" s="1778">
        <f>D29*H29*12</f>
        <v>0</v>
      </c>
      <c r="N29" s="1778">
        <f>D29*K29*12</f>
        <v>0</v>
      </c>
      <c r="O29" s="1779">
        <f>M29+N29</f>
        <v>0</v>
      </c>
      <c r="P29" s="122"/>
    </row>
    <row r="30" spans="2:16" ht="15.6" thickTop="1" thickBot="1">
      <c r="B30" s="1424"/>
      <c r="C30" s="571" t="s">
        <v>848</v>
      </c>
      <c r="D30" s="572">
        <f>SUM(D14:D29)</f>
        <v>90</v>
      </c>
      <c r="E30" s="573"/>
      <c r="F30" s="574"/>
      <c r="G30" s="574"/>
      <c r="H30" s="574"/>
      <c r="I30" s="574"/>
      <c r="J30" s="574"/>
      <c r="K30" s="574"/>
      <c r="L30" s="574"/>
      <c r="M30" s="2492">
        <f>SUM(M14:M26)+(SUMIF(C28:C29,"Market Rate",M28:M29))</f>
        <v>190080</v>
      </c>
      <c r="N30" s="947">
        <f>SUM(N14:N26)+(SUMIF(C28:C29,"Market Rate",N28:N29))</f>
        <v>0</v>
      </c>
      <c r="O30" s="575">
        <f>SUM(O14:O26)+(SUMIF(C28:C29,"Market Rate",O28:O29))</f>
        <v>190080</v>
      </c>
      <c r="P30" s="1414"/>
    </row>
    <row r="31" spans="2:16">
      <c r="B31" s="4"/>
      <c r="C31" s="576"/>
      <c r="D31" s="577"/>
      <c r="E31" s="578"/>
      <c r="F31" s="578"/>
      <c r="G31" s="578" t="str">
        <f>IF((IF((SUM(G14:G26))&lt;&gt;0,(SUMPRODUCT(D14:D26,G14:G26)),0))&lt;&gt;'2B'!E34,"CAUTION - LIH Square footage does not match Form 2B","")</f>
        <v/>
      </c>
      <c r="H31" s="1848"/>
      <c r="I31" s="578"/>
      <c r="J31" s="578"/>
      <c r="K31" s="578"/>
      <c r="M31" s="579"/>
      <c r="N31" s="580"/>
      <c r="O31" s="579"/>
      <c r="P31" s="122"/>
    </row>
    <row r="32" spans="2:16">
      <c r="B32" s="4"/>
      <c r="C32" s="358" t="s">
        <v>1156</v>
      </c>
      <c r="D32" s="1177"/>
      <c r="E32" s="1177"/>
      <c r="F32" s="1177"/>
      <c r="G32" s="1177"/>
      <c r="H32" s="1177"/>
      <c r="I32" s="1177"/>
      <c r="J32" s="1177"/>
      <c r="K32" s="1177"/>
      <c r="L32" s="1177"/>
      <c r="M32" s="1177"/>
      <c r="N32" s="1971"/>
      <c r="O32" s="1177"/>
      <c r="P32" s="1414"/>
    </row>
    <row r="33" spans="2:16" ht="7.5" customHeight="1" thickBot="1">
      <c r="B33" s="4"/>
      <c r="C33" s="2493"/>
      <c r="D33" s="112"/>
      <c r="E33" s="108"/>
      <c r="F33" s="108"/>
      <c r="G33" s="108"/>
      <c r="H33" s="108"/>
      <c r="I33" s="108"/>
      <c r="J33" s="108"/>
      <c r="K33" s="108"/>
      <c r="L33" s="108"/>
      <c r="M33" s="108"/>
      <c r="N33" s="108"/>
      <c r="O33" s="1251"/>
      <c r="P33" s="1783"/>
    </row>
    <row r="34" spans="2:16" ht="29.45" thickBot="1">
      <c r="B34" s="4"/>
      <c r="C34" s="2494" t="s">
        <v>1157</v>
      </c>
      <c r="D34" s="1784" t="s">
        <v>35</v>
      </c>
      <c r="E34" s="2495" t="s">
        <v>60</v>
      </c>
      <c r="F34" s="2495" t="s">
        <v>59</v>
      </c>
      <c r="G34" s="2495" t="s">
        <v>61</v>
      </c>
      <c r="H34" s="2495" t="s">
        <v>62</v>
      </c>
      <c r="I34" s="2496" t="s">
        <v>63</v>
      </c>
      <c r="J34" s="2496" t="s">
        <v>64</v>
      </c>
      <c r="K34" s="1785" t="s">
        <v>65</v>
      </c>
      <c r="L34" s="1786" t="s">
        <v>1158</v>
      </c>
      <c r="M34" s="1251"/>
      <c r="N34" s="1251"/>
      <c r="O34" s="1251"/>
      <c r="P34" s="1787"/>
    </row>
    <row r="35" spans="2:16">
      <c r="B35" s="4"/>
      <c r="C35" s="1788">
        <v>0.25</v>
      </c>
      <c r="D35" s="1789">
        <f t="shared" ref="D35:K44" si="5">SUMIFS($D$13:$D$30,$C$13:$C$30,$C35,$E$13:$E$30,D$34)</f>
        <v>0</v>
      </c>
      <c r="E35" s="1790">
        <f t="shared" si="5"/>
        <v>0</v>
      </c>
      <c r="F35" s="1790">
        <f t="shared" si="5"/>
        <v>0</v>
      </c>
      <c r="G35" s="1790">
        <f t="shared" si="5"/>
        <v>0</v>
      </c>
      <c r="H35" s="1790">
        <f t="shared" si="5"/>
        <v>0</v>
      </c>
      <c r="I35" s="1790">
        <f t="shared" si="5"/>
        <v>0</v>
      </c>
      <c r="J35" s="1790">
        <f t="shared" si="5"/>
        <v>0</v>
      </c>
      <c r="K35" s="1791">
        <f t="shared" si="5"/>
        <v>0</v>
      </c>
      <c r="L35" s="1792">
        <f t="shared" ref="L35:L44" si="6">SUM(D35:K35)</f>
        <v>0</v>
      </c>
      <c r="M35" s="1251"/>
      <c r="N35" s="1251"/>
      <c r="O35" s="1251"/>
      <c r="P35" s="1787"/>
    </row>
    <row r="36" spans="2:16">
      <c r="B36" s="4"/>
      <c r="C36" s="1793">
        <v>0.3</v>
      </c>
      <c r="D36" s="1794">
        <f t="shared" si="5"/>
        <v>0</v>
      </c>
      <c r="E36" s="1795">
        <f t="shared" si="5"/>
        <v>0</v>
      </c>
      <c r="F36" s="1795">
        <f t="shared" si="5"/>
        <v>90</v>
      </c>
      <c r="G36" s="1795">
        <f t="shared" si="5"/>
        <v>0</v>
      </c>
      <c r="H36" s="1795">
        <f t="shared" si="5"/>
        <v>0</v>
      </c>
      <c r="I36" s="1795">
        <f t="shared" si="5"/>
        <v>0</v>
      </c>
      <c r="J36" s="1795">
        <f t="shared" si="5"/>
        <v>0</v>
      </c>
      <c r="K36" s="1796">
        <f t="shared" si="5"/>
        <v>0</v>
      </c>
      <c r="L36" s="1797">
        <f t="shared" si="6"/>
        <v>90</v>
      </c>
      <c r="M36" s="1251"/>
      <c r="N36" s="1251"/>
      <c r="O36" s="1251"/>
      <c r="P36" s="1787"/>
    </row>
    <row r="37" spans="2:16">
      <c r="B37" s="4"/>
      <c r="C37" s="1793">
        <v>0.35</v>
      </c>
      <c r="D37" s="1794">
        <f t="shared" si="5"/>
        <v>0</v>
      </c>
      <c r="E37" s="1795">
        <f t="shared" si="5"/>
        <v>0</v>
      </c>
      <c r="F37" s="1795">
        <f t="shared" si="5"/>
        <v>0</v>
      </c>
      <c r="G37" s="1795">
        <f t="shared" si="5"/>
        <v>0</v>
      </c>
      <c r="H37" s="1795">
        <f t="shared" si="5"/>
        <v>0</v>
      </c>
      <c r="I37" s="1795">
        <f t="shared" si="5"/>
        <v>0</v>
      </c>
      <c r="J37" s="1795">
        <f t="shared" si="5"/>
        <v>0</v>
      </c>
      <c r="K37" s="1796">
        <f t="shared" si="5"/>
        <v>0</v>
      </c>
      <c r="L37" s="1797">
        <f t="shared" si="6"/>
        <v>0</v>
      </c>
      <c r="M37" s="1251"/>
      <c r="N37" s="1251"/>
      <c r="O37" s="1251"/>
      <c r="P37" s="1787"/>
    </row>
    <row r="38" spans="2:16">
      <c r="B38" s="4"/>
      <c r="C38" s="1793">
        <v>0.4</v>
      </c>
      <c r="D38" s="1794">
        <f t="shared" si="5"/>
        <v>0</v>
      </c>
      <c r="E38" s="1795">
        <f t="shared" si="5"/>
        <v>0</v>
      </c>
      <c r="F38" s="1795">
        <f t="shared" si="5"/>
        <v>0</v>
      </c>
      <c r="G38" s="1795">
        <f t="shared" si="5"/>
        <v>0</v>
      </c>
      <c r="H38" s="1795">
        <f t="shared" si="5"/>
        <v>0</v>
      </c>
      <c r="I38" s="1795">
        <f t="shared" si="5"/>
        <v>0</v>
      </c>
      <c r="J38" s="1795">
        <f t="shared" si="5"/>
        <v>0</v>
      </c>
      <c r="K38" s="1796">
        <f t="shared" si="5"/>
        <v>0</v>
      </c>
      <c r="L38" s="1797">
        <f t="shared" si="6"/>
        <v>0</v>
      </c>
      <c r="M38" s="1251"/>
      <c r="N38" s="1251"/>
      <c r="O38" s="1251"/>
      <c r="P38" s="1787"/>
    </row>
    <row r="39" spans="2:16">
      <c r="B39" s="4"/>
      <c r="C39" s="1793">
        <v>0.45</v>
      </c>
      <c r="D39" s="1794">
        <f t="shared" si="5"/>
        <v>0</v>
      </c>
      <c r="E39" s="1795">
        <f t="shared" si="5"/>
        <v>0</v>
      </c>
      <c r="F39" s="1795">
        <f t="shared" si="5"/>
        <v>0</v>
      </c>
      <c r="G39" s="1795">
        <f t="shared" si="5"/>
        <v>0</v>
      </c>
      <c r="H39" s="1795">
        <f t="shared" si="5"/>
        <v>0</v>
      </c>
      <c r="I39" s="1795">
        <f t="shared" si="5"/>
        <v>0</v>
      </c>
      <c r="J39" s="1795">
        <f t="shared" si="5"/>
        <v>0</v>
      </c>
      <c r="K39" s="1796">
        <f t="shared" si="5"/>
        <v>0</v>
      </c>
      <c r="L39" s="1797">
        <f t="shared" si="6"/>
        <v>0</v>
      </c>
      <c r="M39" s="1251"/>
      <c r="N39" s="1251"/>
      <c r="O39" s="1251"/>
      <c r="P39" s="1787"/>
    </row>
    <row r="40" spans="2:16">
      <c r="B40" s="4"/>
      <c r="C40" s="1793">
        <v>0.5</v>
      </c>
      <c r="D40" s="1794">
        <f t="shared" si="5"/>
        <v>0</v>
      </c>
      <c r="E40" s="1795">
        <f t="shared" si="5"/>
        <v>0</v>
      </c>
      <c r="F40" s="1795">
        <f t="shared" si="5"/>
        <v>0</v>
      </c>
      <c r="G40" s="1795">
        <f t="shared" si="5"/>
        <v>0</v>
      </c>
      <c r="H40" s="1795">
        <f t="shared" si="5"/>
        <v>0</v>
      </c>
      <c r="I40" s="1795">
        <f t="shared" si="5"/>
        <v>0</v>
      </c>
      <c r="J40" s="1795">
        <f t="shared" si="5"/>
        <v>0</v>
      </c>
      <c r="K40" s="1796">
        <f t="shared" si="5"/>
        <v>0</v>
      </c>
      <c r="L40" s="1797">
        <f t="shared" si="6"/>
        <v>0</v>
      </c>
      <c r="M40" s="1251"/>
      <c r="N40" s="1251"/>
      <c r="O40" s="1251"/>
      <c r="P40" s="1787"/>
    </row>
    <row r="41" spans="2:16">
      <c r="B41" s="4"/>
      <c r="C41" s="1793">
        <v>0.55000000000000004</v>
      </c>
      <c r="D41" s="1794">
        <f t="shared" si="5"/>
        <v>0</v>
      </c>
      <c r="E41" s="1795">
        <f t="shared" si="5"/>
        <v>0</v>
      </c>
      <c r="F41" s="1795">
        <f t="shared" si="5"/>
        <v>0</v>
      </c>
      <c r="G41" s="1795">
        <f t="shared" si="5"/>
        <v>0</v>
      </c>
      <c r="H41" s="1795">
        <f t="shared" si="5"/>
        <v>0</v>
      </c>
      <c r="I41" s="1795">
        <f t="shared" si="5"/>
        <v>0</v>
      </c>
      <c r="J41" s="1795">
        <f t="shared" si="5"/>
        <v>0</v>
      </c>
      <c r="K41" s="1796">
        <f t="shared" si="5"/>
        <v>0</v>
      </c>
      <c r="L41" s="1797">
        <f t="shared" si="6"/>
        <v>0</v>
      </c>
      <c r="M41" s="1251"/>
      <c r="N41" s="1251"/>
      <c r="O41" s="1251"/>
      <c r="P41" s="1787"/>
    </row>
    <row r="42" spans="2:16">
      <c r="B42" s="4"/>
      <c r="C42" s="1793">
        <v>0.6</v>
      </c>
      <c r="D42" s="1794">
        <f t="shared" si="5"/>
        <v>0</v>
      </c>
      <c r="E42" s="1795">
        <f t="shared" si="5"/>
        <v>0</v>
      </c>
      <c r="F42" s="1795">
        <f t="shared" si="5"/>
        <v>0</v>
      </c>
      <c r="G42" s="1795">
        <f t="shared" si="5"/>
        <v>0</v>
      </c>
      <c r="H42" s="1795">
        <f t="shared" si="5"/>
        <v>0</v>
      </c>
      <c r="I42" s="1795">
        <f t="shared" si="5"/>
        <v>0</v>
      </c>
      <c r="J42" s="1795">
        <f t="shared" si="5"/>
        <v>0</v>
      </c>
      <c r="K42" s="1796">
        <f t="shared" si="5"/>
        <v>0</v>
      </c>
      <c r="L42" s="1797">
        <f t="shared" si="6"/>
        <v>0</v>
      </c>
      <c r="M42" s="1251"/>
      <c r="N42" s="1251"/>
      <c r="O42" s="1251"/>
      <c r="P42" s="1787"/>
    </row>
    <row r="43" spans="2:16">
      <c r="B43" s="4"/>
      <c r="C43" s="1793">
        <v>0.65</v>
      </c>
      <c r="D43" s="1794">
        <f t="shared" si="5"/>
        <v>0</v>
      </c>
      <c r="E43" s="1795">
        <f t="shared" si="5"/>
        <v>0</v>
      </c>
      <c r="F43" s="1795">
        <f t="shared" si="5"/>
        <v>0</v>
      </c>
      <c r="G43" s="1795">
        <f t="shared" si="5"/>
        <v>0</v>
      </c>
      <c r="H43" s="1795">
        <f t="shared" si="5"/>
        <v>0</v>
      </c>
      <c r="I43" s="1795">
        <f t="shared" si="5"/>
        <v>0</v>
      </c>
      <c r="J43" s="1795">
        <f t="shared" si="5"/>
        <v>0</v>
      </c>
      <c r="K43" s="1796">
        <f t="shared" si="5"/>
        <v>0</v>
      </c>
      <c r="L43" s="1797">
        <f t="shared" si="6"/>
        <v>0</v>
      </c>
      <c r="M43" s="1251"/>
      <c r="N43" s="1251"/>
      <c r="O43" s="1251"/>
      <c r="P43" s="1787"/>
    </row>
    <row r="44" spans="2:16">
      <c r="B44" s="4"/>
      <c r="C44" s="1798">
        <v>0.8</v>
      </c>
      <c r="D44" s="1799">
        <f t="shared" si="5"/>
        <v>0</v>
      </c>
      <c r="E44" s="1800">
        <f t="shared" si="5"/>
        <v>0</v>
      </c>
      <c r="F44" s="1800">
        <f t="shared" si="5"/>
        <v>0</v>
      </c>
      <c r="G44" s="1800">
        <f t="shared" si="5"/>
        <v>0</v>
      </c>
      <c r="H44" s="1800">
        <f t="shared" si="5"/>
        <v>0</v>
      </c>
      <c r="I44" s="1800">
        <f t="shared" si="5"/>
        <v>0</v>
      </c>
      <c r="J44" s="1800">
        <f t="shared" si="5"/>
        <v>0</v>
      </c>
      <c r="K44" s="1801">
        <f t="shared" si="5"/>
        <v>0</v>
      </c>
      <c r="L44" s="1802">
        <f t="shared" si="6"/>
        <v>0</v>
      </c>
      <c r="M44" s="1251"/>
      <c r="N44" s="1251"/>
      <c r="O44" s="1251"/>
      <c r="P44" s="1787"/>
    </row>
    <row r="45" spans="2:16" ht="26.1">
      <c r="B45" s="4"/>
      <c r="C45" s="1803" t="s">
        <v>1159</v>
      </c>
      <c r="D45" s="1804">
        <f>SUM(D35:D44)</f>
        <v>0</v>
      </c>
      <c r="E45" s="1804">
        <f>SUM(E35:E44)</f>
        <v>0</v>
      </c>
      <c r="F45" s="1804">
        <f t="shared" ref="F45:L45" si="7">SUM(F35:F44)</f>
        <v>90</v>
      </c>
      <c r="G45" s="1804">
        <f t="shared" si="7"/>
        <v>0</v>
      </c>
      <c r="H45" s="1804">
        <f t="shared" si="7"/>
        <v>0</v>
      </c>
      <c r="I45" s="1804">
        <f t="shared" si="7"/>
        <v>0</v>
      </c>
      <c r="J45" s="1805">
        <f t="shared" si="7"/>
        <v>0</v>
      </c>
      <c r="K45" s="1805">
        <f t="shared" si="7"/>
        <v>0</v>
      </c>
      <c r="L45" s="1806">
        <f t="shared" si="7"/>
        <v>90</v>
      </c>
      <c r="M45" s="1251"/>
      <c r="N45" s="1251"/>
      <c r="O45" s="1251"/>
      <c r="P45" s="1787"/>
    </row>
    <row r="46" spans="2:16">
      <c r="B46" s="4"/>
      <c r="C46" s="1807" t="s">
        <v>70</v>
      </c>
      <c r="D46" s="1808">
        <f t="shared" ref="D46:K47" si="8">SUMIFS($D$13:$D$30,$C$13:$C$30,$C46,$E$13:$E$30,D$34)</f>
        <v>0</v>
      </c>
      <c r="E46" s="1809">
        <f t="shared" si="8"/>
        <v>0</v>
      </c>
      <c r="F46" s="1809">
        <f t="shared" si="8"/>
        <v>0</v>
      </c>
      <c r="G46" s="1809">
        <f t="shared" si="8"/>
        <v>0</v>
      </c>
      <c r="H46" s="1809">
        <f t="shared" si="8"/>
        <v>0</v>
      </c>
      <c r="I46" s="1809">
        <f t="shared" si="8"/>
        <v>0</v>
      </c>
      <c r="J46" s="1809">
        <f t="shared" si="8"/>
        <v>0</v>
      </c>
      <c r="K46" s="1810">
        <f t="shared" si="8"/>
        <v>0</v>
      </c>
      <c r="L46" s="1811">
        <f>SUM(D46:K46)</f>
        <v>0</v>
      </c>
      <c r="M46" s="1251"/>
      <c r="N46" s="1251"/>
      <c r="O46" s="1251"/>
      <c r="P46" s="1787"/>
    </row>
    <row r="47" spans="2:16" ht="23.45" thickBot="1">
      <c r="B47" s="4"/>
      <c r="C47" s="1812" t="s">
        <v>69</v>
      </c>
      <c r="D47" s="1813">
        <f t="shared" si="8"/>
        <v>0</v>
      </c>
      <c r="E47" s="1814">
        <f t="shared" si="8"/>
        <v>0</v>
      </c>
      <c r="F47" s="1814">
        <f t="shared" si="8"/>
        <v>0</v>
      </c>
      <c r="G47" s="1814">
        <f t="shared" si="8"/>
        <v>0</v>
      </c>
      <c r="H47" s="1814">
        <f t="shared" si="8"/>
        <v>0</v>
      </c>
      <c r="I47" s="1814">
        <f t="shared" si="8"/>
        <v>0</v>
      </c>
      <c r="J47" s="1814">
        <f t="shared" si="8"/>
        <v>0</v>
      </c>
      <c r="K47" s="1815">
        <f t="shared" si="8"/>
        <v>0</v>
      </c>
      <c r="L47" s="1816">
        <f>SUM(D47:K47)</f>
        <v>0</v>
      </c>
      <c r="M47" s="1251"/>
      <c r="N47" s="1251"/>
      <c r="O47" s="1251"/>
      <c r="P47" s="1787"/>
    </row>
    <row r="48" spans="2:16" ht="15.6" thickTop="1" thickBot="1">
      <c r="B48" s="4"/>
      <c r="C48" s="2497" t="s">
        <v>694</v>
      </c>
      <c r="D48" s="1817">
        <f t="shared" ref="D48:K48" si="9">D45+D46+D47</f>
        <v>0</v>
      </c>
      <c r="E48" s="1818">
        <f t="shared" si="9"/>
        <v>0</v>
      </c>
      <c r="F48" s="2498">
        <f t="shared" si="9"/>
        <v>90</v>
      </c>
      <c r="G48" s="2498">
        <f t="shared" si="9"/>
        <v>0</v>
      </c>
      <c r="H48" s="2498">
        <f t="shared" si="9"/>
        <v>0</v>
      </c>
      <c r="I48" s="2498">
        <f t="shared" si="9"/>
        <v>0</v>
      </c>
      <c r="J48" s="2499">
        <f t="shared" si="9"/>
        <v>0</v>
      </c>
      <c r="K48" s="2499">
        <f t="shared" si="9"/>
        <v>0</v>
      </c>
      <c r="L48" s="1819">
        <f>SUM(L45:L47)</f>
        <v>90</v>
      </c>
      <c r="M48" s="1251"/>
      <c r="N48" s="1251"/>
      <c r="O48" s="1251"/>
      <c r="P48" s="1787"/>
    </row>
    <row r="49" spans="2:16" ht="7.5" customHeight="1" thickTop="1" thickBot="1">
      <c r="B49" s="4"/>
      <c r="C49" s="2500"/>
      <c r="D49" s="2501"/>
      <c r="E49" s="2501"/>
      <c r="F49" s="2501"/>
      <c r="G49" s="2501"/>
      <c r="H49" s="2501"/>
      <c r="I49" s="2501"/>
      <c r="J49" s="2502"/>
      <c r="K49" s="2502"/>
      <c r="L49" s="1820"/>
      <c r="M49" s="1251"/>
      <c r="N49" s="1251"/>
      <c r="O49" s="1251"/>
      <c r="P49" s="1787"/>
    </row>
    <row r="50" spans="2:16" ht="26.1">
      <c r="B50" s="4"/>
      <c r="C50" s="2503" t="s">
        <v>1160</v>
      </c>
      <c r="D50" s="1821">
        <f>SUMIF('8A'!$E13:$E30,D34,'8A'!$F13:$F30)</f>
        <v>0</v>
      </c>
      <c r="E50" s="1822">
        <f>SUMIF('8A'!$E13:$E30,E34,'8A'!$F13:$F30)</f>
        <v>0</v>
      </c>
      <c r="F50" s="1822">
        <f>SUMIF('8A'!$E13:$E30,F34,'8A'!$F13:$F30)</f>
        <v>5</v>
      </c>
      <c r="G50" s="1822">
        <f>SUMIF('8A'!$E13:$E30,G34,'8A'!$F13:$F30)</f>
        <v>0</v>
      </c>
      <c r="H50" s="1822">
        <f>SUMIF('8A'!$E13:$E30,H34,'8A'!$F13:$F30)</f>
        <v>0</v>
      </c>
      <c r="I50" s="1822">
        <f>SUMIF('8A'!$E13:$E30,I34,'8A'!$F13:$F30)</f>
        <v>0</v>
      </c>
      <c r="J50" s="1822">
        <f>SUMIF('8A'!$E13:$E30,J34,'8A'!$F13:$F30)</f>
        <v>0</v>
      </c>
      <c r="K50" s="1823">
        <f>SUMIF('8A'!$E13:$E30,K34,'8A'!$F13:$F30)</f>
        <v>0</v>
      </c>
      <c r="L50" s="1824">
        <f>SUM(D50:K50)</f>
        <v>5</v>
      </c>
      <c r="M50" s="1251"/>
      <c r="N50" s="1251"/>
      <c r="O50" s="1251"/>
      <c r="P50" s="1787"/>
    </row>
    <row r="51" spans="2:16" ht="15" thickBot="1">
      <c r="B51" s="4"/>
      <c r="C51" s="1825" t="s">
        <v>1161</v>
      </c>
      <c r="D51" s="1826">
        <f>IFERROR(AVERAGEIF('8A'!$E13:$E30,D34,'8A'!$G13:$G30),0)</f>
        <v>0</v>
      </c>
      <c r="E51" s="1827">
        <f>IFERROR(AVERAGEIF('8A'!$E13:$E30,E34,'8A'!$G13:$G30),0)</f>
        <v>0</v>
      </c>
      <c r="F51" s="1827">
        <f>IFERROR(AVERAGEIF('8A'!$E13:$E30,F34,'8A'!$G13:$G30),0)</f>
        <v>344</v>
      </c>
      <c r="G51" s="1827">
        <f>IFERROR(AVERAGEIF('8A'!$E13:$E30,G34,'8A'!$G13:$G30),0)</f>
        <v>0</v>
      </c>
      <c r="H51" s="1827">
        <f>IFERROR(AVERAGEIF('8A'!$E13:$E30,H34,'8A'!$G13:$G30),0)</f>
        <v>0</v>
      </c>
      <c r="I51" s="1827">
        <f>IFERROR(AVERAGEIF('8A'!$E13:$E30,I34,'8A'!$G13:$G30),0)</f>
        <v>0</v>
      </c>
      <c r="J51" s="1827">
        <f>IFERROR(AVERAGEIF('8A'!$E13:$E30,J34,'8A'!$G13:$G30),0)</f>
        <v>0</v>
      </c>
      <c r="K51" s="1828">
        <f>IFERROR(AVERAGEIF('8A'!$E13:$E30,K34,'8A'!$G13:$G30),0)</f>
        <v>0</v>
      </c>
      <c r="L51" s="1829"/>
      <c r="M51" s="1251"/>
      <c r="N51" s="1251"/>
      <c r="O51" s="1251"/>
      <c r="P51" s="1787"/>
    </row>
    <row r="52" spans="2:16" ht="7.5" customHeight="1" thickBot="1">
      <c r="B52" s="4"/>
      <c r="C52" s="108"/>
      <c r="D52" s="108"/>
      <c r="E52" s="108"/>
      <c r="F52" s="108"/>
      <c r="G52" s="108"/>
      <c r="H52" s="108"/>
      <c r="I52" s="108"/>
      <c r="J52" s="108"/>
      <c r="K52" s="108"/>
      <c r="L52" s="108"/>
      <c r="M52" s="108"/>
      <c r="N52" s="108"/>
      <c r="O52" s="121"/>
      <c r="P52" s="1787"/>
    </row>
    <row r="53" spans="2:16">
      <c r="B53" s="1582"/>
      <c r="C53" s="1582"/>
      <c r="D53" s="1582"/>
      <c r="E53" s="1582"/>
      <c r="F53" s="1582"/>
      <c r="G53" s="1582"/>
      <c r="H53" s="1582"/>
      <c r="I53" s="1582"/>
      <c r="J53" s="1582"/>
      <c r="K53" s="1582"/>
      <c r="L53" s="1582"/>
      <c r="M53" s="1582"/>
      <c r="N53" s="1582"/>
      <c r="O53" s="1582"/>
      <c r="P53" s="1582"/>
    </row>
    <row r="54" spans="2:16">
      <c r="B54" s="1563"/>
      <c r="C54" s="1563"/>
      <c r="D54" s="1563"/>
      <c r="E54" s="1563"/>
      <c r="F54" s="1563"/>
      <c r="G54" s="1563"/>
      <c r="H54" s="1563"/>
      <c r="I54" s="1563"/>
      <c r="J54" s="1563"/>
      <c r="K54" s="1563"/>
      <c r="L54" s="1563"/>
      <c r="M54" s="1563"/>
      <c r="N54" s="1563"/>
      <c r="O54" s="1563"/>
      <c r="P54" s="1563"/>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count="3">
    <dataValidation type="list" allowBlank="1" showInputMessage="1" showErrorMessage="1" sqref="C28:C29" xr:uid="{00000000-0002-0000-1600-000000000000}">
      <formula1>Non_LIH_Units</formula1>
    </dataValidation>
    <dataValidation type="list" allowBlank="1" showInputMessage="1" showErrorMessage="1" sqref="E28:E29 E14:E26" xr:uid="{00000000-0002-0000-1600-000001000000}">
      <formula1>Units_and_Beds</formula1>
    </dataValidation>
    <dataValidation type="list" allowBlank="1" showInputMessage="1" showErrorMessage="1" sqref="C14:C26" xr:uid="{00000000-0002-0000-1600-000002000000}">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9:H40"/>
  <sheetViews>
    <sheetView showGridLines="0" topLeftCell="A26" zoomScaleNormal="100" workbookViewId="0" xr3:uid="{96AA9D09-0E06-52DD-9EE1-B522AFA11096}">
      <selection activeCell="F39" sqref="F39"/>
    </sheetView>
  </sheetViews>
  <sheetFormatPr defaultColWidth="9.140625" defaultRowHeight="14.45"/>
  <cols>
    <col min="1" max="2" width="1.7109375" style="336" customWidth="1"/>
    <col min="3" max="3" width="52" style="336" customWidth="1"/>
    <col min="4" max="6" width="17.140625" style="336" customWidth="1"/>
    <col min="7" max="7" width="20" style="336" customWidth="1"/>
    <col min="8" max="8" width="1.7109375" style="336" customWidth="1"/>
    <col min="9" max="16384" width="9.140625" style="336"/>
  </cols>
  <sheetData>
    <row r="9" spans="2:8" ht="9" customHeight="1" thickBot="1"/>
    <row r="10" spans="2:8" ht="9" customHeight="1">
      <c r="B10" s="508"/>
      <c r="C10" s="509"/>
      <c r="D10" s="509"/>
      <c r="E10" s="509"/>
      <c r="F10" s="509"/>
      <c r="G10" s="509"/>
      <c r="H10" s="510"/>
    </row>
    <row r="11" spans="2:8" ht="18.600000000000001">
      <c r="B11" s="511"/>
      <c r="C11" s="2057" t="s">
        <v>1162</v>
      </c>
      <c r="D11" s="2057"/>
      <c r="E11" s="2057"/>
      <c r="F11" s="2057"/>
      <c r="G11" s="2057"/>
      <c r="H11" s="481"/>
    </row>
    <row r="12" spans="2:8" ht="18.600000000000001">
      <c r="B12" s="511"/>
      <c r="C12" s="1945"/>
      <c r="D12" s="1945"/>
      <c r="E12" s="1945"/>
      <c r="F12" s="1945"/>
      <c r="G12" s="1945"/>
      <c r="H12" s="481"/>
    </row>
    <row r="13" spans="2:8" ht="15" thickBot="1">
      <c r="B13" s="160"/>
      <c r="C13" s="2154" t="str">
        <f>IF('1'!G5="","Enter Project Name on Form 1",(CONCATENATE("Project Name: ",'1'!G5)))</f>
        <v>Project Name: DESC 22nd Avenue PSH</v>
      </c>
      <c r="D13" s="2154"/>
      <c r="E13" s="2154"/>
      <c r="F13" s="2154"/>
      <c r="G13" s="362"/>
      <c r="H13" s="159"/>
    </row>
    <row r="14" spans="2:8">
      <c r="B14" s="160"/>
      <c r="C14" s="322"/>
      <c r="D14" s="362"/>
      <c r="E14" s="362"/>
      <c r="F14" s="362"/>
      <c r="G14" s="362"/>
      <c r="H14" s="159"/>
    </row>
    <row r="15" spans="2:8" ht="15" thickBot="1">
      <c r="B15" s="160"/>
      <c r="C15" s="512" t="s">
        <v>1163</v>
      </c>
      <c r="D15" s="362"/>
      <c r="E15" s="362"/>
      <c r="F15" s="362"/>
      <c r="G15" s="362"/>
      <c r="H15" s="159"/>
    </row>
    <row r="16" spans="2:8" ht="27" thickBot="1">
      <c r="B16" s="160"/>
      <c r="C16" s="1425" t="s">
        <v>1164</v>
      </c>
      <c r="D16" s="995" t="s">
        <v>1165</v>
      </c>
      <c r="E16" s="995" t="s">
        <v>1166</v>
      </c>
      <c r="F16" s="995" t="s">
        <v>1167</v>
      </c>
      <c r="G16" s="1426" t="s">
        <v>1168</v>
      </c>
      <c r="H16" s="159"/>
    </row>
    <row r="17" spans="2:8">
      <c r="B17" s="160"/>
      <c r="C17" s="994"/>
      <c r="D17" s="1098"/>
      <c r="E17" s="1098">
        <v>0</v>
      </c>
      <c r="F17" s="1427">
        <f>SUM(D17:E17)</f>
        <v>0</v>
      </c>
      <c r="G17" s="1553"/>
      <c r="H17" s="159"/>
    </row>
    <row r="18" spans="2:8">
      <c r="B18" s="160"/>
      <c r="C18" s="935"/>
      <c r="D18" s="1099"/>
      <c r="E18" s="1099">
        <v>0</v>
      </c>
      <c r="F18" s="1428">
        <f>SUM(D18:E18)</f>
        <v>0</v>
      </c>
      <c r="G18" s="1554"/>
      <c r="H18" s="159"/>
    </row>
    <row r="19" spans="2:8">
      <c r="B19" s="160"/>
      <c r="C19" s="935"/>
      <c r="D19" s="1099">
        <v>0</v>
      </c>
      <c r="E19" s="1099">
        <v>0</v>
      </c>
      <c r="F19" s="1428">
        <f>SUM(D19:E19)</f>
        <v>0</v>
      </c>
      <c r="G19" s="1554"/>
      <c r="H19" s="159"/>
    </row>
    <row r="20" spans="2:8" ht="15" thickBot="1">
      <c r="B20" s="160"/>
      <c r="C20" s="935"/>
      <c r="D20" s="1099">
        <v>0</v>
      </c>
      <c r="E20" s="1099">
        <v>0</v>
      </c>
      <c r="F20" s="1428">
        <f>SUM(D20:E20)</f>
        <v>0</v>
      </c>
      <c r="G20" s="1554"/>
      <c r="H20" s="159"/>
    </row>
    <row r="21" spans="2:8" ht="15.6" thickTop="1" thickBot="1">
      <c r="B21" s="160"/>
      <c r="C21" s="937" t="s">
        <v>1169</v>
      </c>
      <c r="D21" s="1104">
        <f>SUM(D17:D20)</f>
        <v>0</v>
      </c>
      <c r="E21" s="1104">
        <f>SUM(E17:E20)</f>
        <v>0</v>
      </c>
      <c r="F21" s="1105">
        <f>SUM(D21:E21)</f>
        <v>0</v>
      </c>
      <c r="G21" s="938"/>
      <c r="H21" s="159"/>
    </row>
    <row r="22" spans="2:8">
      <c r="B22" s="160"/>
      <c r="C22" s="322"/>
      <c r="D22" s="362"/>
      <c r="E22" s="362"/>
      <c r="F22" s="161" t="s">
        <v>732</v>
      </c>
      <c r="G22" s="362"/>
      <c r="H22" s="159"/>
    </row>
    <row r="23" spans="2:8" ht="15" thickBot="1">
      <c r="B23" s="160"/>
      <c r="C23" s="512" t="s">
        <v>1170</v>
      </c>
      <c r="D23" s="362"/>
      <c r="E23" s="362"/>
      <c r="F23" s="362"/>
      <c r="G23" s="362"/>
      <c r="H23" s="159"/>
    </row>
    <row r="24" spans="2:8" ht="15" customHeight="1">
      <c r="B24" s="160"/>
      <c r="C24" s="2134" t="s">
        <v>1164</v>
      </c>
      <c r="D24" s="2132" t="s">
        <v>1165</v>
      </c>
      <c r="E24" s="2132" t="s">
        <v>1166</v>
      </c>
      <c r="F24" s="2132" t="s">
        <v>1167</v>
      </c>
      <c r="G24" s="2132" t="s">
        <v>1168</v>
      </c>
      <c r="H24" s="159"/>
    </row>
    <row r="25" spans="2:8" ht="15" thickBot="1">
      <c r="B25" s="160"/>
      <c r="C25" s="2135"/>
      <c r="D25" s="2136"/>
      <c r="E25" s="2136"/>
      <c r="F25" s="2136"/>
      <c r="G25" s="2136"/>
      <c r="H25" s="159"/>
    </row>
    <row r="26" spans="2:8">
      <c r="B26" s="160"/>
      <c r="C26" s="996" t="s">
        <v>1171</v>
      </c>
      <c r="D26" s="1100">
        <f>'8C'!L27</f>
        <v>331671.32659999997</v>
      </c>
      <c r="E26" s="1100">
        <v>0</v>
      </c>
      <c r="F26" s="1429">
        <f>SUM(D26+E26)</f>
        <v>331671.32659999997</v>
      </c>
      <c r="G26" s="1555"/>
      <c r="H26" s="159"/>
    </row>
    <row r="27" spans="2:8">
      <c r="B27" s="160"/>
      <c r="C27" s="997"/>
      <c r="D27" s="1099"/>
      <c r="E27" s="1099">
        <v>0</v>
      </c>
      <c r="F27" s="1428">
        <f>SUM(D27+E27)</f>
        <v>0</v>
      </c>
      <c r="G27" s="1556"/>
      <c r="H27" s="159"/>
    </row>
    <row r="28" spans="2:8">
      <c r="B28" s="160"/>
      <c r="C28" s="998"/>
      <c r="D28" s="1101">
        <v>0</v>
      </c>
      <c r="E28" s="1101">
        <v>0</v>
      </c>
      <c r="F28" s="1428">
        <f>SUM(D28+E28)</f>
        <v>0</v>
      </c>
      <c r="G28" s="1557"/>
      <c r="H28" s="159"/>
    </row>
    <row r="29" spans="2:8" ht="15" thickBot="1">
      <c r="B29" s="160"/>
      <c r="C29" s="998"/>
      <c r="D29" s="1101">
        <v>0</v>
      </c>
      <c r="E29" s="1101">
        <v>0</v>
      </c>
      <c r="F29" s="1430">
        <f>SUM(D29+E29)</f>
        <v>0</v>
      </c>
      <c r="G29" s="1557"/>
      <c r="H29" s="159"/>
    </row>
    <row r="30" spans="2:8" ht="15.6" thickTop="1" thickBot="1">
      <c r="B30" s="160"/>
      <c r="C30" s="623" t="s">
        <v>1172</v>
      </c>
      <c r="D30" s="1102">
        <f>SUM(D26:D29)</f>
        <v>331671.32659999997</v>
      </c>
      <c r="E30" s="1102">
        <f>SUM(E26:E29)</f>
        <v>0</v>
      </c>
      <c r="F30" s="1103">
        <f>SUM(D30:E30)</f>
        <v>331671.32659999997</v>
      </c>
      <c r="G30" s="1431"/>
      <c r="H30" s="159"/>
    </row>
    <row r="31" spans="2:8">
      <c r="B31" s="160"/>
      <c r="C31" s="322"/>
      <c r="D31" s="362"/>
      <c r="E31" s="362"/>
      <c r="F31" s="161"/>
      <c r="G31" s="362"/>
      <c r="H31" s="159"/>
    </row>
    <row r="32" spans="2:8" ht="15" thickBot="1">
      <c r="B32" s="160"/>
      <c r="C32" s="512" t="s">
        <v>1173</v>
      </c>
      <c r="D32" s="362"/>
      <c r="E32" s="362"/>
      <c r="F32" s="362"/>
      <c r="G32" s="362"/>
      <c r="H32" s="159"/>
    </row>
    <row r="33" spans="2:8" ht="15" customHeight="1">
      <c r="B33" s="160"/>
      <c r="C33" s="2134" t="s">
        <v>1164</v>
      </c>
      <c r="D33" s="2132" t="s">
        <v>1165</v>
      </c>
      <c r="E33" s="2132" t="s">
        <v>1166</v>
      </c>
      <c r="F33" s="2132" t="s">
        <v>1167</v>
      </c>
      <c r="G33" s="2132" t="s">
        <v>1168</v>
      </c>
      <c r="H33" s="159"/>
    </row>
    <row r="34" spans="2:8" ht="15" thickBot="1">
      <c r="B34" s="160"/>
      <c r="C34" s="2135"/>
      <c r="D34" s="2136"/>
      <c r="E34" s="2133"/>
      <c r="F34" s="2136"/>
      <c r="G34" s="2133"/>
      <c r="H34" s="159"/>
    </row>
    <row r="35" spans="2:8">
      <c r="B35" s="160"/>
      <c r="C35" s="996" t="s">
        <v>1174</v>
      </c>
      <c r="D35" s="1100">
        <f>'8C'!O41+'8C'!O54</f>
        <v>956339.14</v>
      </c>
      <c r="E35" s="1098">
        <v>0</v>
      </c>
      <c r="F35" s="1427">
        <f>SUM(D35:E35)</f>
        <v>956339.14</v>
      </c>
      <c r="G35" s="1553"/>
      <c r="H35" s="159"/>
    </row>
    <row r="36" spans="2:8">
      <c r="B36" s="160"/>
      <c r="C36" s="997"/>
      <c r="D36" s="1099"/>
      <c r="E36" s="1100">
        <v>0</v>
      </c>
      <c r="F36" s="1428">
        <f>SUM(D36:E36)</f>
        <v>0</v>
      </c>
      <c r="G36" s="1558"/>
      <c r="H36" s="159"/>
    </row>
    <row r="37" spans="2:8">
      <c r="B37" s="160"/>
      <c r="C37" s="935"/>
      <c r="D37" s="1099">
        <v>0</v>
      </c>
      <c r="E37" s="1099">
        <v>0</v>
      </c>
      <c r="F37" s="1428">
        <f>SUM(D37:E37)</f>
        <v>0</v>
      </c>
      <c r="G37" s="1554"/>
      <c r="H37" s="159"/>
    </row>
    <row r="38" spans="2:8" ht="15" thickBot="1">
      <c r="B38" s="1432"/>
      <c r="C38" s="936"/>
      <c r="D38" s="1101">
        <v>0</v>
      </c>
      <c r="E38" s="1101">
        <v>0</v>
      </c>
      <c r="F38" s="1430">
        <f>SUM(D38:E38)</f>
        <v>0</v>
      </c>
      <c r="G38" s="1559"/>
      <c r="H38" s="1433"/>
    </row>
    <row r="39" spans="2:8" ht="15.6" thickTop="1" thickBot="1">
      <c r="B39" s="1432"/>
      <c r="C39" s="623" t="s">
        <v>1175</v>
      </c>
      <c r="D39" s="1102">
        <f>SUM(D35:D38)</f>
        <v>956339.14</v>
      </c>
      <c r="E39" s="1102">
        <f>SUM(E35:E38)</f>
        <v>0</v>
      </c>
      <c r="F39" s="1103">
        <f>SUM(D39:E39)</f>
        <v>956339.14</v>
      </c>
      <c r="G39" s="1434"/>
      <c r="H39" s="1433"/>
    </row>
    <row r="40" spans="2:8" ht="15" thickBot="1">
      <c r="B40" s="162"/>
      <c r="C40" s="163"/>
      <c r="D40" s="164"/>
      <c r="E40" s="164"/>
      <c r="F40" s="164"/>
      <c r="G40" s="164"/>
      <c r="H40" s="165"/>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8:S62"/>
  <sheetViews>
    <sheetView showGridLines="0" topLeftCell="A44" zoomScaleNormal="100" workbookViewId="0" xr3:uid="{2C1BA805-FFAE-53D9-94C0-3D95D45B0C9C}">
      <selection activeCell="N28" sqref="N28:R29"/>
    </sheetView>
  </sheetViews>
  <sheetFormatPr defaultColWidth="9.140625" defaultRowHeight="14.45"/>
  <cols>
    <col min="1" max="2" width="1.7109375" style="336" customWidth="1"/>
    <col min="3" max="3" width="20" style="336" customWidth="1"/>
    <col min="4" max="4" width="11.5703125" style="336" bestFit="1" customWidth="1"/>
    <col min="5" max="5" width="14.28515625" style="336" customWidth="1"/>
    <col min="6" max="8" width="9.140625" style="336"/>
    <col min="9" max="9" width="7.28515625" style="336" bestFit="1" customWidth="1"/>
    <col min="10" max="10" width="6.85546875" style="336" bestFit="1" customWidth="1"/>
    <col min="11" max="11" width="10.7109375" style="336" bestFit="1" customWidth="1"/>
    <col min="12" max="12" width="10" style="336" customWidth="1"/>
    <col min="13" max="13" width="2.85546875" style="336" customWidth="1"/>
    <col min="14" max="14" width="11.42578125" style="336" customWidth="1"/>
    <col min="15" max="18" width="10" style="336" bestFit="1" customWidth="1"/>
    <col min="19" max="19" width="1.7109375" style="336" customWidth="1"/>
    <col min="20" max="16384" width="9.140625" style="336"/>
  </cols>
  <sheetData>
    <row r="8" spans="2:19" ht="9" customHeight="1" thickBot="1"/>
    <row r="9" spans="2:19" ht="9" customHeight="1">
      <c r="B9" s="166"/>
      <c r="C9" s="167"/>
      <c r="D9" s="167"/>
      <c r="E9" s="168"/>
      <c r="F9" s="168"/>
      <c r="G9" s="169"/>
      <c r="H9" s="170"/>
      <c r="I9" s="170"/>
      <c r="J9" s="170"/>
      <c r="K9" s="171"/>
      <c r="L9" s="169"/>
      <c r="M9" s="169"/>
      <c r="N9" s="172"/>
      <c r="O9" s="168"/>
      <c r="P9" s="169"/>
      <c r="Q9" s="169"/>
      <c r="R9" s="169"/>
      <c r="S9" s="173"/>
    </row>
    <row r="10" spans="2:19" ht="18.600000000000001">
      <c r="B10" s="174"/>
      <c r="C10" s="2057" t="s">
        <v>1176</v>
      </c>
      <c r="D10" s="2057"/>
      <c r="E10" s="2057"/>
      <c r="F10" s="2057"/>
      <c r="G10" s="2057"/>
      <c r="H10" s="2057"/>
      <c r="I10" s="2057"/>
      <c r="J10" s="2057"/>
      <c r="K10" s="2057"/>
      <c r="L10" s="2057"/>
      <c r="M10" s="2057"/>
      <c r="N10" s="2057"/>
      <c r="O10" s="2057"/>
      <c r="P10" s="2057"/>
      <c r="Q10" s="2057"/>
      <c r="R10" s="2057"/>
      <c r="S10" s="159"/>
    </row>
    <row r="11" spans="2:19">
      <c r="B11" s="174"/>
      <c r="C11" s="362"/>
      <c r="D11" s="362"/>
      <c r="E11" s="175"/>
      <c r="F11" s="175"/>
      <c r="G11" s="176"/>
      <c r="H11" s="177"/>
      <c r="I11" s="177"/>
      <c r="J11" s="177"/>
      <c r="K11" s="178"/>
      <c r="L11" s="176"/>
      <c r="M11" s="176"/>
      <c r="N11" s="179"/>
      <c r="O11" s="175"/>
      <c r="P11" s="176"/>
      <c r="Q11" s="176"/>
      <c r="R11" s="486"/>
      <c r="S11" s="159"/>
    </row>
    <row r="12" spans="2:19" ht="15" thickBot="1">
      <c r="B12" s="174"/>
      <c r="C12" s="2154" t="str">
        <f>IF('1'!G5="","Enter Project Name on Form 1",(CONCATENATE("Project Name: ",'1'!G5)))</f>
        <v>Project Name: DESC 22nd Avenue PSH</v>
      </c>
      <c r="D12" s="2154"/>
      <c r="E12" s="2154"/>
      <c r="F12" s="2154"/>
      <c r="G12" s="2154"/>
      <c r="H12" s="2154"/>
      <c r="I12" s="2154"/>
      <c r="J12" s="2154"/>
      <c r="K12" s="2154"/>
      <c r="L12" s="2154"/>
      <c r="M12" s="1973"/>
      <c r="N12" s="1973"/>
      <c r="O12" s="362"/>
      <c r="P12" s="362"/>
      <c r="Q12" s="362"/>
      <c r="R12" s="486"/>
      <c r="S12" s="194"/>
    </row>
    <row r="13" spans="2:19" ht="15" thickBot="1">
      <c r="B13" s="174"/>
      <c r="C13" s="321"/>
      <c r="D13" s="321"/>
      <c r="E13" s="321"/>
      <c r="F13" s="321"/>
      <c r="G13" s="321"/>
      <c r="H13" s="321"/>
      <c r="I13" s="321"/>
      <c r="J13" s="321"/>
      <c r="K13" s="321"/>
      <c r="L13" s="321"/>
      <c r="M13" s="180"/>
      <c r="N13" s="321"/>
      <c r="O13" s="321"/>
      <c r="P13" s="321"/>
      <c r="Q13" s="321"/>
      <c r="R13" s="321"/>
      <c r="S13" s="159"/>
    </row>
    <row r="14" spans="2:19" ht="15.95" thickBot="1">
      <c r="B14" s="174"/>
      <c r="C14" s="2155" t="s">
        <v>1177</v>
      </c>
      <c r="D14" s="2156"/>
      <c r="E14" s="2156"/>
      <c r="F14" s="2156"/>
      <c r="G14" s="2156"/>
      <c r="H14" s="2156"/>
      <c r="I14" s="2156"/>
      <c r="J14" s="2156"/>
      <c r="K14" s="2156"/>
      <c r="L14" s="2161"/>
      <c r="M14" s="180"/>
      <c r="N14" s="2157" t="s">
        <v>1178</v>
      </c>
      <c r="O14" s="2158"/>
      <c r="P14" s="2158"/>
      <c r="Q14" s="2158"/>
      <c r="R14" s="2504"/>
      <c r="S14" s="159"/>
    </row>
    <row r="15" spans="2:19" ht="78.95" thickBot="1">
      <c r="B15" s="181"/>
      <c r="C15" s="1959" t="s">
        <v>1179</v>
      </c>
      <c r="D15" s="513" t="s">
        <v>1180</v>
      </c>
      <c r="E15" s="513" t="s">
        <v>1181</v>
      </c>
      <c r="F15" s="514" t="s">
        <v>1182</v>
      </c>
      <c r="G15" s="515" t="s">
        <v>1183</v>
      </c>
      <c r="H15" s="514" t="s">
        <v>1184</v>
      </c>
      <c r="I15" s="1579" t="s">
        <v>1185</v>
      </c>
      <c r="J15" s="514" t="s">
        <v>1186</v>
      </c>
      <c r="K15" s="515" t="s">
        <v>1187</v>
      </c>
      <c r="L15" s="516" t="s">
        <v>1188</v>
      </c>
      <c r="M15" s="180"/>
      <c r="N15" s="597" t="s">
        <v>1189</v>
      </c>
      <c r="O15" s="939" t="str">
        <f>IF('8B'!C26="","Enter Source Name on Form 8B",'8B'!C26)</f>
        <v>Operating Personnel Subsidy (ORS, O&amp;M)</v>
      </c>
      <c r="P15" s="940" t="str">
        <f>IF('8B'!C27="","Enter Source Name on Form 8B",'8B'!C27)</f>
        <v>Enter Source Name on Form 8B</v>
      </c>
      <c r="Q15" s="940" t="str">
        <f>IF('8B'!C28="","Enter Source Name on Form 8B",'8B'!C28)</f>
        <v>Enter Source Name on Form 8B</v>
      </c>
      <c r="R15" s="941" t="str">
        <f>IF('8B'!C29="","Enter Source Name on Form 8B",'8B'!C29)</f>
        <v>Enter Source Name on Form 8B</v>
      </c>
      <c r="S15" s="159"/>
    </row>
    <row r="16" spans="2:19">
      <c r="B16" s="181"/>
      <c r="C16" s="1960" t="s">
        <v>1190</v>
      </c>
      <c r="D16" s="901" t="s">
        <v>124</v>
      </c>
      <c r="E16" s="689" t="s">
        <v>642</v>
      </c>
      <c r="F16" s="1107">
        <v>67860</v>
      </c>
      <c r="G16" s="690">
        <v>1</v>
      </c>
      <c r="H16" s="1435">
        <f>F16*G16</f>
        <v>67860</v>
      </c>
      <c r="I16" s="690" t="s">
        <v>128</v>
      </c>
      <c r="J16" s="690">
        <v>0.27</v>
      </c>
      <c r="K16" s="1906">
        <f>J16*H16</f>
        <v>18322.2</v>
      </c>
      <c r="L16" s="1436">
        <f>H16+K16</f>
        <v>86182.2</v>
      </c>
      <c r="M16" s="182"/>
      <c r="N16" s="1111">
        <v>0</v>
      </c>
      <c r="O16" s="1112">
        <f>L16</f>
        <v>86182.2</v>
      </c>
      <c r="P16" s="1112"/>
      <c r="Q16" s="1544">
        <v>0</v>
      </c>
      <c r="R16" s="1113">
        <v>0</v>
      </c>
      <c r="S16" s="183"/>
    </row>
    <row r="17" spans="2:19" hidden="1">
      <c r="B17" s="174"/>
      <c r="C17" s="1961"/>
      <c r="D17" s="902" t="s">
        <v>124</v>
      </c>
      <c r="E17" s="856" t="s">
        <v>642</v>
      </c>
      <c r="F17" s="1107">
        <v>78039</v>
      </c>
      <c r="G17" s="692"/>
      <c r="H17" s="1437">
        <f t="shared" ref="H17:H24" si="0">F17*G17</f>
        <v>0</v>
      </c>
      <c r="I17" s="692" t="s">
        <v>127</v>
      </c>
      <c r="J17" s="1838">
        <v>0.35</v>
      </c>
      <c r="K17" s="1907"/>
      <c r="L17" s="1438">
        <f>H17+K17</f>
        <v>0</v>
      </c>
      <c r="M17" s="182"/>
      <c r="N17" s="1114">
        <v>0</v>
      </c>
      <c r="O17" s="1108">
        <f t="shared" ref="O17" si="1">0.82*L17</f>
        <v>0</v>
      </c>
      <c r="P17" s="1108"/>
      <c r="Q17" s="1545">
        <v>0</v>
      </c>
      <c r="R17" s="1115">
        <v>0</v>
      </c>
      <c r="S17" s="184"/>
    </row>
    <row r="18" spans="2:19">
      <c r="B18" s="174"/>
      <c r="C18" s="1961" t="s">
        <v>1191</v>
      </c>
      <c r="D18" s="902" t="s">
        <v>124</v>
      </c>
      <c r="E18" s="856" t="s">
        <v>642</v>
      </c>
      <c r="F18" s="1107">
        <v>78039</v>
      </c>
      <c r="G18" s="692">
        <v>0.22</v>
      </c>
      <c r="H18" s="1437">
        <f t="shared" si="0"/>
        <v>17168.580000000002</v>
      </c>
      <c r="I18" s="692" t="s">
        <v>128</v>
      </c>
      <c r="J18" s="692">
        <v>0.27</v>
      </c>
      <c r="K18" s="1908">
        <f t="shared" ref="K18:K22" si="2">J18*H18</f>
        <v>4635.5166000000008</v>
      </c>
      <c r="L18" s="1438">
        <f t="shared" ref="L18:L24" si="3">H18+K18</f>
        <v>21804.096600000004</v>
      </c>
      <c r="M18" s="182"/>
      <c r="N18" s="1114">
        <v>0</v>
      </c>
      <c r="O18" s="1108">
        <f t="shared" ref="O18:O22" si="4">L18</f>
        <v>21804.096600000004</v>
      </c>
      <c r="P18" s="1108"/>
      <c r="Q18" s="1545">
        <v>0</v>
      </c>
      <c r="R18" s="1115">
        <v>0</v>
      </c>
      <c r="S18" s="159"/>
    </row>
    <row r="19" spans="2:19">
      <c r="B19" s="174"/>
      <c r="C19" s="1961" t="s">
        <v>1192</v>
      </c>
      <c r="D19" s="902" t="s">
        <v>124</v>
      </c>
      <c r="E19" s="856" t="s">
        <v>642</v>
      </c>
      <c r="F19" s="1107">
        <v>60050</v>
      </c>
      <c r="G19" s="692">
        <v>0.1</v>
      </c>
      <c r="H19" s="1437">
        <f t="shared" si="0"/>
        <v>6005</v>
      </c>
      <c r="I19" s="692" t="s">
        <v>128</v>
      </c>
      <c r="J19" s="692">
        <v>0.27</v>
      </c>
      <c r="K19" s="1839">
        <f t="shared" si="2"/>
        <v>1621.3500000000001</v>
      </c>
      <c r="L19" s="1438">
        <f t="shared" si="3"/>
        <v>7626.35</v>
      </c>
      <c r="M19" s="182"/>
      <c r="N19" s="1114">
        <v>0</v>
      </c>
      <c r="O19" s="1108">
        <f t="shared" si="4"/>
        <v>7626.35</v>
      </c>
      <c r="P19" s="1108"/>
      <c r="Q19" s="1545">
        <v>0</v>
      </c>
      <c r="R19" s="1115">
        <v>0</v>
      </c>
      <c r="S19" s="159"/>
    </row>
    <row r="20" spans="2:19">
      <c r="B20" s="174"/>
      <c r="C20" s="1961" t="s">
        <v>1193</v>
      </c>
      <c r="D20" s="902" t="s">
        <v>124</v>
      </c>
      <c r="E20" s="856" t="s">
        <v>642</v>
      </c>
      <c r="F20" s="1108">
        <v>39349</v>
      </c>
      <c r="G20" s="692">
        <v>1</v>
      </c>
      <c r="H20" s="1437">
        <f t="shared" si="0"/>
        <v>39349</v>
      </c>
      <c r="I20" s="692" t="s">
        <v>128</v>
      </c>
      <c r="J20" s="692">
        <v>0.37</v>
      </c>
      <c r="K20" s="1839">
        <f t="shared" si="2"/>
        <v>14559.13</v>
      </c>
      <c r="L20" s="1438">
        <f>H20+K20</f>
        <v>53908.13</v>
      </c>
      <c r="M20" s="182"/>
      <c r="N20" s="1114">
        <v>0</v>
      </c>
      <c r="O20" s="1108">
        <f t="shared" si="4"/>
        <v>53908.13</v>
      </c>
      <c r="P20" s="1108"/>
      <c r="Q20" s="1545">
        <v>0</v>
      </c>
      <c r="R20" s="1115">
        <v>0</v>
      </c>
      <c r="S20" s="159"/>
    </row>
    <row r="21" spans="2:19">
      <c r="B21" s="174"/>
      <c r="C21" s="1961" t="s">
        <v>1194</v>
      </c>
      <c r="D21" s="902" t="s">
        <v>124</v>
      </c>
      <c r="E21" s="856" t="s">
        <v>642</v>
      </c>
      <c r="F21" s="1108">
        <v>38084</v>
      </c>
      <c r="G21" s="692">
        <v>2.5</v>
      </c>
      <c r="H21" s="1437">
        <f t="shared" si="0"/>
        <v>95210</v>
      </c>
      <c r="I21" s="692" t="s">
        <v>128</v>
      </c>
      <c r="J21" s="692">
        <v>0.37</v>
      </c>
      <c r="K21" s="1839">
        <f t="shared" si="2"/>
        <v>35227.699999999997</v>
      </c>
      <c r="L21" s="1438">
        <f t="shared" si="3"/>
        <v>130437.7</v>
      </c>
      <c r="M21" s="182"/>
      <c r="N21" s="1114">
        <v>0</v>
      </c>
      <c r="O21" s="1108">
        <f t="shared" si="4"/>
        <v>130437.7</v>
      </c>
      <c r="P21" s="1108"/>
      <c r="Q21" s="1545">
        <v>0</v>
      </c>
      <c r="R21" s="1115">
        <v>0</v>
      </c>
      <c r="S21" s="159"/>
    </row>
    <row r="22" spans="2:19">
      <c r="B22" s="174"/>
      <c r="C22" s="1961" t="s">
        <v>1195</v>
      </c>
      <c r="D22" s="902" t="s">
        <v>125</v>
      </c>
      <c r="E22" s="856" t="s">
        <v>642</v>
      </c>
      <c r="F22" s="1108">
        <v>23491</v>
      </c>
      <c r="G22" s="692">
        <v>1</v>
      </c>
      <c r="H22" s="1437">
        <f t="shared" si="0"/>
        <v>23491</v>
      </c>
      <c r="I22" s="692" t="s">
        <v>128</v>
      </c>
      <c r="J22" s="692">
        <v>0.35</v>
      </c>
      <c r="K22" s="1839">
        <f t="shared" si="2"/>
        <v>8221.85</v>
      </c>
      <c r="L22" s="1438">
        <f t="shared" si="3"/>
        <v>31712.85</v>
      </c>
      <c r="M22" s="182"/>
      <c r="N22" s="1114">
        <v>0</v>
      </c>
      <c r="O22" s="1108">
        <f t="shared" si="4"/>
        <v>31712.85</v>
      </c>
      <c r="P22" s="1108"/>
      <c r="Q22" s="1545">
        <v>0</v>
      </c>
      <c r="R22" s="1115">
        <v>0</v>
      </c>
      <c r="S22" s="159"/>
    </row>
    <row r="23" spans="2:19">
      <c r="B23" s="174"/>
      <c r="C23" s="1914"/>
      <c r="D23" s="902" t="s">
        <v>125</v>
      </c>
      <c r="E23" s="856"/>
      <c r="F23" s="1108"/>
      <c r="G23" s="692">
        <v>1</v>
      </c>
      <c r="H23" s="1437">
        <f t="shared" si="0"/>
        <v>0</v>
      </c>
      <c r="I23" s="692"/>
      <c r="J23" s="692">
        <v>0</v>
      </c>
      <c r="K23" s="1839">
        <f t="shared" ref="K23:K24" si="5">H23*J23</f>
        <v>0</v>
      </c>
      <c r="L23" s="1438">
        <f t="shared" si="3"/>
        <v>0</v>
      </c>
      <c r="M23" s="182"/>
      <c r="N23" s="1114">
        <v>0</v>
      </c>
      <c r="O23" s="1108">
        <f>L23</f>
        <v>0</v>
      </c>
      <c r="P23" s="1108"/>
      <c r="Q23" s="1545">
        <v>0</v>
      </c>
      <c r="R23" s="1115">
        <v>0</v>
      </c>
      <c r="S23" s="159"/>
    </row>
    <row r="24" spans="2:19">
      <c r="B24" s="174"/>
      <c r="C24" s="906"/>
      <c r="D24" s="908"/>
      <c r="E24" s="889"/>
      <c r="F24" s="1109">
        <v>0</v>
      </c>
      <c r="G24" s="907">
        <v>0</v>
      </c>
      <c r="H24" s="1439">
        <f t="shared" si="0"/>
        <v>0</v>
      </c>
      <c r="I24" s="1333"/>
      <c r="J24" s="1333">
        <v>0</v>
      </c>
      <c r="K24" s="1841">
        <f t="shared" si="5"/>
        <v>0</v>
      </c>
      <c r="L24" s="1441">
        <f t="shared" si="3"/>
        <v>0</v>
      </c>
      <c r="M24" s="182"/>
      <c r="N24" s="1116">
        <v>0</v>
      </c>
      <c r="O24" s="1109">
        <v>0</v>
      </c>
      <c r="P24" s="1109"/>
      <c r="Q24" s="1546">
        <v>0</v>
      </c>
      <c r="R24" s="1117">
        <v>0</v>
      </c>
      <c r="S24" s="159"/>
    </row>
    <row r="25" spans="2:19">
      <c r="B25" s="174"/>
      <c r="C25" s="1442"/>
      <c r="D25" s="1443"/>
      <c r="E25" s="1444"/>
      <c r="F25" s="1445"/>
      <c r="G25" s="1446"/>
      <c r="H25" s="1330"/>
      <c r="I25" s="2159" t="s">
        <v>1196</v>
      </c>
      <c r="J25" s="2159"/>
      <c r="K25" s="2160"/>
      <c r="L25" s="1447">
        <f>SUMIF(D16:D24,"On Site",L16:L24)</f>
        <v>299958.47659999999</v>
      </c>
      <c r="M25" s="182"/>
      <c r="N25" s="1448"/>
      <c r="O25" s="1449"/>
      <c r="P25" s="1449"/>
      <c r="Q25" s="1547"/>
      <c r="R25" s="1450"/>
      <c r="S25" s="159"/>
    </row>
    <row r="26" spans="2:19" ht="15" thickBot="1">
      <c r="B26" s="174"/>
      <c r="C26" s="1442"/>
      <c r="D26" s="1443"/>
      <c r="E26" s="1444"/>
      <c r="F26" s="1445"/>
      <c r="G26" s="1446"/>
      <c r="H26" s="1330"/>
      <c r="I26" s="2159" t="s">
        <v>1197</v>
      </c>
      <c r="J26" s="2159"/>
      <c r="K26" s="2160"/>
      <c r="L26" s="1451">
        <f>SUMIF(D16:D24,"Off Site",L16:L24)</f>
        <v>31712.85</v>
      </c>
      <c r="M26" s="182"/>
      <c r="N26" s="1448"/>
      <c r="O26" s="1449"/>
      <c r="P26" s="1449"/>
      <c r="Q26" s="1547"/>
      <c r="R26" s="1450"/>
      <c r="S26" s="159"/>
    </row>
    <row r="27" spans="2:19" ht="16.5" thickTop="1" thickBot="1">
      <c r="B27" s="185"/>
      <c r="C27" s="2505" t="s">
        <v>1198</v>
      </c>
      <c r="D27" s="2506"/>
      <c r="E27" s="2506"/>
      <c r="F27" s="2506"/>
      <c r="G27" s="2506"/>
      <c r="H27" s="1331"/>
      <c r="I27" s="1331"/>
      <c r="J27" s="1331"/>
      <c r="K27" s="1332"/>
      <c r="L27" s="1110">
        <f>SUM(L16:L24)</f>
        <v>331671.32659999997</v>
      </c>
      <c r="M27" s="186"/>
      <c r="N27" s="1118">
        <f>SUM(N16:N24)</f>
        <v>0</v>
      </c>
      <c r="O27" s="1119">
        <f>SUM(O16:O24)</f>
        <v>331671.32659999997</v>
      </c>
      <c r="P27" s="1119">
        <f>SUM(P16:P24)</f>
        <v>0</v>
      </c>
      <c r="Q27" s="1119">
        <f>SUM(Q16:Q24)</f>
        <v>0</v>
      </c>
      <c r="R27" s="1120">
        <f>SUM(R16:R24)</f>
        <v>0</v>
      </c>
      <c r="S27" s="159"/>
    </row>
    <row r="28" spans="2:19" ht="15" customHeight="1">
      <c r="B28" s="185"/>
      <c r="C28" s="189"/>
      <c r="D28" s="189"/>
      <c r="E28" s="189"/>
      <c r="F28" s="189"/>
      <c r="G28" s="189"/>
      <c r="H28" s="192"/>
      <c r="I28" s="192"/>
      <c r="J28" s="192"/>
      <c r="K28" s="187"/>
      <c r="L28" s="1847" t="str">
        <f>IF(L27&gt;(SUM(N27:R27)),"WARNING - Costs Exceed Listed Funding",(IF(L27&lt;(SUM(N27:R27)),"Costs Are Covered By Listed Funding","")))</f>
        <v/>
      </c>
      <c r="M28" s="187"/>
      <c r="N28" s="2162" t="str">
        <f>IF(SUM(O27:R27)&lt;&gt;'8B'!F30,"WARNING - Total for non-Cash Flow sources does not match Total for Operating Subsidy on 8B","")</f>
        <v/>
      </c>
      <c r="O28" s="2162"/>
      <c r="P28" s="2162"/>
      <c r="Q28" s="2162"/>
      <c r="R28" s="2162"/>
      <c r="S28" s="159"/>
    </row>
    <row r="29" spans="2:19" ht="15" customHeight="1" thickBot="1">
      <c r="B29" s="185"/>
      <c r="C29" s="189"/>
      <c r="D29" s="189"/>
      <c r="E29" s="189"/>
      <c r="F29" s="189"/>
      <c r="G29" s="189"/>
      <c r="H29" s="192"/>
      <c r="I29" s="192"/>
      <c r="J29" s="192"/>
      <c r="K29" s="187"/>
      <c r="L29" s="187"/>
      <c r="M29" s="187"/>
      <c r="N29" s="2507"/>
      <c r="O29" s="2507"/>
      <c r="P29" s="2507"/>
      <c r="Q29" s="2507"/>
      <c r="R29" s="2507"/>
      <c r="S29" s="159"/>
    </row>
    <row r="30" spans="2:19" ht="15.95" thickBot="1">
      <c r="B30" s="174"/>
      <c r="C30" s="2155" t="s">
        <v>1199</v>
      </c>
      <c r="D30" s="2156"/>
      <c r="E30" s="2156"/>
      <c r="F30" s="2156"/>
      <c r="G30" s="2156"/>
      <c r="H30" s="2156"/>
      <c r="I30" s="2156"/>
      <c r="J30" s="2156"/>
      <c r="K30" s="2156"/>
      <c r="L30" s="2161"/>
      <c r="M30" s="321"/>
      <c r="N30" s="2157" t="s">
        <v>1200</v>
      </c>
      <c r="O30" s="2158"/>
      <c r="P30" s="2158"/>
      <c r="Q30" s="2158"/>
      <c r="R30" s="2504"/>
      <c r="S30" s="159"/>
    </row>
    <row r="31" spans="2:19" ht="78.95" thickBot="1">
      <c r="B31" s="185"/>
      <c r="C31" s="2163" t="s">
        <v>1201</v>
      </c>
      <c r="D31" s="2164"/>
      <c r="E31" s="1352" t="s">
        <v>1181</v>
      </c>
      <c r="F31" s="1353" t="s">
        <v>1182</v>
      </c>
      <c r="G31" s="1354" t="s">
        <v>1183</v>
      </c>
      <c r="H31" s="1353" t="s">
        <v>1184</v>
      </c>
      <c r="I31" s="1579" t="s">
        <v>1185</v>
      </c>
      <c r="J31" s="514" t="s">
        <v>1186</v>
      </c>
      <c r="K31" s="1354" t="s">
        <v>1187</v>
      </c>
      <c r="L31" s="1355" t="s">
        <v>1188</v>
      </c>
      <c r="M31" s="180"/>
      <c r="N31" s="597" t="s">
        <v>1189</v>
      </c>
      <c r="O31" s="518" t="str">
        <f>IF('8B'!C35="","Enter Source Name on Form 8B",'8B'!C35)</f>
        <v>Service Subsidy (McKinney, ORS, Medicaid)</v>
      </c>
      <c r="P31" s="518" t="str">
        <f>IF('8B'!C36="","Enter Source Name on Form 8B",'8B'!C36)</f>
        <v>Enter Source Name on Form 8B</v>
      </c>
      <c r="Q31" s="1548" t="str">
        <f>IF('8B'!C37="","Enter Source Name on Form 8B",'8B'!C37)</f>
        <v>Enter Source Name on Form 8B</v>
      </c>
      <c r="R31" s="519" t="str">
        <f>IF('8B'!C38="","Enter Source Name on Form 8B",'8B'!C38)</f>
        <v>Enter Source Name on Form 8B</v>
      </c>
      <c r="S31" s="159"/>
    </row>
    <row r="32" spans="2:19" ht="15" customHeight="1">
      <c r="B32" s="185"/>
      <c r="C32" s="2165" t="s">
        <v>1202</v>
      </c>
      <c r="D32" s="2166"/>
      <c r="E32" s="689" t="s">
        <v>642</v>
      </c>
      <c r="F32" s="1106">
        <v>44540</v>
      </c>
      <c r="G32" s="690">
        <v>4</v>
      </c>
      <c r="H32" s="1435">
        <f t="shared" ref="H32:H40" si="6">F32*G32</f>
        <v>178160</v>
      </c>
      <c r="I32" s="690" t="s">
        <v>128</v>
      </c>
      <c r="J32" s="690">
        <v>0.34</v>
      </c>
      <c r="K32" s="1837">
        <f>H32*J32</f>
        <v>60574.400000000001</v>
      </c>
      <c r="L32" s="1436">
        <f>H32+K32</f>
        <v>238734.4</v>
      </c>
      <c r="M32" s="182"/>
      <c r="N32" s="1111">
        <v>0</v>
      </c>
      <c r="O32" s="1112">
        <f>L32</f>
        <v>238734.4</v>
      </c>
      <c r="P32" s="1112">
        <v>0</v>
      </c>
      <c r="Q32" s="1544">
        <v>0</v>
      </c>
      <c r="R32" s="1113">
        <v>0</v>
      </c>
      <c r="S32" s="159"/>
    </row>
    <row r="33" spans="2:19" ht="15" customHeight="1">
      <c r="B33" s="185"/>
      <c r="C33" s="2508" t="s">
        <v>1203</v>
      </c>
      <c r="D33" s="2509"/>
      <c r="E33" s="691" t="s">
        <v>642</v>
      </c>
      <c r="F33" s="1107">
        <v>39147</v>
      </c>
      <c r="G33" s="692">
        <v>11</v>
      </c>
      <c r="H33" s="1437">
        <f t="shared" si="6"/>
        <v>430617</v>
      </c>
      <c r="I33" s="692" t="s">
        <v>128</v>
      </c>
      <c r="J33" s="1838">
        <v>0.38</v>
      </c>
      <c r="K33" s="1839">
        <f>H33*J33</f>
        <v>163634.46</v>
      </c>
      <c r="L33" s="1438">
        <f>H33+K33</f>
        <v>594251.46</v>
      </c>
      <c r="M33" s="182"/>
      <c r="N33" s="1114">
        <v>0</v>
      </c>
      <c r="O33" s="1108">
        <f>L33</f>
        <v>594251.46</v>
      </c>
      <c r="P33" s="1108">
        <v>0</v>
      </c>
      <c r="Q33" s="1545">
        <v>0</v>
      </c>
      <c r="R33" s="1115">
        <v>0</v>
      </c>
      <c r="S33" s="159"/>
    </row>
    <row r="34" spans="2:19" ht="15" customHeight="1">
      <c r="B34" s="185"/>
      <c r="C34" s="2508" t="s">
        <v>1204</v>
      </c>
      <c r="D34" s="2509"/>
      <c r="E34" s="691" t="s">
        <v>642</v>
      </c>
      <c r="F34" s="1107">
        <v>43239</v>
      </c>
      <c r="G34" s="692">
        <v>1</v>
      </c>
      <c r="H34" s="1437">
        <f t="shared" si="6"/>
        <v>43239</v>
      </c>
      <c r="I34" s="692" t="s">
        <v>128</v>
      </c>
      <c r="J34" s="692">
        <v>0.35</v>
      </c>
      <c r="K34" s="1840">
        <f t="shared" ref="K34:K40" si="7">H34*J34</f>
        <v>15133.65</v>
      </c>
      <c r="L34" s="1438">
        <f t="shared" ref="L34:L40" si="8">H34+K34</f>
        <v>58372.65</v>
      </c>
      <c r="M34" s="182"/>
      <c r="N34" s="1114">
        <v>0</v>
      </c>
      <c r="O34" s="1108">
        <f>L34</f>
        <v>58372.65</v>
      </c>
      <c r="P34" s="1108">
        <v>0</v>
      </c>
      <c r="Q34" s="1545">
        <v>0</v>
      </c>
      <c r="R34" s="1115">
        <v>0</v>
      </c>
      <c r="S34" s="159"/>
    </row>
    <row r="35" spans="2:19" ht="15" customHeight="1">
      <c r="B35" s="185"/>
      <c r="C35" s="2508" t="s">
        <v>1205</v>
      </c>
      <c r="D35" s="2509"/>
      <c r="E35" s="691" t="s">
        <v>642</v>
      </c>
      <c r="F35" s="1107">
        <v>35802</v>
      </c>
      <c r="G35" s="692">
        <v>1.65</v>
      </c>
      <c r="H35" s="1437">
        <f t="shared" si="6"/>
        <v>59073.299999999996</v>
      </c>
      <c r="I35" s="692" t="s">
        <v>128</v>
      </c>
      <c r="J35" s="692">
        <v>0.1</v>
      </c>
      <c r="K35" s="1839">
        <f t="shared" si="7"/>
        <v>5907.33</v>
      </c>
      <c r="L35" s="1438">
        <f t="shared" si="8"/>
        <v>64980.63</v>
      </c>
      <c r="M35" s="182"/>
      <c r="N35" s="1114">
        <v>0</v>
      </c>
      <c r="O35" s="1108">
        <f>L35</f>
        <v>64980.63</v>
      </c>
      <c r="P35" s="1108">
        <v>0</v>
      </c>
      <c r="Q35" s="1545">
        <v>0</v>
      </c>
      <c r="R35" s="1115">
        <v>0</v>
      </c>
      <c r="S35" s="159"/>
    </row>
    <row r="36" spans="2:19" ht="15" customHeight="1">
      <c r="B36" s="185"/>
      <c r="C36" s="2508"/>
      <c r="D36" s="2509"/>
      <c r="E36" s="691"/>
      <c r="F36" s="1107">
        <v>0</v>
      </c>
      <c r="G36" s="692">
        <v>0</v>
      </c>
      <c r="H36" s="1437">
        <f t="shared" si="6"/>
        <v>0</v>
      </c>
      <c r="I36" s="692"/>
      <c r="J36" s="692"/>
      <c r="K36" s="1839">
        <f t="shared" si="7"/>
        <v>0</v>
      </c>
      <c r="L36" s="1438">
        <f t="shared" si="8"/>
        <v>0</v>
      </c>
      <c r="M36" s="182"/>
      <c r="N36" s="1114">
        <v>0</v>
      </c>
      <c r="O36" s="1108">
        <v>0</v>
      </c>
      <c r="P36" s="1108">
        <v>0</v>
      </c>
      <c r="Q36" s="1545">
        <v>0</v>
      </c>
      <c r="R36" s="1115">
        <v>0</v>
      </c>
      <c r="S36" s="159"/>
    </row>
    <row r="37" spans="2:19" ht="15" customHeight="1">
      <c r="B37" s="185"/>
      <c r="C37" s="2508"/>
      <c r="D37" s="2509"/>
      <c r="E37" s="691"/>
      <c r="F37" s="1108">
        <v>0</v>
      </c>
      <c r="G37" s="692">
        <v>0</v>
      </c>
      <c r="H37" s="1437">
        <f t="shared" si="6"/>
        <v>0</v>
      </c>
      <c r="I37" s="692"/>
      <c r="J37" s="692"/>
      <c r="K37" s="1839">
        <f t="shared" si="7"/>
        <v>0</v>
      </c>
      <c r="L37" s="1438">
        <f t="shared" si="8"/>
        <v>0</v>
      </c>
      <c r="M37" s="182"/>
      <c r="N37" s="1114">
        <v>0</v>
      </c>
      <c r="O37" s="1108">
        <v>0</v>
      </c>
      <c r="P37" s="1108">
        <v>0</v>
      </c>
      <c r="Q37" s="1545">
        <v>0</v>
      </c>
      <c r="R37" s="1115">
        <v>0</v>
      </c>
      <c r="S37" s="159"/>
    </row>
    <row r="38" spans="2:19" ht="15" customHeight="1">
      <c r="B38" s="185"/>
      <c r="C38" s="2508"/>
      <c r="D38" s="2509"/>
      <c r="E38" s="691"/>
      <c r="F38" s="1108">
        <v>0</v>
      </c>
      <c r="G38" s="692">
        <v>0</v>
      </c>
      <c r="H38" s="1437">
        <f t="shared" si="6"/>
        <v>0</v>
      </c>
      <c r="I38" s="692"/>
      <c r="J38" s="692"/>
      <c r="K38" s="1839">
        <f t="shared" si="7"/>
        <v>0</v>
      </c>
      <c r="L38" s="1438">
        <f t="shared" si="8"/>
        <v>0</v>
      </c>
      <c r="M38" s="182"/>
      <c r="N38" s="1114">
        <v>0</v>
      </c>
      <c r="O38" s="1108">
        <v>0</v>
      </c>
      <c r="P38" s="1108">
        <v>0</v>
      </c>
      <c r="Q38" s="1545">
        <v>0</v>
      </c>
      <c r="R38" s="1115">
        <v>0</v>
      </c>
      <c r="S38" s="159"/>
    </row>
    <row r="39" spans="2:19" ht="15" customHeight="1">
      <c r="B39" s="185"/>
      <c r="C39" s="2508"/>
      <c r="D39" s="2509"/>
      <c r="E39" s="691"/>
      <c r="F39" s="1108">
        <v>0</v>
      </c>
      <c r="G39" s="692">
        <v>0</v>
      </c>
      <c r="H39" s="1437">
        <f t="shared" si="6"/>
        <v>0</v>
      </c>
      <c r="I39" s="692"/>
      <c r="J39" s="692"/>
      <c r="K39" s="1839">
        <f t="shared" si="7"/>
        <v>0</v>
      </c>
      <c r="L39" s="1438">
        <f t="shared" si="8"/>
        <v>0</v>
      </c>
      <c r="M39" s="182"/>
      <c r="N39" s="1114">
        <v>0</v>
      </c>
      <c r="O39" s="1108">
        <v>0</v>
      </c>
      <c r="P39" s="1108">
        <v>0</v>
      </c>
      <c r="Q39" s="1545">
        <v>0</v>
      </c>
      <c r="R39" s="1115">
        <v>0</v>
      </c>
      <c r="S39" s="159"/>
    </row>
    <row r="40" spans="2:19" ht="15" customHeight="1" thickBot="1">
      <c r="B40" s="185"/>
      <c r="C40" s="2510"/>
      <c r="D40" s="2511"/>
      <c r="E40" s="1543"/>
      <c r="F40" s="1129">
        <v>0</v>
      </c>
      <c r="G40" s="1333">
        <v>0</v>
      </c>
      <c r="H40" s="1440">
        <f t="shared" si="6"/>
        <v>0</v>
      </c>
      <c r="I40" s="1333"/>
      <c r="J40" s="1333"/>
      <c r="K40" s="1841">
        <f t="shared" si="7"/>
        <v>0</v>
      </c>
      <c r="L40" s="1441">
        <f t="shared" si="8"/>
        <v>0</v>
      </c>
      <c r="M40" s="182"/>
      <c r="N40" s="1116">
        <v>0</v>
      </c>
      <c r="O40" s="1109">
        <v>0</v>
      </c>
      <c r="P40" s="1109">
        <v>0</v>
      </c>
      <c r="Q40" s="1546">
        <v>0</v>
      </c>
      <c r="R40" s="1117">
        <v>0</v>
      </c>
      <c r="S40" s="159"/>
    </row>
    <row r="41" spans="2:19" ht="15" customHeight="1" thickTop="1" thickBot="1">
      <c r="B41" s="185"/>
      <c r="C41" s="2512" t="s">
        <v>1206</v>
      </c>
      <c r="D41" s="2513"/>
      <c r="E41" s="2513"/>
      <c r="F41" s="2513"/>
      <c r="G41" s="2514"/>
      <c r="H41" s="2514"/>
      <c r="I41" s="1331"/>
      <c r="J41" s="1331"/>
      <c r="K41" s="1332"/>
      <c r="L41" s="1110">
        <f>SUM(L32:L40)</f>
        <v>956339.14</v>
      </c>
      <c r="M41" s="186"/>
      <c r="N41" s="1550">
        <f>SUM(N32:N40)</f>
        <v>0</v>
      </c>
      <c r="O41" s="1551">
        <f>SUM(O32:O40)</f>
        <v>956339.14</v>
      </c>
      <c r="P41" s="1551">
        <f>SUM(P32:P40)</f>
        <v>0</v>
      </c>
      <c r="Q41" s="1551">
        <f>SUM(Q32:Q40)</f>
        <v>0</v>
      </c>
      <c r="R41" s="1552">
        <f>SUM(R32:R40)</f>
        <v>0</v>
      </c>
      <c r="S41" s="159"/>
    </row>
    <row r="42" spans="2:19" ht="15" customHeight="1" thickBot="1">
      <c r="B42" s="185"/>
      <c r="C42" s="189"/>
      <c r="D42" s="189"/>
      <c r="E42" s="189"/>
      <c r="F42" s="189"/>
      <c r="G42" s="189"/>
      <c r="H42" s="192"/>
      <c r="I42" s="192"/>
      <c r="J42" s="192"/>
      <c r="K42" s="187"/>
      <c r="L42" s="187"/>
      <c r="M42" s="187"/>
      <c r="N42" s="2515"/>
      <c r="O42" s="2515"/>
      <c r="P42" s="2515"/>
      <c r="Q42" s="2515"/>
      <c r="R42" s="2515"/>
      <c r="S42" s="159"/>
    </row>
    <row r="43" spans="2:19" ht="60.95" thickBot="1">
      <c r="B43" s="185"/>
      <c r="C43" s="2151" t="s">
        <v>1207</v>
      </c>
      <c r="D43" s="2152"/>
      <c r="E43" s="2152"/>
      <c r="F43" s="2152"/>
      <c r="G43" s="2152"/>
      <c r="H43" s="2152"/>
      <c r="I43" s="2152"/>
      <c r="J43" s="2152"/>
      <c r="K43" s="2152"/>
      <c r="L43" s="2153"/>
      <c r="M43" s="187"/>
      <c r="N43" s="598" t="s">
        <v>1189</v>
      </c>
      <c r="O43" s="303" t="str">
        <f>O31</f>
        <v>Service Subsidy (McKinney, ORS, Medicaid)</v>
      </c>
      <c r="P43" s="303" t="str">
        <f>P31</f>
        <v>Enter Source Name on Form 8B</v>
      </c>
      <c r="Q43" s="303" t="str">
        <f>Q31</f>
        <v>Enter Source Name on Form 8B</v>
      </c>
      <c r="R43" s="304" t="str">
        <f>R31</f>
        <v>Enter Source Name on Form 8B</v>
      </c>
      <c r="S43" s="159"/>
    </row>
    <row r="44" spans="2:19">
      <c r="B44" s="185"/>
      <c r="C44" s="321"/>
      <c r="D44" s="321"/>
      <c r="E44" s="321"/>
      <c r="F44" s="2139" t="s">
        <v>1208</v>
      </c>
      <c r="G44" s="2139"/>
      <c r="H44" s="2139"/>
      <c r="I44" s="1356"/>
      <c r="J44" s="1356"/>
      <c r="K44" s="1357"/>
      <c r="L44" s="1121">
        <v>0</v>
      </c>
      <c r="M44" s="190"/>
      <c r="N44" s="1124">
        <v>0</v>
      </c>
      <c r="O44" s="1112">
        <v>0</v>
      </c>
      <c r="P44" s="1112">
        <v>0</v>
      </c>
      <c r="Q44" s="1544">
        <v>0</v>
      </c>
      <c r="R44" s="1125">
        <v>0</v>
      </c>
      <c r="S44" s="159"/>
    </row>
    <row r="45" spans="2:19">
      <c r="B45" s="185"/>
      <c r="C45" s="321"/>
      <c r="D45" s="321"/>
      <c r="E45" s="321"/>
      <c r="F45" s="1358" t="s">
        <v>1209</v>
      </c>
      <c r="G45" s="1359"/>
      <c r="H45" s="1359"/>
      <c r="I45" s="1359"/>
      <c r="J45" s="1359"/>
      <c r="K45" s="1360"/>
      <c r="L45" s="1122">
        <v>0</v>
      </c>
      <c r="M45" s="190"/>
      <c r="N45" s="1126">
        <v>0</v>
      </c>
      <c r="O45" s="1108">
        <v>0</v>
      </c>
      <c r="P45" s="1108">
        <v>0</v>
      </c>
      <c r="Q45" s="1545">
        <v>0</v>
      </c>
      <c r="R45" s="1127">
        <v>0</v>
      </c>
      <c r="S45" s="159"/>
    </row>
    <row r="46" spans="2:19" ht="15.75" customHeight="1">
      <c r="B46" s="185"/>
      <c r="C46" s="321"/>
      <c r="D46" s="321"/>
      <c r="E46" s="321"/>
      <c r="F46" s="2137" t="s">
        <v>1210</v>
      </c>
      <c r="G46" s="2137"/>
      <c r="H46" s="1359"/>
      <c r="I46" s="1359"/>
      <c r="J46" s="1359"/>
      <c r="K46" s="1360"/>
      <c r="L46" s="1122">
        <v>0</v>
      </c>
      <c r="M46" s="190"/>
      <c r="N46" s="1126">
        <v>0</v>
      </c>
      <c r="O46" s="1108">
        <v>0</v>
      </c>
      <c r="P46" s="1108">
        <v>0</v>
      </c>
      <c r="Q46" s="1545">
        <v>0</v>
      </c>
      <c r="R46" s="1127">
        <v>0</v>
      </c>
      <c r="S46" s="159"/>
    </row>
    <row r="47" spans="2:19">
      <c r="B47" s="185"/>
      <c r="C47" s="321"/>
      <c r="D47" s="321"/>
      <c r="E47" s="321"/>
      <c r="F47" s="1358" t="s">
        <v>1211</v>
      </c>
      <c r="G47" s="1359"/>
      <c r="H47" s="1359"/>
      <c r="I47" s="1359"/>
      <c r="J47" s="1359"/>
      <c r="K47" s="1360"/>
      <c r="L47" s="1122">
        <v>0</v>
      </c>
      <c r="M47" s="190"/>
      <c r="N47" s="1126">
        <v>0</v>
      </c>
      <c r="O47" s="1108">
        <v>0</v>
      </c>
      <c r="P47" s="1108">
        <v>0</v>
      </c>
      <c r="Q47" s="1545">
        <v>0</v>
      </c>
      <c r="R47" s="1127">
        <v>0</v>
      </c>
      <c r="S47" s="159"/>
    </row>
    <row r="48" spans="2:19">
      <c r="B48" s="185"/>
      <c r="C48" s="321"/>
      <c r="D48" s="321"/>
      <c r="E48" s="321"/>
      <c r="F48" s="1358" t="s">
        <v>1212</v>
      </c>
      <c r="G48" s="1359"/>
      <c r="H48" s="1359"/>
      <c r="I48" s="1359"/>
      <c r="J48" s="1359"/>
      <c r="K48" s="1360"/>
      <c r="L48" s="1122">
        <v>0</v>
      </c>
      <c r="M48" s="190"/>
      <c r="N48" s="1126">
        <v>0</v>
      </c>
      <c r="O48" s="1108">
        <v>0</v>
      </c>
      <c r="P48" s="1108">
        <v>0</v>
      </c>
      <c r="Q48" s="1545">
        <v>0</v>
      </c>
      <c r="R48" s="1127">
        <v>0</v>
      </c>
      <c r="S48" s="159"/>
    </row>
    <row r="49" spans="2:19">
      <c r="B49" s="185"/>
      <c r="C49" s="321"/>
      <c r="D49" s="321"/>
      <c r="E49" s="321"/>
      <c r="F49" s="1962" t="s">
        <v>1213</v>
      </c>
      <c r="G49" s="321"/>
      <c r="H49" s="321"/>
      <c r="I49" s="321"/>
      <c r="J49" s="321"/>
      <c r="K49" s="321"/>
      <c r="L49" s="1122">
        <v>0</v>
      </c>
      <c r="M49" s="190"/>
      <c r="N49" s="1126">
        <v>0</v>
      </c>
      <c r="O49" s="1108">
        <v>0</v>
      </c>
      <c r="P49" s="1108">
        <v>0</v>
      </c>
      <c r="Q49" s="1545">
        <v>0</v>
      </c>
      <c r="R49" s="1127">
        <v>0</v>
      </c>
      <c r="S49" s="159"/>
    </row>
    <row r="50" spans="2:19">
      <c r="B50" s="185"/>
      <c r="C50" s="321"/>
      <c r="D50" s="321"/>
      <c r="E50" s="321"/>
      <c r="F50" s="1962" t="s">
        <v>886</v>
      </c>
      <c r="G50" s="2516"/>
      <c r="H50" s="2517"/>
      <c r="I50" s="2517"/>
      <c r="J50" s="2517"/>
      <c r="K50" s="2518"/>
      <c r="L50" s="1122"/>
      <c r="M50" s="190"/>
      <c r="N50" s="1126">
        <v>0</v>
      </c>
      <c r="O50" s="1108"/>
      <c r="P50" s="1108"/>
      <c r="Q50" s="1545">
        <v>0</v>
      </c>
      <c r="R50" s="1127">
        <v>0</v>
      </c>
      <c r="S50" s="159"/>
    </row>
    <row r="51" spans="2:19">
      <c r="B51" s="185"/>
      <c r="C51" s="321"/>
      <c r="D51" s="321"/>
      <c r="E51" s="321"/>
      <c r="F51" s="1962" t="s">
        <v>886</v>
      </c>
      <c r="G51" s="2519"/>
      <c r="H51" s="2520"/>
      <c r="I51" s="2520"/>
      <c r="J51" s="2520"/>
      <c r="K51" s="2521"/>
      <c r="L51" s="1122">
        <v>0</v>
      </c>
      <c r="M51" s="190"/>
      <c r="N51" s="1126">
        <v>0</v>
      </c>
      <c r="O51" s="1108">
        <v>0</v>
      </c>
      <c r="P51" s="1108">
        <v>0</v>
      </c>
      <c r="Q51" s="1545">
        <v>0</v>
      </c>
      <c r="R51" s="1127">
        <v>0</v>
      </c>
      <c r="S51" s="159"/>
    </row>
    <row r="52" spans="2:19">
      <c r="B52" s="185"/>
      <c r="C52" s="321"/>
      <c r="D52" s="321"/>
      <c r="E52" s="321"/>
      <c r="F52" s="1962" t="s">
        <v>886</v>
      </c>
      <c r="G52" s="2522"/>
      <c r="H52" s="2523"/>
      <c r="I52" s="2523"/>
      <c r="J52" s="2523"/>
      <c r="K52" s="2524"/>
      <c r="L52" s="1122">
        <v>0</v>
      </c>
      <c r="M52" s="190"/>
      <c r="N52" s="1126">
        <v>0</v>
      </c>
      <c r="O52" s="1108">
        <v>0</v>
      </c>
      <c r="P52" s="1108">
        <v>0</v>
      </c>
      <c r="Q52" s="1545">
        <v>0</v>
      </c>
      <c r="R52" s="1127">
        <v>0</v>
      </c>
      <c r="S52" s="159"/>
    </row>
    <row r="53" spans="2:19" ht="15" thickBot="1">
      <c r="B53" s="185"/>
      <c r="C53" s="321"/>
      <c r="D53" s="321"/>
      <c r="E53" s="321"/>
      <c r="F53" s="2138" t="s">
        <v>1214</v>
      </c>
      <c r="G53" s="2138"/>
      <c r="H53" s="2138"/>
      <c r="I53" s="321"/>
      <c r="J53" s="321"/>
      <c r="K53" s="321"/>
      <c r="L53" s="1123">
        <v>0</v>
      </c>
      <c r="M53" s="190"/>
      <c r="N53" s="1128">
        <v>0</v>
      </c>
      <c r="O53" s="1129">
        <v>0</v>
      </c>
      <c r="P53" s="1129">
        <v>0</v>
      </c>
      <c r="Q53" s="1549">
        <v>0</v>
      </c>
      <c r="R53" s="1130">
        <v>0</v>
      </c>
      <c r="S53" s="159"/>
    </row>
    <row r="54" spans="2:19" ht="16.5" thickTop="1" thickBot="1">
      <c r="B54" s="185"/>
      <c r="C54" s="188"/>
      <c r="D54" s="188"/>
      <c r="E54" s="189"/>
      <c r="F54" s="2148" t="s">
        <v>1215</v>
      </c>
      <c r="G54" s="2149"/>
      <c r="H54" s="2149"/>
      <c r="I54" s="2149"/>
      <c r="J54" s="2149"/>
      <c r="K54" s="2150"/>
      <c r="L54" s="1131">
        <f>(SUM(L44:L53))</f>
        <v>0</v>
      </c>
      <c r="M54" s="192"/>
      <c r="N54" s="1132">
        <f>(SUM(N44:N53))</f>
        <v>0</v>
      </c>
      <c r="O54" s="2525">
        <f>(SUM(O44:O53))</f>
        <v>0</v>
      </c>
      <c r="P54" s="2525">
        <f>(SUM(P44:P53))</f>
        <v>0</v>
      </c>
      <c r="Q54" s="2525">
        <f>(SUM(Q44:Q53))</f>
        <v>0</v>
      </c>
      <c r="R54" s="2526">
        <f>(SUM(R44:R53))</f>
        <v>0</v>
      </c>
      <c r="S54" s="159"/>
    </row>
    <row r="55" spans="2:19" ht="15.6">
      <c r="B55" s="185"/>
      <c r="C55" s="188"/>
      <c r="D55" s="188"/>
      <c r="E55" s="189"/>
      <c r="F55" s="189"/>
      <c r="G55" s="297"/>
      <c r="H55" s="362"/>
      <c r="I55" s="362"/>
      <c r="J55" s="362"/>
      <c r="K55" s="193"/>
      <c r="L55" s="1847" t="str">
        <f>IF(L54&gt;(SUM(N54:R54)),"WARNING - non-personnel Costs Exceed Listed Funding",(IF(L54&lt;(SUM(N54:R54)),"non-personnel Costs Are Covered By Listed Funding","")))</f>
        <v/>
      </c>
      <c r="M55" s="905"/>
      <c r="N55" s="2146" t="str">
        <f>IF((ROUND(SUM(O54:R54),0))+(ROUND(SUM(O41:R41),0))&lt;&gt;(ROUND('8B'!F39,0)),"WARNING - Total for non-Cash Flow sources does not match Total for Services Subsidy on 8B","")</f>
        <v/>
      </c>
      <c r="O55" s="2146"/>
      <c r="P55" s="2146"/>
      <c r="Q55" s="2146"/>
      <c r="R55" s="2146"/>
      <c r="S55" s="159"/>
    </row>
    <row r="56" spans="2:19" ht="15.95" thickBot="1">
      <c r="B56" s="174"/>
      <c r="C56" s="903" t="s">
        <v>840</v>
      </c>
      <c r="D56" s="903"/>
      <c r="E56" s="903"/>
      <c r="F56" s="903"/>
      <c r="G56" s="903"/>
      <c r="H56" s="903"/>
      <c r="I56" s="903"/>
      <c r="J56" s="903"/>
      <c r="K56" s="903"/>
      <c r="L56" s="904"/>
      <c r="M56" s="903"/>
      <c r="N56" s="2147"/>
      <c r="O56" s="2147"/>
      <c r="P56" s="2147"/>
      <c r="Q56" s="2147"/>
      <c r="R56" s="2147"/>
      <c r="S56" s="159"/>
    </row>
    <row r="57" spans="2:19">
      <c r="B57" s="174"/>
      <c r="C57" s="2140"/>
      <c r="D57" s="2141"/>
      <c r="E57" s="2141"/>
      <c r="F57" s="2141"/>
      <c r="G57" s="2141"/>
      <c r="H57" s="2141"/>
      <c r="I57" s="2141"/>
      <c r="J57" s="2141"/>
      <c r="K57" s="2141"/>
      <c r="L57" s="2141"/>
      <c r="M57" s="2141"/>
      <c r="N57" s="2141"/>
      <c r="O57" s="2141"/>
      <c r="P57" s="2142"/>
      <c r="Q57" s="1830"/>
      <c r="R57" s="486"/>
      <c r="S57" s="159"/>
    </row>
    <row r="58" spans="2:19">
      <c r="B58" s="174"/>
      <c r="C58" s="2527"/>
      <c r="D58" s="1988"/>
      <c r="E58" s="1988"/>
      <c r="F58" s="1988"/>
      <c r="G58" s="1988"/>
      <c r="H58" s="1988"/>
      <c r="I58" s="1988"/>
      <c r="J58" s="1988"/>
      <c r="K58" s="1988"/>
      <c r="L58" s="1988"/>
      <c r="M58" s="1988"/>
      <c r="N58" s="1988"/>
      <c r="O58" s="1988"/>
      <c r="P58" s="2143"/>
      <c r="Q58" s="1830"/>
      <c r="R58" s="486"/>
      <c r="S58" s="159"/>
    </row>
    <row r="59" spans="2:19">
      <c r="B59" s="174"/>
      <c r="C59" s="2527"/>
      <c r="D59" s="1988"/>
      <c r="E59" s="1988"/>
      <c r="F59" s="1988"/>
      <c r="G59" s="1988"/>
      <c r="H59" s="1988"/>
      <c r="I59" s="1988"/>
      <c r="J59" s="1988"/>
      <c r="K59" s="1988"/>
      <c r="L59" s="1988"/>
      <c r="M59" s="1988"/>
      <c r="N59" s="1988"/>
      <c r="O59" s="1988"/>
      <c r="P59" s="2143"/>
      <c r="Q59" s="1830"/>
      <c r="R59" s="486"/>
      <c r="S59" s="159"/>
    </row>
    <row r="60" spans="2:19">
      <c r="B60" s="174"/>
      <c r="C60" s="2527"/>
      <c r="D60" s="1988"/>
      <c r="E60" s="1988"/>
      <c r="F60" s="1988"/>
      <c r="G60" s="1988"/>
      <c r="H60" s="1988"/>
      <c r="I60" s="1988"/>
      <c r="J60" s="1988"/>
      <c r="K60" s="1988"/>
      <c r="L60" s="1988"/>
      <c r="M60" s="1988"/>
      <c r="N60" s="1988"/>
      <c r="O60" s="1988"/>
      <c r="P60" s="2143"/>
      <c r="Q60" s="1830"/>
      <c r="R60" s="486"/>
      <c r="S60" s="159"/>
    </row>
    <row r="61" spans="2:19" ht="15" thickBot="1">
      <c r="B61" s="174"/>
      <c r="C61" s="2144"/>
      <c r="D61" s="2528"/>
      <c r="E61" s="2528"/>
      <c r="F61" s="2528"/>
      <c r="G61" s="2528"/>
      <c r="H61" s="2528"/>
      <c r="I61" s="2528"/>
      <c r="J61" s="2528"/>
      <c r="K61" s="2528"/>
      <c r="L61" s="2528"/>
      <c r="M61" s="2528"/>
      <c r="N61" s="2528"/>
      <c r="O61" s="2528"/>
      <c r="P61" s="2145"/>
      <c r="Q61" s="1830"/>
      <c r="R61" s="486"/>
      <c r="S61" s="159"/>
    </row>
    <row r="62" spans="2:19" ht="9" customHeight="1" thickBot="1">
      <c r="B62" s="517"/>
      <c r="C62" s="164"/>
      <c r="D62" s="164"/>
      <c r="E62" s="520"/>
      <c r="F62" s="520"/>
      <c r="G62" s="521"/>
      <c r="H62" s="522"/>
      <c r="I62" s="522"/>
      <c r="J62" s="522"/>
      <c r="K62" s="523"/>
      <c r="L62" s="521"/>
      <c r="M62" s="521"/>
      <c r="N62" s="524"/>
      <c r="O62" s="520"/>
      <c r="P62" s="521"/>
      <c r="Q62" s="521"/>
      <c r="R62" s="164"/>
      <c r="S62" s="165"/>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28" priority="9">
      <formula>$I16="Actual"</formula>
    </cfRule>
    <cfRule type="expression" dxfId="27" priority="13">
      <formula>$I16&lt;&gt;"Actual"</formula>
    </cfRule>
  </conditionalFormatting>
  <conditionalFormatting sqref="J16:J24">
    <cfRule type="expression" dxfId="26" priority="10">
      <formula>$I16="Actual"</formula>
    </cfRule>
    <cfRule type="expression" dxfId="25" priority="11">
      <formula>$I16&lt;&gt;"Percent"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count="2">
    <dataValidation type="list" allowBlank="1" showInputMessage="1" showErrorMessage="1" sqref="D16:D24" xr:uid="{00000000-0002-0000-1800-000000000000}">
      <formula1>OnSite_OffSite</formula1>
    </dataValidation>
    <dataValidation type="list" allowBlank="1" showInputMessage="1" showErrorMessage="1" sqref="I16:I24 I32:I40" xr:uid="{00000000-0002-0000-1800-00000100000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2:W144"/>
  <sheetViews>
    <sheetView showGridLines="0" topLeftCell="C85" zoomScaleNormal="100" workbookViewId="0" xr3:uid="{94BC7849-1D55-59FD-A4A3-F33B65D9F6CB}">
      <selection activeCell="F96" sqref="F96"/>
    </sheetView>
  </sheetViews>
  <sheetFormatPr defaultColWidth="9.140625" defaultRowHeight="14.45"/>
  <cols>
    <col min="1" max="2" width="1.7109375" style="336" customWidth="1"/>
    <col min="3" max="3" width="14.28515625" style="336" customWidth="1"/>
    <col min="4" max="4" width="9.140625" style="336" customWidth="1"/>
    <col min="5" max="5" width="1.42578125" style="336" customWidth="1"/>
    <col min="6" max="6" width="9.140625" style="336"/>
    <col min="7" max="7" width="10.5703125" style="336" customWidth="1"/>
    <col min="8" max="8" width="11.85546875" style="336" customWidth="1"/>
    <col min="9" max="22" width="12.5703125" style="336" bestFit="1" customWidth="1"/>
    <col min="23" max="23" width="1.5703125" style="336" customWidth="1"/>
    <col min="24" max="16384" width="9.140625" style="336"/>
  </cols>
  <sheetData>
    <row r="12" spans="2:23" ht="15" thickBot="1"/>
    <row r="13" spans="2:23" ht="9" customHeight="1">
      <c r="B13" s="211"/>
      <c r="C13" s="626"/>
      <c r="D13" s="626"/>
      <c r="E13" s="626"/>
      <c r="F13" s="626"/>
      <c r="G13" s="626"/>
      <c r="H13" s="626"/>
      <c r="I13" s="626"/>
      <c r="J13" s="626"/>
      <c r="K13" s="626"/>
      <c r="L13" s="626"/>
      <c r="M13" s="626"/>
      <c r="N13" s="626"/>
      <c r="O13" s="626"/>
      <c r="P13" s="626"/>
      <c r="Q13" s="626"/>
      <c r="R13" s="626"/>
      <c r="S13" s="626"/>
      <c r="T13" s="626"/>
      <c r="U13" s="626"/>
      <c r="V13" s="626"/>
      <c r="W13" s="212"/>
    </row>
    <row r="14" spans="2:23" ht="18.600000000000001">
      <c r="B14" s="213"/>
      <c r="C14" s="2057" t="s">
        <v>1216</v>
      </c>
      <c r="D14" s="2057"/>
      <c r="E14" s="2057"/>
      <c r="F14" s="2057"/>
      <c r="G14" s="2057"/>
      <c r="H14" s="2057"/>
      <c r="I14" s="2057"/>
      <c r="J14" s="2057"/>
      <c r="K14" s="2057"/>
      <c r="L14" s="2057"/>
      <c r="M14" s="2057"/>
      <c r="N14" s="2057"/>
      <c r="O14" s="2057"/>
      <c r="P14" s="2057"/>
      <c r="Q14" s="2057"/>
      <c r="R14" s="2057"/>
      <c r="S14" s="2057"/>
      <c r="T14" s="2057"/>
      <c r="U14" s="2057"/>
      <c r="V14" s="2057"/>
      <c r="W14" s="215"/>
    </row>
    <row r="15" spans="2:23" ht="7.5" customHeight="1">
      <c r="B15" s="213"/>
      <c r="C15" s="214"/>
      <c r="D15" s="214"/>
      <c r="E15" s="214"/>
      <c r="F15" s="214"/>
      <c r="G15" s="214"/>
      <c r="H15" s="214"/>
      <c r="I15" s="214"/>
      <c r="J15" s="214"/>
      <c r="K15" s="214"/>
      <c r="L15" s="214"/>
      <c r="M15" s="214"/>
      <c r="N15" s="214"/>
      <c r="O15" s="214"/>
      <c r="P15" s="214"/>
      <c r="Q15" s="214"/>
      <c r="R15" s="214"/>
      <c r="S15" s="214"/>
      <c r="T15" s="214"/>
      <c r="U15" s="214"/>
      <c r="V15" s="214"/>
      <c r="W15" s="215"/>
    </row>
    <row r="16" spans="2:23" ht="15" thickBot="1">
      <c r="B16" s="213"/>
      <c r="C16" s="2003" t="str">
        <f>IF('1'!G5="","Enter Project Name on Form 1",(CONCATENATE("Project Name: ",'1'!G5)))</f>
        <v>Project Name: DESC 22nd Avenue PSH</v>
      </c>
      <c r="D16" s="2003"/>
      <c r="E16" s="2003"/>
      <c r="F16" s="2003"/>
      <c r="G16" s="2003"/>
      <c r="H16" s="2003"/>
      <c r="I16" s="2003"/>
      <c r="J16" s="2003"/>
      <c r="K16" s="2003"/>
      <c r="L16" s="2003"/>
      <c r="M16" s="2003"/>
      <c r="N16" s="425"/>
      <c r="O16" s="425"/>
      <c r="P16" s="425"/>
      <c r="Q16" s="425"/>
      <c r="R16" s="425"/>
      <c r="S16" s="425"/>
      <c r="T16" s="425"/>
      <c r="U16" s="425"/>
      <c r="V16" s="425"/>
      <c r="W16" s="215"/>
    </row>
    <row r="17" spans="2:23" ht="3.75" customHeight="1">
      <c r="B17" s="213"/>
      <c r="C17" s="425"/>
      <c r="D17" s="425"/>
      <c r="E17" s="425"/>
      <c r="F17" s="425"/>
      <c r="G17" s="425"/>
      <c r="H17" s="362"/>
      <c r="I17" s="362"/>
      <c r="J17" s="362"/>
      <c r="K17" s="362"/>
      <c r="L17" s="425"/>
      <c r="M17" s="425"/>
      <c r="N17" s="425"/>
      <c r="O17" s="425"/>
      <c r="P17" s="425"/>
      <c r="Q17" s="425"/>
      <c r="R17" s="425"/>
      <c r="S17" s="425"/>
      <c r="T17" s="425"/>
      <c r="U17" s="425"/>
      <c r="V17" s="425"/>
      <c r="W17" s="215"/>
    </row>
    <row r="18" spans="2:23">
      <c r="B18" s="216"/>
      <c r="C18" s="425" t="s">
        <v>1217</v>
      </c>
      <c r="D18" s="627">
        <v>42989</v>
      </c>
      <c r="E18" s="214"/>
      <c r="F18" s="214"/>
      <c r="G18" s="214"/>
      <c r="H18" s="217"/>
      <c r="I18" s="217"/>
      <c r="J18" s="217"/>
      <c r="K18" s="217"/>
      <c r="L18" s="217"/>
      <c r="M18" s="218"/>
      <c r="N18" s="217"/>
      <c r="O18" s="217"/>
      <c r="P18" s="217"/>
      <c r="Q18" s="217"/>
      <c r="R18" s="217"/>
      <c r="S18" s="217"/>
      <c r="T18" s="217"/>
      <c r="U18" s="217"/>
      <c r="V18" s="217"/>
      <c r="W18" s="219"/>
    </row>
    <row r="19" spans="2:23" ht="7.5" customHeight="1">
      <c r="B19" s="216"/>
      <c r="C19" s="220"/>
      <c r="D19" s="217"/>
      <c r="E19" s="214"/>
      <c r="F19" s="214"/>
      <c r="G19" s="214"/>
      <c r="H19" s="217"/>
      <c r="I19" s="217"/>
      <c r="J19" s="217"/>
      <c r="K19" s="217"/>
      <c r="L19" s="217"/>
      <c r="M19" s="218"/>
      <c r="N19" s="217"/>
      <c r="O19" s="217"/>
      <c r="P19" s="217"/>
      <c r="Q19" s="217"/>
      <c r="R19" s="217"/>
      <c r="S19" s="217"/>
      <c r="T19" s="217"/>
      <c r="U19" s="217"/>
      <c r="V19" s="217"/>
      <c r="W19" s="219"/>
    </row>
    <row r="20" spans="2:23" ht="15" thickBot="1">
      <c r="B20" s="216"/>
      <c r="C20" s="248" t="s">
        <v>1218</v>
      </c>
      <c r="D20" s="196"/>
      <c r="E20" s="195"/>
      <c r="F20" s="195"/>
      <c r="G20" s="195"/>
      <c r="H20" s="196"/>
      <c r="I20" s="196"/>
      <c r="J20" s="196"/>
      <c r="K20" s="196"/>
      <c r="L20" s="196"/>
      <c r="M20" s="197"/>
      <c r="N20" s="196"/>
      <c r="O20" s="196"/>
      <c r="P20" s="196"/>
      <c r="Q20" s="196"/>
      <c r="R20" s="196"/>
      <c r="S20" s="196"/>
      <c r="T20" s="196"/>
      <c r="U20" s="196"/>
      <c r="V20" s="196"/>
      <c r="W20" s="219"/>
    </row>
    <row r="21" spans="2:23" ht="15" thickBot="1">
      <c r="B21" s="628"/>
      <c r="C21" s="362"/>
      <c r="D21" s="214"/>
      <c r="E21" s="362"/>
      <c r="F21" s="362"/>
      <c r="G21" s="362"/>
      <c r="H21" s="198" t="s">
        <v>1219</v>
      </c>
      <c r="I21" s="629" t="s">
        <v>1220</v>
      </c>
      <c r="J21" s="629" t="s">
        <v>1221</v>
      </c>
      <c r="K21" s="629" t="s">
        <v>1222</v>
      </c>
      <c r="L21" s="629" t="s">
        <v>1223</v>
      </c>
      <c r="M21" s="629" t="s">
        <v>1224</v>
      </c>
      <c r="N21" s="629" t="s">
        <v>1225</v>
      </c>
      <c r="O21" s="629" t="s">
        <v>1226</v>
      </c>
      <c r="P21" s="629" t="s">
        <v>1227</v>
      </c>
      <c r="Q21" s="629" t="s">
        <v>1228</v>
      </c>
      <c r="R21" s="629" t="s">
        <v>1229</v>
      </c>
      <c r="S21" s="629" t="s">
        <v>1230</v>
      </c>
      <c r="T21" s="629" t="s">
        <v>1231</v>
      </c>
      <c r="U21" s="629" t="s">
        <v>1232</v>
      </c>
      <c r="V21" s="630" t="s">
        <v>1233</v>
      </c>
      <c r="W21" s="1453"/>
    </row>
    <row r="22" spans="2:23" ht="15" thickBot="1">
      <c r="B22" s="628"/>
      <c r="C22" s="221" t="s">
        <v>1234</v>
      </c>
      <c r="D22" s="362"/>
      <c r="E22" s="362"/>
      <c r="F22" s="321"/>
      <c r="G22" s="631" t="s">
        <v>1235</v>
      </c>
      <c r="H22" s="632"/>
      <c r="I22" s="199"/>
      <c r="J22" s="199"/>
      <c r="K22" s="199"/>
      <c r="L22" s="199"/>
      <c r="M22" s="199"/>
      <c r="N22" s="199"/>
      <c r="O22" s="199"/>
      <c r="P22" s="199"/>
      <c r="Q22" s="199"/>
      <c r="R22" s="199"/>
      <c r="S22" s="199"/>
      <c r="T22" s="199"/>
      <c r="U22" s="199"/>
      <c r="V22" s="633"/>
      <c r="W22" s="1453"/>
    </row>
    <row r="23" spans="2:23">
      <c r="B23" s="628"/>
      <c r="C23" s="222" t="s">
        <v>1236</v>
      </c>
      <c r="D23" s="525"/>
      <c r="E23" s="526"/>
      <c r="F23" s="1523"/>
      <c r="G23" s="684">
        <v>2.5000000000000001E-2</v>
      </c>
      <c r="H23" s="999">
        <f>'8A'!M30</f>
        <v>190080</v>
      </c>
      <c r="I23" s="1000">
        <f t="shared" ref="I23:V24" si="0">H23+(H23*$G23)</f>
        <v>194832</v>
      </c>
      <c r="J23" s="1000">
        <f t="shared" si="0"/>
        <v>199702.8</v>
      </c>
      <c r="K23" s="1000">
        <f t="shared" si="0"/>
        <v>204695.37</v>
      </c>
      <c r="L23" s="1000">
        <f t="shared" si="0"/>
        <v>209812.75425</v>
      </c>
      <c r="M23" s="1000">
        <f t="shared" si="0"/>
        <v>215058.07310625</v>
      </c>
      <c r="N23" s="1000">
        <f t="shared" si="0"/>
        <v>220434.52493390624</v>
      </c>
      <c r="O23" s="1000">
        <f t="shared" si="0"/>
        <v>225945.38805725391</v>
      </c>
      <c r="P23" s="1000">
        <f t="shared" si="0"/>
        <v>231594.02275868526</v>
      </c>
      <c r="Q23" s="1000">
        <f t="shared" si="0"/>
        <v>237383.8733276524</v>
      </c>
      <c r="R23" s="1000">
        <f t="shared" si="0"/>
        <v>243318.47016084372</v>
      </c>
      <c r="S23" s="1000">
        <f t="shared" si="0"/>
        <v>249401.43191486481</v>
      </c>
      <c r="T23" s="1000">
        <f t="shared" si="0"/>
        <v>255636.46771273643</v>
      </c>
      <c r="U23" s="1000">
        <f t="shared" si="0"/>
        <v>262027.37940555485</v>
      </c>
      <c r="V23" s="1001">
        <f t="shared" si="0"/>
        <v>268578.06389069371</v>
      </c>
      <c r="W23" s="1453"/>
    </row>
    <row r="24" spans="2:23">
      <c r="B24" s="628"/>
      <c r="C24" s="2190" t="s">
        <v>1237</v>
      </c>
      <c r="D24" s="2190"/>
      <c r="E24" s="2190"/>
      <c r="F24" s="2191"/>
      <c r="G24" s="1560">
        <v>2.5000000000000001E-2</v>
      </c>
      <c r="H24" s="1002">
        <f>'8A'!N30</f>
        <v>0</v>
      </c>
      <c r="I24" s="1000">
        <f>H24+(H24*$G24)</f>
        <v>0</v>
      </c>
      <c r="J24" s="1000">
        <f t="shared" si="0"/>
        <v>0</v>
      </c>
      <c r="K24" s="1000">
        <f t="shared" si="0"/>
        <v>0</v>
      </c>
      <c r="L24" s="1000">
        <f t="shared" si="0"/>
        <v>0</v>
      </c>
      <c r="M24" s="1000">
        <f t="shared" si="0"/>
        <v>0</v>
      </c>
      <c r="N24" s="1000">
        <f t="shared" si="0"/>
        <v>0</v>
      </c>
      <c r="O24" s="1000">
        <f t="shared" si="0"/>
        <v>0</v>
      </c>
      <c r="P24" s="1000">
        <f t="shared" si="0"/>
        <v>0</v>
      </c>
      <c r="Q24" s="1000">
        <f t="shared" si="0"/>
        <v>0</v>
      </c>
      <c r="R24" s="1000">
        <f t="shared" si="0"/>
        <v>0</v>
      </c>
      <c r="S24" s="1000">
        <f t="shared" si="0"/>
        <v>0</v>
      </c>
      <c r="T24" s="1000">
        <f t="shared" si="0"/>
        <v>0</v>
      </c>
      <c r="U24" s="1000">
        <f t="shared" si="0"/>
        <v>0</v>
      </c>
      <c r="V24" s="1001">
        <f t="shared" si="0"/>
        <v>0</v>
      </c>
      <c r="W24" s="1453"/>
    </row>
    <row r="25" spans="2:23" ht="15" thickBot="1">
      <c r="B25" s="628"/>
      <c r="C25" s="2192" t="s">
        <v>1238</v>
      </c>
      <c r="D25" s="2192"/>
      <c r="E25" s="2192"/>
      <c r="F25" s="2193"/>
      <c r="G25" s="687">
        <v>2.5000000000000001E-2</v>
      </c>
      <c r="H25" s="1002">
        <f>'8B'!F21</f>
        <v>0</v>
      </c>
      <c r="I25" s="1003">
        <f>H25*1.03</f>
        <v>0</v>
      </c>
      <c r="J25" s="1003">
        <f t="shared" ref="J25:V25" si="1">I25*1.03</f>
        <v>0</v>
      </c>
      <c r="K25" s="1003">
        <f t="shared" si="1"/>
        <v>0</v>
      </c>
      <c r="L25" s="1003">
        <f t="shared" si="1"/>
        <v>0</v>
      </c>
      <c r="M25" s="1003">
        <f t="shared" si="1"/>
        <v>0</v>
      </c>
      <c r="N25" s="1003">
        <f t="shared" si="1"/>
        <v>0</v>
      </c>
      <c r="O25" s="1003">
        <f t="shared" si="1"/>
        <v>0</v>
      </c>
      <c r="P25" s="1003">
        <f t="shared" si="1"/>
        <v>0</v>
      </c>
      <c r="Q25" s="1003">
        <f t="shared" si="1"/>
        <v>0</v>
      </c>
      <c r="R25" s="1003">
        <f t="shared" si="1"/>
        <v>0</v>
      </c>
      <c r="S25" s="1003">
        <f t="shared" si="1"/>
        <v>0</v>
      </c>
      <c r="T25" s="1003">
        <f t="shared" si="1"/>
        <v>0</v>
      </c>
      <c r="U25" s="1003">
        <f t="shared" si="1"/>
        <v>0</v>
      </c>
      <c r="V25" s="1003">
        <f t="shared" si="1"/>
        <v>0</v>
      </c>
      <c r="W25" s="1453"/>
    </row>
    <row r="26" spans="2:23">
      <c r="B26" s="628"/>
      <c r="C26" s="1561" t="s">
        <v>1239</v>
      </c>
      <c r="D26" s="1562"/>
      <c r="E26" s="677"/>
      <c r="F26" s="847"/>
      <c r="G26" s="1454"/>
      <c r="H26" s="1004">
        <f>'8B'!F30</f>
        <v>331671.32659999997</v>
      </c>
      <c r="I26" s="1005">
        <f>H26*1.035</f>
        <v>343279.82303099992</v>
      </c>
      <c r="J26" s="1005">
        <f t="shared" ref="J26:V26" si="2">I26*1.035</f>
        <v>355294.61683708488</v>
      </c>
      <c r="K26" s="1005">
        <f t="shared" si="2"/>
        <v>367729.92842638283</v>
      </c>
      <c r="L26" s="1005">
        <f t="shared" si="2"/>
        <v>380600.47592130618</v>
      </c>
      <c r="M26" s="1005">
        <f t="shared" si="2"/>
        <v>393921.49257855187</v>
      </c>
      <c r="N26" s="1005">
        <f t="shared" si="2"/>
        <v>407708.74481880118</v>
      </c>
      <c r="O26" s="1005">
        <f t="shared" si="2"/>
        <v>421978.55088745919</v>
      </c>
      <c r="P26" s="1005">
        <f t="shared" si="2"/>
        <v>436747.80016852025</v>
      </c>
      <c r="Q26" s="1005">
        <f t="shared" si="2"/>
        <v>452033.97317441844</v>
      </c>
      <c r="R26" s="1005">
        <f t="shared" si="2"/>
        <v>467855.16223552305</v>
      </c>
      <c r="S26" s="1005">
        <f t="shared" si="2"/>
        <v>484230.09291376633</v>
      </c>
      <c r="T26" s="1005">
        <f t="shared" si="2"/>
        <v>501178.14616574813</v>
      </c>
      <c r="U26" s="1005">
        <f t="shared" si="2"/>
        <v>518719.38128154929</v>
      </c>
      <c r="V26" s="1005">
        <f t="shared" si="2"/>
        <v>536874.5596264035</v>
      </c>
      <c r="W26" s="1453"/>
    </row>
    <row r="27" spans="2:23" ht="15" thickBot="1">
      <c r="B27" s="628"/>
      <c r="C27" s="223" t="s">
        <v>1240</v>
      </c>
      <c r="D27" s="223"/>
      <c r="E27" s="362"/>
      <c r="F27" s="676"/>
      <c r="G27" s="1455"/>
      <c r="H27" s="683"/>
      <c r="I27" s="1456"/>
      <c r="J27" s="1456"/>
      <c r="K27" s="1456"/>
      <c r="L27" s="1456"/>
      <c r="M27" s="1456"/>
      <c r="N27" s="1456"/>
      <c r="O27" s="1456"/>
      <c r="P27" s="1456"/>
      <c r="Q27" s="1456"/>
      <c r="R27" s="1456"/>
      <c r="S27" s="1456"/>
      <c r="T27" s="1456"/>
      <c r="U27" s="1456"/>
      <c r="V27" s="1457"/>
      <c r="W27" s="1453"/>
    </row>
    <row r="28" spans="2:23">
      <c r="B28" s="628"/>
      <c r="C28" s="2186" t="s">
        <v>1241</v>
      </c>
      <c r="D28" s="2186"/>
      <c r="E28" s="2186"/>
      <c r="F28" s="2187"/>
      <c r="G28" s="684">
        <v>0</v>
      </c>
      <c r="H28" s="1006">
        <f ca="1">H93+H95-H23-H26-H34</f>
        <v>671355.33297894732</v>
      </c>
      <c r="I28" s="1006">
        <f t="shared" ref="I28:V28" ca="1" si="3">I93+I95-I23-I26-I34</f>
        <v>696753.56963321054</v>
      </c>
      <c r="J28" s="1006">
        <f t="shared" ca="1" si="3"/>
        <v>723088.26457037311</v>
      </c>
      <c r="K28" s="1006">
        <f t="shared" ca="1" si="3"/>
        <v>750393.38183033641</v>
      </c>
      <c r="L28" s="1006">
        <f t="shared" ca="1" si="3"/>
        <v>778704.10389439785</v>
      </c>
      <c r="M28" s="1006">
        <f t="shared" ca="1" si="3"/>
        <v>808056.87507320207</v>
      </c>
      <c r="N28" s="1006">
        <f t="shared" ca="1" si="3"/>
        <v>838489.44643182645</v>
      </c>
      <c r="O28" s="1006">
        <f t="shared" ca="1" si="3"/>
        <v>870040.9223062793</v>
      </c>
      <c r="P28" s="1006">
        <f t="shared" ca="1" si="3"/>
        <v>902751.80846757197</v>
      </c>
      <c r="Q28" s="1006">
        <f t="shared" ca="1" si="3"/>
        <v>936664.06199152372</v>
      </c>
      <c r="R28" s="1006">
        <f t="shared" ca="1" si="3"/>
        <v>971821.14289450366</v>
      </c>
      <c r="S28" s="1006">
        <f t="shared" ca="1" si="3"/>
        <v>1008268.0675974195</v>
      </c>
      <c r="T28" s="1006">
        <f t="shared" ca="1" si="3"/>
        <v>1046051.4642824782</v>
      </c>
      <c r="U28" s="1006">
        <f t="shared" ca="1" si="3"/>
        <v>1085219.6302094916</v>
      </c>
      <c r="V28" s="1006">
        <f t="shared" ca="1" si="3"/>
        <v>1125822.5910608799</v>
      </c>
      <c r="W28" s="1453"/>
    </row>
    <row r="29" spans="2:23" ht="15" thickBot="1">
      <c r="B29" s="628"/>
      <c r="C29" s="2188"/>
      <c r="D29" s="2188"/>
      <c r="E29" s="2188"/>
      <c r="F29" s="2189"/>
      <c r="G29" s="687">
        <v>0</v>
      </c>
      <c r="H29" s="1007">
        <v>0</v>
      </c>
      <c r="I29" s="1008">
        <f t="shared" ref="I29:V29" si="4">H29+(H29*$G29)</f>
        <v>0</v>
      </c>
      <c r="J29" s="1008">
        <f t="shared" si="4"/>
        <v>0</v>
      </c>
      <c r="K29" s="1008">
        <f t="shared" si="4"/>
        <v>0</v>
      </c>
      <c r="L29" s="1008">
        <f t="shared" si="4"/>
        <v>0</v>
      </c>
      <c r="M29" s="1008">
        <f t="shared" si="4"/>
        <v>0</v>
      </c>
      <c r="N29" s="1008">
        <f t="shared" si="4"/>
        <v>0</v>
      </c>
      <c r="O29" s="1008">
        <f t="shared" si="4"/>
        <v>0</v>
      </c>
      <c r="P29" s="1008">
        <f t="shared" si="4"/>
        <v>0</v>
      </c>
      <c r="Q29" s="1008">
        <f t="shared" si="4"/>
        <v>0</v>
      </c>
      <c r="R29" s="1008">
        <f t="shared" si="4"/>
        <v>0</v>
      </c>
      <c r="S29" s="1008">
        <f t="shared" si="4"/>
        <v>0</v>
      </c>
      <c r="T29" s="1008">
        <f t="shared" si="4"/>
        <v>0</v>
      </c>
      <c r="U29" s="1008">
        <f t="shared" si="4"/>
        <v>0</v>
      </c>
      <c r="V29" s="1009">
        <f t="shared" si="4"/>
        <v>0</v>
      </c>
      <c r="W29" s="1453"/>
    </row>
    <row r="30" spans="2:23">
      <c r="B30" s="628"/>
      <c r="C30" s="223" t="s">
        <v>1242</v>
      </c>
      <c r="D30" s="362"/>
      <c r="E30" s="362"/>
      <c r="F30" s="362"/>
      <c r="G30" s="224" t="s">
        <v>1243</v>
      </c>
      <c r="H30" s="1010">
        <f ca="1">SUM(H23:H29)</f>
        <v>1193106.6595789474</v>
      </c>
      <c r="I30" s="1011">
        <f t="shared" ref="I30:N30" ca="1" si="5">SUM(I23:I29)</f>
        <v>1234865.3926642104</v>
      </c>
      <c r="J30" s="1011">
        <f t="shared" ca="1" si="5"/>
        <v>1278085.6814074579</v>
      </c>
      <c r="K30" s="1011">
        <f t="shared" ca="1" si="5"/>
        <v>1322818.6802567192</v>
      </c>
      <c r="L30" s="1011">
        <f t="shared" ca="1" si="5"/>
        <v>1369117.3340657041</v>
      </c>
      <c r="M30" s="1011">
        <f t="shared" ca="1" si="5"/>
        <v>1417036.4407580039</v>
      </c>
      <c r="N30" s="1011">
        <f t="shared" ca="1" si="5"/>
        <v>1466632.7161845339</v>
      </c>
      <c r="O30" s="1011">
        <f t="shared" ref="O30:V30" ca="1" si="6">SUM(O23:O29)</f>
        <v>1517964.8612509924</v>
      </c>
      <c r="P30" s="1011">
        <f t="shared" ca="1" si="6"/>
        <v>1571093.6313947774</v>
      </c>
      <c r="Q30" s="1011">
        <f t="shared" ca="1" si="6"/>
        <v>1626081.9084935945</v>
      </c>
      <c r="R30" s="1011">
        <f t="shared" ca="1" si="6"/>
        <v>1682994.7752908706</v>
      </c>
      <c r="S30" s="1011">
        <f t="shared" ca="1" si="6"/>
        <v>1741899.5924260507</v>
      </c>
      <c r="T30" s="1011">
        <f t="shared" ca="1" si="6"/>
        <v>1802866.0781609628</v>
      </c>
      <c r="U30" s="1011">
        <f t="shared" ca="1" si="6"/>
        <v>1865966.3908965958</v>
      </c>
      <c r="V30" s="1012">
        <f t="shared" ca="1" si="6"/>
        <v>1931275.2145779771</v>
      </c>
      <c r="W30" s="1453"/>
    </row>
    <row r="31" spans="2:23" ht="15" thickBot="1">
      <c r="B31" s="628"/>
      <c r="C31" s="226" t="s">
        <v>1244</v>
      </c>
      <c r="D31" s="227"/>
      <c r="E31" s="528"/>
      <c r="F31" s="529"/>
      <c r="G31" s="530"/>
      <c r="H31" s="1013">
        <v>0</v>
      </c>
      <c r="I31" s="1014">
        <v>0</v>
      </c>
      <c r="J31" s="1014">
        <v>0</v>
      </c>
      <c r="K31" s="1014">
        <v>0</v>
      </c>
      <c r="L31" s="1014">
        <v>0</v>
      </c>
      <c r="M31" s="1014">
        <v>0</v>
      </c>
      <c r="N31" s="1014">
        <v>0</v>
      </c>
      <c r="O31" s="1014">
        <v>0</v>
      </c>
      <c r="P31" s="1014">
        <v>0</v>
      </c>
      <c r="Q31" s="1014">
        <v>0</v>
      </c>
      <c r="R31" s="1014">
        <v>0</v>
      </c>
      <c r="S31" s="1014">
        <v>0</v>
      </c>
      <c r="T31" s="1014">
        <v>0</v>
      </c>
      <c r="U31" s="1014">
        <v>0</v>
      </c>
      <c r="V31" s="1015">
        <v>0</v>
      </c>
      <c r="W31" s="1453"/>
    </row>
    <row r="32" spans="2:23" ht="15" thickTop="1">
      <c r="B32" s="628"/>
      <c r="C32" s="221" t="s">
        <v>1245</v>
      </c>
      <c r="D32" s="362"/>
      <c r="E32" s="362"/>
      <c r="F32" s="362"/>
      <c r="G32" s="225" t="s">
        <v>1243</v>
      </c>
      <c r="H32" s="1016">
        <f ca="1">H30+H31</f>
        <v>1193106.6595789474</v>
      </c>
      <c r="I32" s="1017">
        <f t="shared" ref="I32:V32" ca="1" si="7">I30+I31</f>
        <v>1234865.3926642104</v>
      </c>
      <c r="J32" s="1017">
        <f t="shared" ca="1" si="7"/>
        <v>1278085.6814074579</v>
      </c>
      <c r="K32" s="1017">
        <f t="shared" ca="1" si="7"/>
        <v>1322818.6802567192</v>
      </c>
      <c r="L32" s="1017">
        <f t="shared" ca="1" si="7"/>
        <v>1369117.3340657041</v>
      </c>
      <c r="M32" s="1017">
        <f t="shared" ca="1" si="7"/>
        <v>1417036.4407580039</v>
      </c>
      <c r="N32" s="1017">
        <f t="shared" ca="1" si="7"/>
        <v>1466632.7161845339</v>
      </c>
      <c r="O32" s="1017">
        <f t="shared" ca="1" si="7"/>
        <v>1517964.8612509924</v>
      </c>
      <c r="P32" s="1017">
        <f t="shared" ca="1" si="7"/>
        <v>1571093.6313947774</v>
      </c>
      <c r="Q32" s="1017">
        <f t="shared" ca="1" si="7"/>
        <v>1626081.9084935945</v>
      </c>
      <c r="R32" s="1017">
        <f t="shared" ca="1" si="7"/>
        <v>1682994.7752908706</v>
      </c>
      <c r="S32" s="1017">
        <f t="shared" ca="1" si="7"/>
        <v>1741899.5924260507</v>
      </c>
      <c r="T32" s="1017">
        <f t="shared" ca="1" si="7"/>
        <v>1802866.0781609628</v>
      </c>
      <c r="U32" s="1017">
        <f t="shared" ca="1" si="7"/>
        <v>1865966.3908965958</v>
      </c>
      <c r="V32" s="1018">
        <f t="shared" ca="1" si="7"/>
        <v>1931275.2145779771</v>
      </c>
      <c r="W32" s="1453"/>
    </row>
    <row r="33" spans="2:23" ht="15" thickBot="1">
      <c r="B33" s="628"/>
      <c r="C33" s="221"/>
      <c r="D33" s="362"/>
      <c r="E33" s="362"/>
      <c r="F33" s="321"/>
      <c r="G33" s="228" t="s">
        <v>1246</v>
      </c>
      <c r="H33" s="2529"/>
      <c r="I33" s="200"/>
      <c r="J33" s="200"/>
      <c r="K33" s="200"/>
      <c r="L33" s="200"/>
      <c r="M33" s="200"/>
      <c r="N33" s="200"/>
      <c r="O33" s="200"/>
      <c r="P33" s="200"/>
      <c r="Q33" s="200"/>
      <c r="R33" s="200"/>
      <c r="S33" s="200"/>
      <c r="T33" s="200"/>
      <c r="U33" s="200"/>
      <c r="V33" s="210"/>
      <c r="W33" s="1453"/>
    </row>
    <row r="34" spans="2:23">
      <c r="B34" s="628"/>
      <c r="C34" s="229" t="s">
        <v>1247</v>
      </c>
      <c r="D34" s="525"/>
      <c r="E34" s="525"/>
      <c r="F34" s="1458"/>
      <c r="G34" s="684">
        <v>0.05</v>
      </c>
      <c r="H34" s="1019">
        <f t="shared" ref="H34:V34" ca="1" si="8">-H30*$G34</f>
        <v>-59655.332978947372</v>
      </c>
      <c r="I34" s="1020">
        <f t="shared" ca="1" si="8"/>
        <v>-61743.269633210526</v>
      </c>
      <c r="J34" s="1020">
        <f t="shared" ca="1" si="8"/>
        <v>-63904.284070372902</v>
      </c>
      <c r="K34" s="1020">
        <f t="shared" ca="1" si="8"/>
        <v>-66140.934012835962</v>
      </c>
      <c r="L34" s="1020">
        <f t="shared" ca="1" si="8"/>
        <v>-68455.86670328521</v>
      </c>
      <c r="M34" s="1020">
        <f t="shared" ca="1" si="8"/>
        <v>-70851.822037900201</v>
      </c>
      <c r="N34" s="1020">
        <f t="shared" ca="1" si="8"/>
        <v>-73331.635809226704</v>
      </c>
      <c r="O34" s="1020">
        <f t="shared" ca="1" si="8"/>
        <v>-75898.24306254962</v>
      </c>
      <c r="P34" s="1020">
        <f t="shared" ca="1" si="8"/>
        <v>-78554.681569738881</v>
      </c>
      <c r="Q34" s="1020">
        <f t="shared" ca="1" si="8"/>
        <v>-81304.095424679734</v>
      </c>
      <c r="R34" s="1020">
        <f t="shared" ca="1" si="8"/>
        <v>-84149.738764543537</v>
      </c>
      <c r="S34" s="1020">
        <f t="shared" ca="1" si="8"/>
        <v>-87094.97962130254</v>
      </c>
      <c r="T34" s="1020">
        <f t="shared" ca="1" si="8"/>
        <v>-90143.303908048139</v>
      </c>
      <c r="U34" s="1020">
        <f t="shared" ca="1" si="8"/>
        <v>-93298.319544829792</v>
      </c>
      <c r="V34" s="1021">
        <f t="shared" ca="1" si="8"/>
        <v>-96563.760728898866</v>
      </c>
      <c r="W34" s="1453"/>
    </row>
    <row r="35" spans="2:23" ht="15" thickBot="1">
      <c r="B35" s="628"/>
      <c r="C35" s="230" t="s">
        <v>1248</v>
      </c>
      <c r="D35" s="528"/>
      <c r="E35" s="528"/>
      <c r="F35" s="1459"/>
      <c r="G35" s="688">
        <v>0.1</v>
      </c>
      <c r="H35" s="1022">
        <f t="shared" ref="H35:V35" si="9">-H31*$G35</f>
        <v>0</v>
      </c>
      <c r="I35" s="1023">
        <f t="shared" si="9"/>
        <v>0</v>
      </c>
      <c r="J35" s="1023">
        <f t="shared" si="9"/>
        <v>0</v>
      </c>
      <c r="K35" s="1023">
        <f t="shared" si="9"/>
        <v>0</v>
      </c>
      <c r="L35" s="1023">
        <f t="shared" si="9"/>
        <v>0</v>
      </c>
      <c r="M35" s="1023">
        <f t="shared" si="9"/>
        <v>0</v>
      </c>
      <c r="N35" s="1023">
        <f t="shared" si="9"/>
        <v>0</v>
      </c>
      <c r="O35" s="1023">
        <f t="shared" si="9"/>
        <v>0</v>
      </c>
      <c r="P35" s="1023">
        <f t="shared" si="9"/>
        <v>0</v>
      </c>
      <c r="Q35" s="1023">
        <f t="shared" si="9"/>
        <v>0</v>
      </c>
      <c r="R35" s="1023">
        <f t="shared" si="9"/>
        <v>0</v>
      </c>
      <c r="S35" s="1023">
        <f t="shared" si="9"/>
        <v>0</v>
      </c>
      <c r="T35" s="1023">
        <f t="shared" si="9"/>
        <v>0</v>
      </c>
      <c r="U35" s="1023">
        <f t="shared" si="9"/>
        <v>0</v>
      </c>
      <c r="V35" s="1024">
        <f t="shared" si="9"/>
        <v>0</v>
      </c>
      <c r="W35" s="1453"/>
    </row>
    <row r="36" spans="2:23" ht="15.6" thickTop="1" thickBot="1">
      <c r="B36" s="628"/>
      <c r="C36" s="231" t="s">
        <v>1249</v>
      </c>
      <c r="D36" s="362"/>
      <c r="E36" s="362"/>
      <c r="F36" s="362"/>
      <c r="G36" s="224" t="s">
        <v>1243</v>
      </c>
      <c r="H36" s="1025">
        <f ca="1">H32+H34+H35</f>
        <v>1133451.3266</v>
      </c>
      <c r="I36" s="1026">
        <f t="shared" ref="I36:N36" ca="1" si="10">I32+I34+I35</f>
        <v>1173122.1230309999</v>
      </c>
      <c r="J36" s="1026">
        <f t="shared" ca="1" si="10"/>
        <v>1214181.3973370851</v>
      </c>
      <c r="K36" s="1026">
        <f t="shared" ca="1" si="10"/>
        <v>1256677.7462438834</v>
      </c>
      <c r="L36" s="1026">
        <f t="shared" ca="1" si="10"/>
        <v>1300661.467362419</v>
      </c>
      <c r="M36" s="1026">
        <f t="shared" ca="1" si="10"/>
        <v>1346184.6187201038</v>
      </c>
      <c r="N36" s="1026">
        <f t="shared" ca="1" si="10"/>
        <v>1393301.0803753072</v>
      </c>
      <c r="O36" s="1026">
        <f t="shared" ref="O36:V36" ca="1" si="11">O32+O34+O35</f>
        <v>1442066.6181884427</v>
      </c>
      <c r="P36" s="1026">
        <f t="shared" ca="1" si="11"/>
        <v>1492538.9498250387</v>
      </c>
      <c r="Q36" s="1026">
        <f t="shared" ca="1" si="11"/>
        <v>1544777.8130689147</v>
      </c>
      <c r="R36" s="1026">
        <f t="shared" ca="1" si="11"/>
        <v>1598845.036526327</v>
      </c>
      <c r="S36" s="1026">
        <f t="shared" ca="1" si="11"/>
        <v>1654804.6128047481</v>
      </c>
      <c r="T36" s="1026">
        <f t="shared" ca="1" si="11"/>
        <v>1712722.7742529146</v>
      </c>
      <c r="U36" s="1026">
        <f t="shared" ca="1" si="11"/>
        <v>1772668.0713517659</v>
      </c>
      <c r="V36" s="1027">
        <f t="shared" ca="1" si="11"/>
        <v>1834711.4538490782</v>
      </c>
      <c r="W36" s="1453"/>
    </row>
    <row r="37" spans="2:23" ht="7.5" customHeight="1" thickBot="1">
      <c r="B37" s="628"/>
      <c r="C37" s="362"/>
      <c r="D37" s="362"/>
      <c r="E37" s="362"/>
      <c r="F37" s="362"/>
      <c r="G37" s="362"/>
      <c r="H37" s="362"/>
      <c r="I37" s="362"/>
      <c r="J37" s="362"/>
      <c r="K37" s="362"/>
      <c r="L37" s="362"/>
      <c r="M37" s="362"/>
      <c r="N37" s="362"/>
      <c r="O37" s="362"/>
      <c r="P37" s="362"/>
      <c r="Q37" s="362"/>
      <c r="R37" s="362"/>
      <c r="S37" s="362"/>
      <c r="T37" s="362"/>
      <c r="U37" s="362"/>
      <c r="V37" s="362"/>
      <c r="W37" s="1453"/>
    </row>
    <row r="38" spans="2:23" ht="15" thickBot="1">
      <c r="B38" s="628"/>
      <c r="C38" s="223" t="s">
        <v>1250</v>
      </c>
      <c r="D38" s="225"/>
      <c r="E38" s="362"/>
      <c r="F38" s="527"/>
      <c r="G38" s="362"/>
      <c r="H38" s="1599">
        <f>'8B'!F39</f>
        <v>956339.14</v>
      </c>
      <c r="I38" s="1600">
        <f>I99</f>
        <v>989811.00990000006</v>
      </c>
      <c r="J38" s="1600">
        <f t="shared" ref="J38:V38" si="12">J99</f>
        <v>1024454.3952465</v>
      </c>
      <c r="K38" s="1600">
        <f t="shared" si="12"/>
        <v>1060310.2990801276</v>
      </c>
      <c r="L38" s="1600">
        <f t="shared" si="12"/>
        <v>1097421.159547932</v>
      </c>
      <c r="M38" s="1600">
        <f t="shared" si="12"/>
        <v>1135830.9001321096</v>
      </c>
      <c r="N38" s="1600">
        <f t="shared" si="12"/>
        <v>1175584.9816367335</v>
      </c>
      <c r="O38" s="1600">
        <f t="shared" si="12"/>
        <v>1216730.4559940193</v>
      </c>
      <c r="P38" s="1600">
        <f t="shared" si="12"/>
        <v>1259316.02195381</v>
      </c>
      <c r="Q38" s="1600">
        <f t="shared" si="12"/>
        <v>1303392.0827221933</v>
      </c>
      <c r="R38" s="1600">
        <f t="shared" si="12"/>
        <v>1349010.8056174701</v>
      </c>
      <c r="S38" s="1600">
        <f t="shared" si="12"/>
        <v>1396226.1838140816</v>
      </c>
      <c r="T38" s="1600">
        <f t="shared" si="12"/>
        <v>1445094.1002475745</v>
      </c>
      <c r="U38" s="1600">
        <f t="shared" si="12"/>
        <v>1495672.3937562397</v>
      </c>
      <c r="V38" s="1600">
        <f t="shared" si="12"/>
        <v>1548020.9275377081</v>
      </c>
      <c r="W38" s="1453"/>
    </row>
    <row r="39" spans="2:23" ht="7.5" customHeight="1">
      <c r="B39" s="628"/>
      <c r="C39" s="223"/>
      <c r="D39" s="225"/>
      <c r="E39" s="362"/>
      <c r="F39" s="362"/>
      <c r="G39" s="362"/>
      <c r="H39" s="1597"/>
      <c r="I39" s="1597"/>
      <c r="J39" s="1597"/>
      <c r="K39" s="1597"/>
      <c r="L39" s="1597"/>
      <c r="M39" s="1597"/>
      <c r="N39" s="1597"/>
      <c r="O39" s="1597"/>
      <c r="P39" s="1597"/>
      <c r="Q39" s="1597"/>
      <c r="R39" s="1597"/>
      <c r="S39" s="1597"/>
      <c r="T39" s="1597"/>
      <c r="U39" s="1597"/>
      <c r="V39" s="1598"/>
      <c r="W39" s="1453"/>
    </row>
    <row r="40" spans="2:23" ht="15" thickBot="1">
      <c r="B40" s="216"/>
      <c r="C40" s="678" t="s">
        <v>1251</v>
      </c>
      <c r="D40" s="201"/>
      <c r="E40" s="201"/>
      <c r="F40" s="201"/>
      <c r="G40" s="201"/>
      <c r="H40" s="201"/>
      <c r="I40" s="201"/>
      <c r="J40" s="201"/>
      <c r="K40" s="202"/>
      <c r="L40" s="201"/>
      <c r="M40" s="201"/>
      <c r="N40" s="201"/>
      <c r="O40" s="201"/>
      <c r="P40" s="201"/>
      <c r="Q40" s="201"/>
      <c r="R40" s="201"/>
      <c r="S40" s="201"/>
      <c r="T40" s="201"/>
      <c r="U40" s="201"/>
      <c r="V40" s="201"/>
      <c r="W40" s="1453"/>
    </row>
    <row r="41" spans="2:23" ht="15" thickBot="1">
      <c r="B41" s="216"/>
      <c r="C41" s="321"/>
      <c r="D41" s="223"/>
      <c r="E41" s="223"/>
      <c r="F41" s="1963" t="s">
        <v>1252</v>
      </c>
      <c r="G41" s="224" t="s">
        <v>1243</v>
      </c>
      <c r="H41" s="1028">
        <f ca="1">H104</f>
        <v>0</v>
      </c>
      <c r="I41" s="1029">
        <f t="shared" ref="I41:V41" ca="1" si="13">I104</f>
        <v>0</v>
      </c>
      <c r="J41" s="1029">
        <f t="shared" ca="1" si="13"/>
        <v>0</v>
      </c>
      <c r="K41" s="1029">
        <f t="shared" ca="1" si="13"/>
        <v>0</v>
      </c>
      <c r="L41" s="1029">
        <f t="shared" ca="1" si="13"/>
        <v>0</v>
      </c>
      <c r="M41" s="1029">
        <f t="shared" ca="1" si="13"/>
        <v>0</v>
      </c>
      <c r="N41" s="1029">
        <f t="shared" ca="1" si="13"/>
        <v>0</v>
      </c>
      <c r="O41" s="1029">
        <f t="shared" ca="1" si="13"/>
        <v>0</v>
      </c>
      <c r="P41" s="1029">
        <f t="shared" ca="1" si="13"/>
        <v>0</v>
      </c>
      <c r="Q41" s="1029">
        <f t="shared" ca="1" si="13"/>
        <v>0</v>
      </c>
      <c r="R41" s="1029">
        <f t="shared" ca="1" si="13"/>
        <v>0</v>
      </c>
      <c r="S41" s="1029">
        <f t="shared" ca="1" si="13"/>
        <v>0</v>
      </c>
      <c r="T41" s="1029">
        <f t="shared" ca="1" si="13"/>
        <v>0</v>
      </c>
      <c r="U41" s="1029">
        <f t="shared" ca="1" si="13"/>
        <v>0</v>
      </c>
      <c r="V41" s="1030">
        <f t="shared" ca="1" si="13"/>
        <v>0</v>
      </c>
      <c r="W41" s="1453"/>
    </row>
    <row r="42" spans="2:23">
      <c r="B42" s="216"/>
      <c r="C42" s="231"/>
      <c r="D42" s="223"/>
      <c r="E42" s="223"/>
      <c r="F42" s="223"/>
      <c r="G42" s="224"/>
      <c r="H42" s="244"/>
      <c r="I42" s="244"/>
      <c r="J42" s="244"/>
      <c r="K42" s="244"/>
      <c r="L42" s="244"/>
      <c r="M42" s="244"/>
      <c r="N42" s="244"/>
      <c r="O42" s="362"/>
      <c r="P42" s="362"/>
      <c r="Q42" s="362"/>
      <c r="R42" s="362"/>
      <c r="S42" s="362"/>
      <c r="T42" s="362"/>
      <c r="U42" s="362"/>
      <c r="V42" s="362"/>
      <c r="W42" s="1453"/>
    </row>
    <row r="43" spans="2:23" ht="15" thickBot="1">
      <c r="B43" s="628"/>
      <c r="C43" s="2175" t="s">
        <v>1253</v>
      </c>
      <c r="D43" s="2175"/>
      <c r="E43" s="208"/>
      <c r="F43" s="208"/>
      <c r="G43" s="208"/>
      <c r="H43" s="208"/>
      <c r="I43" s="208"/>
      <c r="J43" s="208"/>
      <c r="K43" s="208"/>
      <c r="L43" s="208"/>
      <c r="M43" s="208"/>
      <c r="N43" s="208"/>
      <c r="O43" s="208"/>
      <c r="P43" s="208"/>
      <c r="Q43" s="208"/>
      <c r="R43" s="208"/>
      <c r="S43" s="208"/>
      <c r="T43" s="208"/>
      <c r="U43" s="208"/>
      <c r="V43" s="208"/>
      <c r="W43" s="1453"/>
    </row>
    <row r="44" spans="2:23" ht="15" thickBot="1">
      <c r="B44" s="628"/>
      <c r="C44" s="288" t="s">
        <v>1254</v>
      </c>
      <c r="D44" s="362"/>
      <c r="E44" s="362"/>
      <c r="F44" s="2169" t="s">
        <v>1255</v>
      </c>
      <c r="G44" s="2530"/>
      <c r="H44" s="198" t="s">
        <v>1219</v>
      </c>
      <c r="I44" s="629" t="s">
        <v>1220</v>
      </c>
      <c r="J44" s="629" t="s">
        <v>1221</v>
      </c>
      <c r="K44" s="629" t="s">
        <v>1222</v>
      </c>
      <c r="L44" s="629" t="s">
        <v>1223</v>
      </c>
      <c r="M44" s="629" t="s">
        <v>1224</v>
      </c>
      <c r="N44" s="629" t="s">
        <v>1225</v>
      </c>
      <c r="O44" s="629" t="s">
        <v>1226</v>
      </c>
      <c r="P44" s="629" t="s">
        <v>1227</v>
      </c>
      <c r="Q44" s="629" t="s">
        <v>1228</v>
      </c>
      <c r="R44" s="629" t="s">
        <v>1229</v>
      </c>
      <c r="S44" s="629" t="s">
        <v>1230</v>
      </c>
      <c r="T44" s="629" t="s">
        <v>1231</v>
      </c>
      <c r="U44" s="629" t="s">
        <v>1232</v>
      </c>
      <c r="V44" s="634" t="s">
        <v>1233</v>
      </c>
      <c r="W44" s="1453"/>
    </row>
    <row r="45" spans="2:23">
      <c r="B45" s="628"/>
      <c r="C45" s="2180" t="s">
        <v>1256</v>
      </c>
      <c r="D45" s="2181"/>
      <c r="E45" s="2182"/>
      <c r="F45" s="2176">
        <v>0</v>
      </c>
      <c r="G45" s="2177"/>
      <c r="H45" s="1031">
        <v>0</v>
      </c>
      <c r="I45" s="1032">
        <v>0</v>
      </c>
      <c r="J45" s="1032">
        <v>0</v>
      </c>
      <c r="K45" s="1032">
        <v>0</v>
      </c>
      <c r="L45" s="1032">
        <v>0</v>
      </c>
      <c r="M45" s="1032">
        <v>0</v>
      </c>
      <c r="N45" s="1032">
        <v>0</v>
      </c>
      <c r="O45" s="1032">
        <v>0</v>
      </c>
      <c r="P45" s="1032">
        <v>0</v>
      </c>
      <c r="Q45" s="1032">
        <v>0</v>
      </c>
      <c r="R45" s="1032">
        <v>0</v>
      </c>
      <c r="S45" s="1032">
        <v>0</v>
      </c>
      <c r="T45" s="1032">
        <v>0</v>
      </c>
      <c r="U45" s="1032">
        <v>0</v>
      </c>
      <c r="V45" s="1033">
        <v>0</v>
      </c>
      <c r="W45" s="1453"/>
    </row>
    <row r="46" spans="2:23">
      <c r="B46" s="628"/>
      <c r="C46" s="2183" t="s">
        <v>1257</v>
      </c>
      <c r="D46" s="2184"/>
      <c r="E46" s="2185"/>
      <c r="F46" s="2178">
        <v>0</v>
      </c>
      <c r="G46" s="2179"/>
      <c r="H46" s="1034">
        <v>0</v>
      </c>
      <c r="I46" s="1035">
        <v>0</v>
      </c>
      <c r="J46" s="1035">
        <v>0</v>
      </c>
      <c r="K46" s="1035">
        <v>0</v>
      </c>
      <c r="L46" s="1035">
        <v>0</v>
      </c>
      <c r="M46" s="1035">
        <v>0</v>
      </c>
      <c r="N46" s="1035">
        <v>0</v>
      </c>
      <c r="O46" s="1035">
        <v>0</v>
      </c>
      <c r="P46" s="1035">
        <v>0</v>
      </c>
      <c r="Q46" s="1035">
        <v>0</v>
      </c>
      <c r="R46" s="1035">
        <v>0</v>
      </c>
      <c r="S46" s="1035">
        <v>0</v>
      </c>
      <c r="T46" s="1035">
        <v>0</v>
      </c>
      <c r="U46" s="1035">
        <v>0</v>
      </c>
      <c r="V46" s="1036">
        <v>0</v>
      </c>
      <c r="W46" s="1453"/>
    </row>
    <row r="47" spans="2:23" ht="15" thickBot="1">
      <c r="B47" s="628"/>
      <c r="C47" s="2170" t="s">
        <v>1258</v>
      </c>
      <c r="D47" s="2171"/>
      <c r="E47" s="2172"/>
      <c r="F47" s="2167">
        <v>0</v>
      </c>
      <c r="G47" s="2168"/>
      <c r="H47" s="1037">
        <v>0</v>
      </c>
      <c r="I47" s="1038">
        <v>0</v>
      </c>
      <c r="J47" s="1038">
        <v>0</v>
      </c>
      <c r="K47" s="1038">
        <v>0</v>
      </c>
      <c r="L47" s="1038">
        <v>0</v>
      </c>
      <c r="M47" s="1038">
        <v>0</v>
      </c>
      <c r="N47" s="1038">
        <v>0</v>
      </c>
      <c r="O47" s="1038">
        <v>0</v>
      </c>
      <c r="P47" s="1038">
        <v>0</v>
      </c>
      <c r="Q47" s="1038">
        <v>0</v>
      </c>
      <c r="R47" s="1038">
        <v>0</v>
      </c>
      <c r="S47" s="1038">
        <v>0</v>
      </c>
      <c r="T47" s="1038">
        <v>0</v>
      </c>
      <c r="U47" s="1038">
        <v>0</v>
      </c>
      <c r="V47" s="1039">
        <v>0</v>
      </c>
      <c r="W47" s="1453"/>
    </row>
    <row r="48" spans="2:23" ht="15" thickTop="1">
      <c r="B48" s="628"/>
      <c r="C48" s="532"/>
      <c r="D48" s="532"/>
      <c r="E48" s="532"/>
      <c r="F48" s="533"/>
      <c r="G48" s="534" t="s">
        <v>1259</v>
      </c>
      <c r="H48" s="1040">
        <f>SUM(H45:H47)</f>
        <v>0</v>
      </c>
      <c r="I48" s="1041">
        <f t="shared" ref="I48:N48" si="14">SUM(I45:I47)</f>
        <v>0</v>
      </c>
      <c r="J48" s="1041">
        <f t="shared" si="14"/>
        <v>0</v>
      </c>
      <c r="K48" s="1041">
        <f t="shared" si="14"/>
        <v>0</v>
      </c>
      <c r="L48" s="1041">
        <f t="shared" si="14"/>
        <v>0</v>
      </c>
      <c r="M48" s="1041">
        <f t="shared" si="14"/>
        <v>0</v>
      </c>
      <c r="N48" s="1041">
        <f t="shared" si="14"/>
        <v>0</v>
      </c>
      <c r="O48" s="1041">
        <f>SUM(O45:O47)</f>
        <v>0</v>
      </c>
      <c r="P48" s="1041">
        <f t="shared" ref="P48:V48" si="15">SUM(P45:P47)</f>
        <v>0</v>
      </c>
      <c r="Q48" s="1041">
        <f t="shared" si="15"/>
        <v>0</v>
      </c>
      <c r="R48" s="1041">
        <f t="shared" si="15"/>
        <v>0</v>
      </c>
      <c r="S48" s="1041">
        <f t="shared" si="15"/>
        <v>0</v>
      </c>
      <c r="T48" s="1041">
        <f t="shared" si="15"/>
        <v>0</v>
      </c>
      <c r="U48" s="1041">
        <f t="shared" si="15"/>
        <v>0</v>
      </c>
      <c r="V48" s="1042">
        <f t="shared" si="15"/>
        <v>0</v>
      </c>
      <c r="W48" s="1453"/>
    </row>
    <row r="49" spans="2:23">
      <c r="B49" s="628"/>
      <c r="C49" s="532"/>
      <c r="D49" s="532"/>
      <c r="E49" s="1083"/>
      <c r="F49" s="1963"/>
      <c r="G49" s="1963" t="s">
        <v>1260</v>
      </c>
      <c r="H49" s="1057" t="str">
        <f ca="1">IFERROR(H41/H48,"0 ")</f>
        <v xml:space="preserve">0 </v>
      </c>
      <c r="I49" s="1058" t="str">
        <f ca="1">IFERROR(I41/I48,"0 ")</f>
        <v xml:space="preserve">0 </v>
      </c>
      <c r="J49" s="1058" t="str">
        <f t="shared" ref="J49:V49" ca="1" si="16">IFERROR(J41/J48,"0 ")</f>
        <v xml:space="preserve">0 </v>
      </c>
      <c r="K49" s="1058" t="str">
        <f t="shared" ca="1" si="16"/>
        <v xml:space="preserve">0 </v>
      </c>
      <c r="L49" s="1058" t="str">
        <f t="shared" ca="1" si="16"/>
        <v xml:space="preserve">0 </v>
      </c>
      <c r="M49" s="1058" t="str">
        <f t="shared" ca="1" si="16"/>
        <v xml:space="preserve">0 </v>
      </c>
      <c r="N49" s="1058" t="str">
        <f t="shared" ca="1" si="16"/>
        <v xml:space="preserve">0 </v>
      </c>
      <c r="O49" s="1058" t="str">
        <f t="shared" ca="1" si="16"/>
        <v xml:space="preserve">0 </v>
      </c>
      <c r="P49" s="1058" t="str">
        <f t="shared" ca="1" si="16"/>
        <v xml:space="preserve">0 </v>
      </c>
      <c r="Q49" s="1058" t="str">
        <f t="shared" ca="1" si="16"/>
        <v xml:space="preserve">0 </v>
      </c>
      <c r="R49" s="1058" t="str">
        <f t="shared" ca="1" si="16"/>
        <v xml:space="preserve">0 </v>
      </c>
      <c r="S49" s="1058" t="str">
        <f t="shared" ca="1" si="16"/>
        <v xml:space="preserve">0 </v>
      </c>
      <c r="T49" s="1058" t="str">
        <f t="shared" ca="1" si="16"/>
        <v xml:space="preserve">0 </v>
      </c>
      <c r="U49" s="1058" t="str">
        <f t="shared" ca="1" si="16"/>
        <v xml:space="preserve">0 </v>
      </c>
      <c r="V49" s="1059" t="str">
        <f t="shared" ca="1" si="16"/>
        <v xml:space="preserve">0 </v>
      </c>
      <c r="W49" s="1453"/>
    </row>
    <row r="50" spans="2:23" ht="15" thickBot="1">
      <c r="B50" s="628"/>
      <c r="C50" s="532"/>
      <c r="D50" s="532"/>
      <c r="E50" s="2173" t="s">
        <v>48</v>
      </c>
      <c r="F50" s="2173"/>
      <c r="G50" s="2174"/>
      <c r="H50" s="1043">
        <f ca="1">H41-H48</f>
        <v>0</v>
      </c>
      <c r="I50" s="1044">
        <f t="shared" ref="I50:N50" ca="1" si="17">I41-I48</f>
        <v>0</v>
      </c>
      <c r="J50" s="1044">
        <f t="shared" ca="1" si="17"/>
        <v>0</v>
      </c>
      <c r="K50" s="1044">
        <f ca="1">K41-K48</f>
        <v>0</v>
      </c>
      <c r="L50" s="1044">
        <f t="shared" ca="1" si="17"/>
        <v>0</v>
      </c>
      <c r="M50" s="1044">
        <f t="shared" ca="1" si="17"/>
        <v>0</v>
      </c>
      <c r="N50" s="1044">
        <f t="shared" ca="1" si="17"/>
        <v>0</v>
      </c>
      <c r="O50" s="1044">
        <f ca="1">O41-O48</f>
        <v>0</v>
      </c>
      <c r="P50" s="1044">
        <f t="shared" ref="P50:V50" ca="1" si="18">P41-P48</f>
        <v>0</v>
      </c>
      <c r="Q50" s="1044">
        <f t="shared" ca="1" si="18"/>
        <v>0</v>
      </c>
      <c r="R50" s="1044">
        <f t="shared" ca="1" si="18"/>
        <v>0</v>
      </c>
      <c r="S50" s="1044">
        <f t="shared" ca="1" si="18"/>
        <v>0</v>
      </c>
      <c r="T50" s="1044">
        <f t="shared" ca="1" si="18"/>
        <v>0</v>
      </c>
      <c r="U50" s="1044">
        <f t="shared" ca="1" si="18"/>
        <v>0</v>
      </c>
      <c r="V50" s="1045">
        <f t="shared" ca="1" si="18"/>
        <v>0</v>
      </c>
      <c r="W50" s="1453"/>
    </row>
    <row r="51" spans="2:23" ht="15" customHeight="1" thickBot="1">
      <c r="B51" s="628"/>
      <c r="C51" s="532"/>
      <c r="D51" s="532"/>
      <c r="E51" s="532"/>
      <c r="F51" s="533"/>
      <c r="G51" s="533"/>
      <c r="H51" s="535"/>
      <c r="I51" s="535"/>
      <c r="J51" s="535"/>
      <c r="K51" s="535"/>
      <c r="L51" s="535"/>
      <c r="M51" s="535"/>
      <c r="N51" s="535"/>
      <c r="O51" s="362"/>
      <c r="P51" s="362"/>
      <c r="Q51" s="362"/>
      <c r="R51" s="362"/>
      <c r="S51" s="362"/>
      <c r="T51" s="362"/>
      <c r="U51" s="362"/>
      <c r="V51" s="362"/>
      <c r="W51" s="1453"/>
    </row>
    <row r="52" spans="2:23" ht="15" thickBot="1">
      <c r="B52" s="628"/>
      <c r="C52" s="288" t="s">
        <v>1261</v>
      </c>
      <c r="D52" s="362"/>
      <c r="E52" s="362"/>
      <c r="F52" s="2169" t="s">
        <v>1255</v>
      </c>
      <c r="G52" s="2530"/>
      <c r="H52" s="198" t="s">
        <v>1219</v>
      </c>
      <c r="I52" s="629" t="s">
        <v>1220</v>
      </c>
      <c r="J52" s="629" t="s">
        <v>1221</v>
      </c>
      <c r="K52" s="629" t="s">
        <v>1222</v>
      </c>
      <c r="L52" s="629" t="s">
        <v>1223</v>
      </c>
      <c r="M52" s="629" t="s">
        <v>1224</v>
      </c>
      <c r="N52" s="629" t="s">
        <v>1225</v>
      </c>
      <c r="O52" s="629" t="s">
        <v>1226</v>
      </c>
      <c r="P52" s="629" t="s">
        <v>1227</v>
      </c>
      <c r="Q52" s="629" t="s">
        <v>1228</v>
      </c>
      <c r="R52" s="629" t="s">
        <v>1229</v>
      </c>
      <c r="S52" s="629" t="s">
        <v>1230</v>
      </c>
      <c r="T52" s="629" t="s">
        <v>1231</v>
      </c>
      <c r="U52" s="629" t="s">
        <v>1232</v>
      </c>
      <c r="V52" s="634" t="s">
        <v>1233</v>
      </c>
      <c r="W52" s="1453"/>
    </row>
    <row r="53" spans="2:23">
      <c r="B53" s="628"/>
      <c r="C53" s="2180" t="s">
        <v>1262</v>
      </c>
      <c r="D53" s="2181"/>
      <c r="E53" s="2182"/>
      <c r="F53" s="2176">
        <v>0</v>
      </c>
      <c r="G53" s="2177"/>
      <c r="H53" s="1031">
        <v>0</v>
      </c>
      <c r="I53" s="1032">
        <v>0</v>
      </c>
      <c r="J53" s="1032">
        <v>0</v>
      </c>
      <c r="K53" s="1032">
        <v>0</v>
      </c>
      <c r="L53" s="1032">
        <v>0</v>
      </c>
      <c r="M53" s="1032">
        <v>0</v>
      </c>
      <c r="N53" s="1032">
        <v>0</v>
      </c>
      <c r="O53" s="1032">
        <v>0</v>
      </c>
      <c r="P53" s="1032">
        <v>0</v>
      </c>
      <c r="Q53" s="1032">
        <v>0</v>
      </c>
      <c r="R53" s="1032">
        <v>0</v>
      </c>
      <c r="S53" s="1032">
        <v>0</v>
      </c>
      <c r="T53" s="1032">
        <v>0</v>
      </c>
      <c r="U53" s="1032">
        <v>0</v>
      </c>
      <c r="V53" s="1046">
        <v>0</v>
      </c>
      <c r="W53" s="1453"/>
    </row>
    <row r="54" spans="2:23">
      <c r="B54" s="628"/>
      <c r="C54" s="2201" t="s">
        <v>1263</v>
      </c>
      <c r="D54" s="2202"/>
      <c r="E54" s="2203"/>
      <c r="F54" s="2178">
        <v>0</v>
      </c>
      <c r="G54" s="2179"/>
      <c r="H54" s="1034">
        <v>0</v>
      </c>
      <c r="I54" s="1035">
        <v>0</v>
      </c>
      <c r="J54" s="1035">
        <v>0</v>
      </c>
      <c r="K54" s="1035">
        <v>0</v>
      </c>
      <c r="L54" s="1035">
        <v>0</v>
      </c>
      <c r="M54" s="1035">
        <v>0</v>
      </c>
      <c r="N54" s="1035">
        <v>0</v>
      </c>
      <c r="O54" s="1035">
        <v>0</v>
      </c>
      <c r="P54" s="1035">
        <v>0</v>
      </c>
      <c r="Q54" s="1035">
        <v>0</v>
      </c>
      <c r="R54" s="1035">
        <v>0</v>
      </c>
      <c r="S54" s="1035">
        <v>0</v>
      </c>
      <c r="T54" s="1035">
        <v>0</v>
      </c>
      <c r="U54" s="1035">
        <v>0</v>
      </c>
      <c r="V54" s="1047">
        <v>0</v>
      </c>
      <c r="W54" s="1453"/>
    </row>
    <row r="55" spans="2:23">
      <c r="B55" s="628"/>
      <c r="C55" s="2201" t="s">
        <v>1264</v>
      </c>
      <c r="D55" s="2202"/>
      <c r="E55" s="2203"/>
      <c r="F55" s="2178">
        <v>0</v>
      </c>
      <c r="G55" s="2179"/>
      <c r="H55" s="1034">
        <v>0</v>
      </c>
      <c r="I55" s="1035">
        <v>0</v>
      </c>
      <c r="J55" s="1035">
        <v>0</v>
      </c>
      <c r="K55" s="1035">
        <v>0</v>
      </c>
      <c r="L55" s="1035">
        <v>0</v>
      </c>
      <c r="M55" s="1035">
        <v>0</v>
      </c>
      <c r="N55" s="1035">
        <v>0</v>
      </c>
      <c r="O55" s="1035">
        <v>0</v>
      </c>
      <c r="P55" s="1035">
        <v>0</v>
      </c>
      <c r="Q55" s="1035">
        <v>0</v>
      </c>
      <c r="R55" s="1035">
        <v>0</v>
      </c>
      <c r="S55" s="1035">
        <v>0</v>
      </c>
      <c r="T55" s="1035">
        <v>0</v>
      </c>
      <c r="U55" s="1035">
        <v>0</v>
      </c>
      <c r="V55" s="1047">
        <v>0</v>
      </c>
      <c r="W55" s="1453"/>
    </row>
    <row r="56" spans="2:23" ht="15" thickBot="1">
      <c r="B56" s="628"/>
      <c r="C56" s="2170" t="s">
        <v>1258</v>
      </c>
      <c r="D56" s="2171"/>
      <c r="E56" s="2172"/>
      <c r="F56" s="2167">
        <v>0</v>
      </c>
      <c r="G56" s="2168"/>
      <c r="H56" s="1048">
        <v>0</v>
      </c>
      <c r="I56" s="1049">
        <v>0</v>
      </c>
      <c r="J56" s="1049">
        <v>0</v>
      </c>
      <c r="K56" s="1049">
        <v>0</v>
      </c>
      <c r="L56" s="1049">
        <v>0</v>
      </c>
      <c r="M56" s="1049">
        <v>0</v>
      </c>
      <c r="N56" s="1049">
        <v>0</v>
      </c>
      <c r="O56" s="1049">
        <v>0</v>
      </c>
      <c r="P56" s="1049">
        <v>0</v>
      </c>
      <c r="Q56" s="1049">
        <v>0</v>
      </c>
      <c r="R56" s="1049">
        <v>0</v>
      </c>
      <c r="S56" s="1049">
        <v>0</v>
      </c>
      <c r="T56" s="1049">
        <v>0</v>
      </c>
      <c r="U56" s="1049">
        <v>0</v>
      </c>
      <c r="V56" s="1050">
        <v>0</v>
      </c>
      <c r="W56" s="1453"/>
    </row>
    <row r="57" spans="2:23" ht="15.6" thickTop="1" thickBot="1">
      <c r="B57" s="628"/>
      <c r="C57" s="362"/>
      <c r="D57" s="362"/>
      <c r="E57" s="1085"/>
      <c r="F57" s="1085"/>
      <c r="G57" s="1084" t="s">
        <v>1265</v>
      </c>
      <c r="H57" s="1051">
        <f>SUM(H53:H56)</f>
        <v>0</v>
      </c>
      <c r="I57" s="1052">
        <f t="shared" ref="I57:N57" si="19">SUM(I53:I56)</f>
        <v>0</v>
      </c>
      <c r="J57" s="1052">
        <f t="shared" si="19"/>
        <v>0</v>
      </c>
      <c r="K57" s="1052">
        <f t="shared" si="19"/>
        <v>0</v>
      </c>
      <c r="L57" s="1052">
        <f t="shared" si="19"/>
        <v>0</v>
      </c>
      <c r="M57" s="1052">
        <f t="shared" si="19"/>
        <v>0</v>
      </c>
      <c r="N57" s="1052">
        <f t="shared" si="19"/>
        <v>0</v>
      </c>
      <c r="O57" s="1052">
        <f>SUM(O53:O56)</f>
        <v>0</v>
      </c>
      <c r="P57" s="1052">
        <f t="shared" ref="P57:V57" si="20">SUM(P53:P56)</f>
        <v>0</v>
      </c>
      <c r="Q57" s="1052">
        <f t="shared" si="20"/>
        <v>0</v>
      </c>
      <c r="R57" s="1052">
        <f t="shared" si="20"/>
        <v>0</v>
      </c>
      <c r="S57" s="1052">
        <f t="shared" si="20"/>
        <v>0</v>
      </c>
      <c r="T57" s="1052">
        <f t="shared" si="20"/>
        <v>0</v>
      </c>
      <c r="U57" s="1052">
        <f t="shared" si="20"/>
        <v>0</v>
      </c>
      <c r="V57" s="1053">
        <f t="shared" si="20"/>
        <v>0</v>
      </c>
      <c r="W57" s="1453"/>
    </row>
    <row r="58" spans="2:23" ht="7.5" customHeight="1" thickBot="1">
      <c r="B58" s="628"/>
      <c r="C58" s="362"/>
      <c r="D58" s="362"/>
      <c r="E58" s="1086"/>
      <c r="F58" s="1086"/>
      <c r="G58" s="945"/>
      <c r="H58" s="362"/>
      <c r="I58" s="362"/>
      <c r="J58" s="362"/>
      <c r="K58" s="362"/>
      <c r="L58" s="362"/>
      <c r="M58" s="362"/>
      <c r="N58" s="362"/>
      <c r="O58" s="362"/>
      <c r="P58" s="362"/>
      <c r="Q58" s="362"/>
      <c r="R58" s="362"/>
      <c r="S58" s="362"/>
      <c r="T58" s="362"/>
      <c r="U58" s="362"/>
      <c r="V58" s="362"/>
      <c r="W58" s="1453"/>
    </row>
    <row r="59" spans="2:23">
      <c r="B59" s="628"/>
      <c r="C59" s="362"/>
      <c r="D59" s="362"/>
      <c r="E59" s="231"/>
      <c r="F59" s="231"/>
      <c r="G59" s="1964" t="s">
        <v>1266</v>
      </c>
      <c r="H59" s="1060" t="str">
        <f ca="1">IFERROR(H41/(H48+H57),"0 ")</f>
        <v xml:space="preserve">0 </v>
      </c>
      <c r="I59" s="1061" t="str">
        <f t="shared" ref="I59:V59" ca="1" si="21">IFERROR(I41/(I48+I57),"0 ")</f>
        <v xml:space="preserve">0 </v>
      </c>
      <c r="J59" s="1061" t="str">
        <f t="shared" ca="1" si="21"/>
        <v xml:space="preserve">0 </v>
      </c>
      <c r="K59" s="1061" t="str">
        <f t="shared" ca="1" si="21"/>
        <v xml:space="preserve">0 </v>
      </c>
      <c r="L59" s="1061" t="str">
        <f t="shared" ca="1" si="21"/>
        <v xml:space="preserve">0 </v>
      </c>
      <c r="M59" s="1061" t="str">
        <f t="shared" ca="1" si="21"/>
        <v xml:space="preserve">0 </v>
      </c>
      <c r="N59" s="1061" t="str">
        <f t="shared" ca="1" si="21"/>
        <v xml:space="preserve">0 </v>
      </c>
      <c r="O59" s="1061" t="str">
        <f t="shared" ca="1" si="21"/>
        <v xml:space="preserve">0 </v>
      </c>
      <c r="P59" s="1061" t="str">
        <f t="shared" ca="1" si="21"/>
        <v xml:space="preserve">0 </v>
      </c>
      <c r="Q59" s="1061" t="str">
        <f t="shared" ca="1" si="21"/>
        <v xml:space="preserve">0 </v>
      </c>
      <c r="R59" s="1061" t="str">
        <f t="shared" ca="1" si="21"/>
        <v xml:space="preserve">0 </v>
      </c>
      <c r="S59" s="1061" t="str">
        <f t="shared" ca="1" si="21"/>
        <v xml:space="preserve">0 </v>
      </c>
      <c r="T59" s="1061" t="str">
        <f t="shared" ca="1" si="21"/>
        <v xml:space="preserve">0 </v>
      </c>
      <c r="U59" s="1061" t="str">
        <f t="shared" ca="1" si="21"/>
        <v xml:space="preserve">0 </v>
      </c>
      <c r="V59" s="1062" t="str">
        <f t="shared" ca="1" si="21"/>
        <v xml:space="preserve">0 </v>
      </c>
      <c r="W59" s="1453"/>
    </row>
    <row r="60" spans="2:23" ht="15" thickBot="1">
      <c r="B60" s="628"/>
      <c r="C60" s="362"/>
      <c r="D60" s="362"/>
      <c r="E60" s="231"/>
      <c r="F60" s="247"/>
      <c r="G60" s="1964" t="s">
        <v>1267</v>
      </c>
      <c r="H60" s="1054">
        <f t="shared" ref="H60:O60" ca="1" si="22">H50-H57</f>
        <v>0</v>
      </c>
      <c r="I60" s="1055">
        <f t="shared" ca="1" si="22"/>
        <v>0</v>
      </c>
      <c r="J60" s="1055">
        <f t="shared" ca="1" si="22"/>
        <v>0</v>
      </c>
      <c r="K60" s="1055">
        <f t="shared" ca="1" si="22"/>
        <v>0</v>
      </c>
      <c r="L60" s="1055">
        <f t="shared" ca="1" si="22"/>
        <v>0</v>
      </c>
      <c r="M60" s="1055">
        <f t="shared" ca="1" si="22"/>
        <v>0</v>
      </c>
      <c r="N60" s="1055">
        <f t="shared" ca="1" si="22"/>
        <v>0</v>
      </c>
      <c r="O60" s="1055">
        <f t="shared" ca="1" si="22"/>
        <v>0</v>
      </c>
      <c r="P60" s="1055">
        <f t="shared" ref="P60:U60" ca="1" si="23">P50-P57</f>
        <v>0</v>
      </c>
      <c r="Q60" s="1055">
        <f t="shared" ca="1" si="23"/>
        <v>0</v>
      </c>
      <c r="R60" s="1055">
        <f t="shared" ca="1" si="23"/>
        <v>0</v>
      </c>
      <c r="S60" s="1055">
        <f t="shared" ca="1" si="23"/>
        <v>0</v>
      </c>
      <c r="T60" s="1055">
        <f t="shared" ca="1" si="23"/>
        <v>0</v>
      </c>
      <c r="U60" s="1055">
        <f t="shared" ca="1" si="23"/>
        <v>0</v>
      </c>
      <c r="V60" s="1056">
        <f ca="1">V50-V57</f>
        <v>0</v>
      </c>
      <c r="W60" s="1453"/>
    </row>
    <row r="61" spans="2:23" ht="9" customHeight="1" thickBot="1">
      <c r="B61" s="2531"/>
      <c r="C61" s="2532"/>
      <c r="D61" s="2533"/>
      <c r="E61" s="2532"/>
      <c r="F61" s="2532"/>
      <c r="G61" s="2532"/>
      <c r="H61" s="2532"/>
      <c r="I61" s="2532"/>
      <c r="J61" s="2532"/>
      <c r="K61" s="2532"/>
      <c r="L61" s="2532"/>
      <c r="M61" s="2532"/>
      <c r="N61" s="2532"/>
      <c r="O61" s="625"/>
      <c r="P61" s="1460"/>
      <c r="Q61" s="2534"/>
      <c r="R61" s="2534"/>
      <c r="S61" s="2534"/>
      <c r="T61" s="2534"/>
      <c r="U61" s="2534"/>
      <c r="V61" s="2534"/>
      <c r="W61" s="2535"/>
    </row>
    <row r="62" spans="2:23" ht="9" customHeight="1">
      <c r="B62" s="211"/>
      <c r="C62" s="626"/>
      <c r="D62" s="626"/>
      <c r="E62" s="626"/>
      <c r="F62" s="626"/>
      <c r="G62" s="626"/>
      <c r="H62" s="626"/>
      <c r="I62" s="626"/>
      <c r="J62" s="626"/>
      <c r="K62" s="626"/>
      <c r="L62" s="626"/>
      <c r="M62" s="626"/>
      <c r="N62" s="626"/>
      <c r="O62" s="626"/>
      <c r="P62" s="626"/>
      <c r="Q62" s="626"/>
      <c r="R62" s="626"/>
      <c r="S62" s="626"/>
      <c r="T62" s="626"/>
      <c r="U62" s="626"/>
      <c r="V62" s="626"/>
      <c r="W62" s="212"/>
    </row>
    <row r="63" spans="2:23" ht="18.600000000000001">
      <c r="B63" s="213"/>
      <c r="C63" s="1954" t="s">
        <v>1268</v>
      </c>
      <c r="D63" s="1954"/>
      <c r="E63" s="1954"/>
      <c r="F63" s="1954"/>
      <c r="G63" s="1954"/>
      <c r="H63" s="1954"/>
      <c r="I63" s="1954"/>
      <c r="J63" s="1954"/>
      <c r="K63" s="1954"/>
      <c r="L63" s="1954"/>
      <c r="M63" s="1954"/>
      <c r="N63" s="599"/>
      <c r="O63" s="599"/>
      <c r="P63" s="599"/>
      <c r="Q63" s="599"/>
      <c r="R63" s="599"/>
      <c r="S63" s="599"/>
      <c r="T63" s="599"/>
      <c r="U63" s="599"/>
      <c r="V63" s="599"/>
      <c r="W63" s="215"/>
    </row>
    <row r="64" spans="2:23" ht="7.5" customHeight="1">
      <c r="B64" s="213"/>
      <c r="C64" s="214"/>
      <c r="D64" s="214"/>
      <c r="E64" s="214"/>
      <c r="F64" s="214"/>
      <c r="G64" s="214"/>
      <c r="H64" s="214"/>
      <c r="I64" s="214"/>
      <c r="J64" s="214"/>
      <c r="K64" s="214"/>
      <c r="L64" s="214"/>
      <c r="M64" s="214"/>
      <c r="N64" s="214"/>
      <c r="O64" s="214"/>
      <c r="P64" s="214"/>
      <c r="Q64" s="214"/>
      <c r="R64" s="214"/>
      <c r="S64" s="214"/>
      <c r="T64" s="214"/>
      <c r="U64" s="214"/>
      <c r="V64" s="214"/>
      <c r="W64" s="215"/>
    </row>
    <row r="65" spans="2:23" ht="15" thickBot="1">
      <c r="B65" s="213"/>
      <c r="C65" s="2536" t="str">
        <f>IF('1'!G5="","Enter Project Name on Form 1",(CONCATENATE("Project Name: ",'1'!G5)))</f>
        <v>Project Name: DESC 22nd Avenue PSH</v>
      </c>
      <c r="D65" s="2537"/>
      <c r="E65" s="2537"/>
      <c r="F65" s="2537"/>
      <c r="G65" s="2537"/>
      <c r="H65" s="2537"/>
      <c r="I65" s="2537"/>
      <c r="J65" s="2538"/>
      <c r="K65" s="2539"/>
      <c r="L65" s="2540"/>
      <c r="M65" s="2540"/>
      <c r="N65" s="425"/>
      <c r="O65" s="425"/>
      <c r="P65" s="425"/>
      <c r="Q65" s="425"/>
      <c r="R65" s="425"/>
      <c r="S65" s="425"/>
      <c r="T65" s="425"/>
      <c r="U65" s="425"/>
      <c r="V65" s="425"/>
      <c r="W65" s="215"/>
    </row>
    <row r="66" spans="2:23" ht="3.75" customHeight="1">
      <c r="B66" s="213"/>
      <c r="C66" s="425"/>
      <c r="D66" s="425"/>
      <c r="E66" s="425"/>
      <c r="F66" s="425"/>
      <c r="G66" s="425"/>
      <c r="H66" s="362"/>
      <c r="I66" s="362"/>
      <c r="J66" s="362"/>
      <c r="K66" s="362"/>
      <c r="L66" s="425"/>
      <c r="M66" s="425"/>
      <c r="N66" s="425"/>
      <c r="O66" s="425"/>
      <c r="P66" s="425"/>
      <c r="Q66" s="425"/>
      <c r="R66" s="425"/>
      <c r="S66" s="425"/>
      <c r="T66" s="425"/>
      <c r="U66" s="425"/>
      <c r="V66" s="425"/>
      <c r="W66" s="215"/>
    </row>
    <row r="67" spans="2:23">
      <c r="B67" s="216"/>
      <c r="C67" s="425" t="s">
        <v>1217</v>
      </c>
      <c r="D67" s="635">
        <v>42989</v>
      </c>
      <c r="E67" s="214"/>
      <c r="F67" s="214"/>
      <c r="G67" s="214"/>
      <c r="H67" s="217"/>
      <c r="I67" s="217"/>
      <c r="J67" s="217"/>
      <c r="K67" s="217"/>
      <c r="L67" s="217"/>
      <c r="M67" s="218"/>
      <c r="N67" s="217"/>
      <c r="O67" s="217"/>
      <c r="P67" s="217"/>
      <c r="Q67" s="217"/>
      <c r="R67" s="217"/>
      <c r="S67" s="217"/>
      <c r="T67" s="217"/>
      <c r="U67" s="217"/>
      <c r="V67" s="217"/>
      <c r="W67" s="219"/>
    </row>
    <row r="68" spans="2:23" ht="7.5" customHeight="1" thickBot="1">
      <c r="B68" s="628"/>
      <c r="C68" s="362"/>
      <c r="D68" s="362"/>
      <c r="E68" s="362"/>
      <c r="F68" s="362"/>
      <c r="G68" s="362"/>
      <c r="H68" s="362"/>
      <c r="I68" s="362"/>
      <c r="J68" s="362"/>
      <c r="K68" s="362"/>
      <c r="L68" s="362"/>
      <c r="M68" s="362"/>
      <c r="N68" s="362"/>
      <c r="O68" s="362"/>
      <c r="P68" s="362"/>
      <c r="Q68" s="362"/>
      <c r="R68" s="362"/>
      <c r="S68" s="362"/>
      <c r="T68" s="362"/>
      <c r="U68" s="362"/>
      <c r="V68" s="362"/>
      <c r="W68" s="636"/>
    </row>
    <row r="69" spans="2:23" ht="24.6" thickBot="1">
      <c r="B69" s="216"/>
      <c r="C69" s="221" t="s">
        <v>1269</v>
      </c>
      <c r="D69" s="214"/>
      <c r="E69" s="232"/>
      <c r="F69" s="2541" t="s">
        <v>1235</v>
      </c>
      <c r="G69" s="203" t="s">
        <v>1270</v>
      </c>
      <c r="H69" s="198" t="s">
        <v>1219</v>
      </c>
      <c r="I69" s="629" t="s">
        <v>1220</v>
      </c>
      <c r="J69" s="629" t="s">
        <v>1221</v>
      </c>
      <c r="K69" s="629" t="s">
        <v>1222</v>
      </c>
      <c r="L69" s="629" t="s">
        <v>1223</v>
      </c>
      <c r="M69" s="629" t="s">
        <v>1224</v>
      </c>
      <c r="N69" s="629" t="s">
        <v>1225</v>
      </c>
      <c r="O69" s="629" t="s">
        <v>1226</v>
      </c>
      <c r="P69" s="629" t="s">
        <v>1227</v>
      </c>
      <c r="Q69" s="629" t="s">
        <v>1228</v>
      </c>
      <c r="R69" s="629" t="s">
        <v>1229</v>
      </c>
      <c r="S69" s="629" t="s">
        <v>1230</v>
      </c>
      <c r="T69" s="629" t="s">
        <v>1231</v>
      </c>
      <c r="U69" s="629" t="s">
        <v>1232</v>
      </c>
      <c r="V69" s="209" t="s">
        <v>1233</v>
      </c>
      <c r="W69" s="1453"/>
    </row>
    <row r="70" spans="2:23">
      <c r="B70" s="216"/>
      <c r="C70" s="233" t="s">
        <v>1271</v>
      </c>
      <c r="D70" s="234"/>
      <c r="E70" s="679"/>
      <c r="F70" s="684">
        <v>3.5000000000000003E-2</v>
      </c>
      <c r="G70" s="1524">
        <f>IFERROR(H70/'2A'!$L$22,"")</f>
        <v>3332.871962222222</v>
      </c>
      <c r="H70" s="1851">
        <f>'8C'!L25</f>
        <v>299958.47659999999</v>
      </c>
      <c r="I70" s="1063">
        <f t="shared" ref="I70:V70" si="24">H70+(H70*$F70)</f>
        <v>310457.02328099997</v>
      </c>
      <c r="J70" s="1063">
        <f t="shared" si="24"/>
        <v>321323.01909583498</v>
      </c>
      <c r="K70" s="1063">
        <f t="shared" si="24"/>
        <v>332569.32476418919</v>
      </c>
      <c r="L70" s="1063">
        <f t="shared" si="24"/>
        <v>344209.25113093579</v>
      </c>
      <c r="M70" s="1063">
        <f t="shared" si="24"/>
        <v>356256.57492051856</v>
      </c>
      <c r="N70" s="1063">
        <f t="shared" si="24"/>
        <v>368725.5550427367</v>
      </c>
      <c r="O70" s="1063">
        <f t="shared" si="24"/>
        <v>381630.94946923247</v>
      </c>
      <c r="P70" s="1063">
        <f t="shared" si="24"/>
        <v>394988.03270065563</v>
      </c>
      <c r="Q70" s="1063">
        <f t="shared" si="24"/>
        <v>408812.61384517857</v>
      </c>
      <c r="R70" s="1063">
        <f t="shared" si="24"/>
        <v>423121.05532975984</v>
      </c>
      <c r="S70" s="1063">
        <f t="shared" si="24"/>
        <v>437930.29226630146</v>
      </c>
      <c r="T70" s="1063">
        <f t="shared" si="24"/>
        <v>453257.85249562201</v>
      </c>
      <c r="U70" s="1063">
        <f t="shared" si="24"/>
        <v>469121.87733296875</v>
      </c>
      <c r="V70" s="1064">
        <f t="shared" si="24"/>
        <v>485541.14303962264</v>
      </c>
      <c r="W70" s="1453"/>
    </row>
    <row r="71" spans="2:23">
      <c r="B71" s="235"/>
      <c r="C71" s="236" t="s">
        <v>1272</v>
      </c>
      <c r="D71" s="237"/>
      <c r="E71" s="680"/>
      <c r="F71" s="685">
        <v>3.5000000000000003E-2</v>
      </c>
      <c r="G71" s="1525">
        <f>IFERROR(H71/'2A'!$L$22,"")</f>
        <v>352.36500000000001</v>
      </c>
      <c r="H71" s="1852">
        <f>'8C'!L26</f>
        <v>31712.85</v>
      </c>
      <c r="I71" s="1066">
        <f t="shared" ref="I71:V71" si="25">H71+(H71*$F71)</f>
        <v>32822.799749999998</v>
      </c>
      <c r="J71" s="1066">
        <f t="shared" si="25"/>
        <v>33971.59774125</v>
      </c>
      <c r="K71" s="1066">
        <f t="shared" si="25"/>
        <v>35160.603662193753</v>
      </c>
      <c r="L71" s="1066">
        <f t="shared" si="25"/>
        <v>36391.224790370536</v>
      </c>
      <c r="M71" s="1066">
        <f t="shared" si="25"/>
        <v>37664.917658033504</v>
      </c>
      <c r="N71" s="1066">
        <f t="shared" si="25"/>
        <v>38983.189776064675</v>
      </c>
      <c r="O71" s="1066">
        <f t="shared" si="25"/>
        <v>40347.601418226935</v>
      </c>
      <c r="P71" s="1066">
        <f t="shared" si="25"/>
        <v>41759.767467864876</v>
      </c>
      <c r="Q71" s="1066">
        <f t="shared" si="25"/>
        <v>43221.359329240149</v>
      </c>
      <c r="R71" s="1066">
        <f t="shared" si="25"/>
        <v>44734.106905763554</v>
      </c>
      <c r="S71" s="1066">
        <f t="shared" si="25"/>
        <v>46299.800647465279</v>
      </c>
      <c r="T71" s="1066">
        <f t="shared" si="25"/>
        <v>47920.293670126564</v>
      </c>
      <c r="U71" s="1066">
        <f t="shared" si="25"/>
        <v>49597.503948580998</v>
      </c>
      <c r="V71" s="1067">
        <f t="shared" si="25"/>
        <v>51333.416586781335</v>
      </c>
      <c r="W71" s="1453"/>
    </row>
    <row r="72" spans="2:23">
      <c r="B72" s="216"/>
      <c r="C72" s="236" t="s">
        <v>1273</v>
      </c>
      <c r="D72" s="237"/>
      <c r="E72" s="680"/>
      <c r="F72" s="685">
        <v>3.5000000000000003E-2</v>
      </c>
      <c r="G72" s="1525">
        <f>IFERROR(H72/'2A'!$L$22,"")</f>
        <v>183.64444444444445</v>
      </c>
      <c r="H72" s="1065">
        <f>10300+6228</f>
        <v>16528</v>
      </c>
      <c r="I72" s="1066">
        <f t="shared" ref="I72:V72" si="26">H72+(H72*$F72)</f>
        <v>17106.48</v>
      </c>
      <c r="J72" s="1066">
        <f t="shared" si="26"/>
        <v>17705.2068</v>
      </c>
      <c r="K72" s="1066">
        <f t="shared" si="26"/>
        <v>18324.889038000001</v>
      </c>
      <c r="L72" s="1066">
        <f t="shared" si="26"/>
        <v>18966.260154330001</v>
      </c>
      <c r="M72" s="1066">
        <f t="shared" si="26"/>
        <v>19630.079259731552</v>
      </c>
      <c r="N72" s="1066">
        <f t="shared" si="26"/>
        <v>20317.132033822156</v>
      </c>
      <c r="O72" s="1066">
        <f t="shared" si="26"/>
        <v>21028.231655005933</v>
      </c>
      <c r="P72" s="1066">
        <f t="shared" si="26"/>
        <v>21764.219762931141</v>
      </c>
      <c r="Q72" s="1066">
        <f t="shared" si="26"/>
        <v>22525.96745463373</v>
      </c>
      <c r="R72" s="1066">
        <f t="shared" si="26"/>
        <v>23314.376315545909</v>
      </c>
      <c r="S72" s="1066">
        <f t="shared" si="26"/>
        <v>24130.379486590016</v>
      </c>
      <c r="T72" s="1066">
        <f t="shared" si="26"/>
        <v>24974.942768620665</v>
      </c>
      <c r="U72" s="1066">
        <f t="shared" si="26"/>
        <v>25849.065765522388</v>
      </c>
      <c r="V72" s="1067">
        <f t="shared" si="26"/>
        <v>26753.783067315671</v>
      </c>
      <c r="W72" s="1453"/>
    </row>
    <row r="73" spans="2:23">
      <c r="B73" s="216"/>
      <c r="C73" s="236" t="s">
        <v>1274</v>
      </c>
      <c r="D73" s="238"/>
      <c r="E73" s="680"/>
      <c r="F73" s="685">
        <v>3.5000000000000003E-2</v>
      </c>
      <c r="G73" s="1525">
        <f>IFERROR(H73/'2A'!$L$22,"")</f>
        <v>10.266666666666667</v>
      </c>
      <c r="H73" s="1065">
        <v>924</v>
      </c>
      <c r="I73" s="1066">
        <f t="shared" ref="I73:V73" si="27">H73+(H73*$F73)</f>
        <v>956.34</v>
      </c>
      <c r="J73" s="1066">
        <f t="shared" si="27"/>
        <v>989.81190000000004</v>
      </c>
      <c r="K73" s="1066">
        <f>J73+(J73*$F73)</f>
        <v>1024.4553165</v>
      </c>
      <c r="L73" s="1066">
        <f t="shared" si="27"/>
        <v>1060.3112525775</v>
      </c>
      <c r="M73" s="1066">
        <f t="shared" si="27"/>
        <v>1097.4221464177126</v>
      </c>
      <c r="N73" s="1066">
        <f t="shared" si="27"/>
        <v>1135.8319215423326</v>
      </c>
      <c r="O73" s="1066">
        <f t="shared" si="27"/>
        <v>1175.5860387963141</v>
      </c>
      <c r="P73" s="1066">
        <f t="shared" si="27"/>
        <v>1216.7315501541852</v>
      </c>
      <c r="Q73" s="1066">
        <f t="shared" si="27"/>
        <v>1259.3171544095817</v>
      </c>
      <c r="R73" s="1066">
        <f t="shared" si="27"/>
        <v>1303.3932548139171</v>
      </c>
      <c r="S73" s="1066">
        <f t="shared" si="27"/>
        <v>1349.0120187324042</v>
      </c>
      <c r="T73" s="1066">
        <f t="shared" si="27"/>
        <v>1396.2274393880384</v>
      </c>
      <c r="U73" s="1066">
        <f t="shared" si="27"/>
        <v>1445.0953997666197</v>
      </c>
      <c r="V73" s="1067">
        <f t="shared" si="27"/>
        <v>1495.6737387584515</v>
      </c>
      <c r="W73" s="1453"/>
    </row>
    <row r="74" spans="2:23">
      <c r="B74" s="216"/>
      <c r="C74" s="236" t="s">
        <v>1275</v>
      </c>
      <c r="D74" s="237"/>
      <c r="E74" s="680"/>
      <c r="F74" s="685">
        <v>3.5000000000000003E-2</v>
      </c>
      <c r="G74" s="1525">
        <f>IFERROR(H74/'2A'!$L$22,"")</f>
        <v>248.22222222222223</v>
      </c>
      <c r="H74" s="1065">
        <f>3345+15269+3726</f>
        <v>22340</v>
      </c>
      <c r="I74" s="1066">
        <f t="shared" ref="I74:V74" si="28">H74+(H74*$F74)</f>
        <v>23121.9</v>
      </c>
      <c r="J74" s="1066">
        <f t="shared" si="28"/>
        <v>23931.166500000003</v>
      </c>
      <c r="K74" s="1066">
        <f t="shared" si="28"/>
        <v>24768.757327500003</v>
      </c>
      <c r="L74" s="1066">
        <f t="shared" si="28"/>
        <v>25635.663833962502</v>
      </c>
      <c r="M74" s="1066">
        <f t="shared" si="28"/>
        <v>26532.912068151189</v>
      </c>
      <c r="N74" s="1066">
        <f t="shared" si="28"/>
        <v>27461.563990536481</v>
      </c>
      <c r="O74" s="1066">
        <f t="shared" si="28"/>
        <v>28422.718730205259</v>
      </c>
      <c r="P74" s="1066">
        <f t="shared" si="28"/>
        <v>29417.513885762444</v>
      </c>
      <c r="Q74" s="1066">
        <f t="shared" si="28"/>
        <v>30447.126871764129</v>
      </c>
      <c r="R74" s="1066">
        <f t="shared" si="28"/>
        <v>31512.776312275873</v>
      </c>
      <c r="S74" s="1066">
        <f t="shared" si="28"/>
        <v>32615.723483205529</v>
      </c>
      <c r="T74" s="1066">
        <f t="shared" si="28"/>
        <v>33757.273805117722</v>
      </c>
      <c r="U74" s="1066">
        <f t="shared" si="28"/>
        <v>34938.778388296843</v>
      </c>
      <c r="V74" s="1067">
        <f t="shared" si="28"/>
        <v>36161.635631887235</v>
      </c>
      <c r="W74" s="1453"/>
    </row>
    <row r="75" spans="2:23">
      <c r="B75" s="216"/>
      <c r="C75" s="236" t="s">
        <v>1276</v>
      </c>
      <c r="D75" s="237"/>
      <c r="E75" s="680"/>
      <c r="F75" s="685">
        <v>3.5000000000000003E-2</v>
      </c>
      <c r="G75" s="1525">
        <f>IFERROR(H75/'2A'!$L$22,"")</f>
        <v>183.56666666666666</v>
      </c>
      <c r="H75" s="1065">
        <v>16521</v>
      </c>
      <c r="I75" s="1066">
        <f t="shared" ref="I75:V75" si="29">H75+(H75*$F75)</f>
        <v>17099.235000000001</v>
      </c>
      <c r="J75" s="1066">
        <f t="shared" si="29"/>
        <v>17697.708225000002</v>
      </c>
      <c r="K75" s="1066">
        <f t="shared" si="29"/>
        <v>18317.128012875</v>
      </c>
      <c r="L75" s="1066">
        <f t="shared" si="29"/>
        <v>18958.227493325627</v>
      </c>
      <c r="M75" s="1066">
        <f t="shared" si="29"/>
        <v>19621.765455592023</v>
      </c>
      <c r="N75" s="1066">
        <f t="shared" si="29"/>
        <v>20308.527246537746</v>
      </c>
      <c r="O75" s="1066">
        <f t="shared" si="29"/>
        <v>21019.325700166566</v>
      </c>
      <c r="P75" s="1066">
        <f t="shared" si="29"/>
        <v>21755.002099672394</v>
      </c>
      <c r="Q75" s="1066">
        <f t="shared" si="29"/>
        <v>22516.42717316093</v>
      </c>
      <c r="R75" s="1066">
        <f t="shared" si="29"/>
        <v>23304.502124221563</v>
      </c>
      <c r="S75" s="1066">
        <f t="shared" si="29"/>
        <v>24120.159698569318</v>
      </c>
      <c r="T75" s="1066">
        <f t="shared" si="29"/>
        <v>24964.365288019242</v>
      </c>
      <c r="U75" s="1066">
        <f t="shared" si="29"/>
        <v>25838.118073099915</v>
      </c>
      <c r="V75" s="1067">
        <f t="shared" si="29"/>
        <v>26742.452205658414</v>
      </c>
      <c r="W75" s="1453"/>
    </row>
    <row r="76" spans="2:23">
      <c r="B76" s="216"/>
      <c r="C76" s="236" t="s">
        <v>1277</v>
      </c>
      <c r="D76" s="237"/>
      <c r="E76" s="680"/>
      <c r="F76" s="685">
        <v>3.5000000000000003E-2</v>
      </c>
      <c r="G76" s="1525">
        <f>IFERROR(H76/'2A'!$L$22,"")</f>
        <v>0</v>
      </c>
      <c r="H76" s="1065"/>
      <c r="I76" s="1066">
        <f t="shared" ref="I76:V76" si="30">H76+(H76*$F76)</f>
        <v>0</v>
      </c>
      <c r="J76" s="1066">
        <f t="shared" si="30"/>
        <v>0</v>
      </c>
      <c r="K76" s="1066">
        <f t="shared" si="30"/>
        <v>0</v>
      </c>
      <c r="L76" s="1066">
        <f t="shared" si="30"/>
        <v>0</v>
      </c>
      <c r="M76" s="1066">
        <f t="shared" si="30"/>
        <v>0</v>
      </c>
      <c r="N76" s="1066">
        <f t="shared" si="30"/>
        <v>0</v>
      </c>
      <c r="O76" s="1066">
        <f t="shared" si="30"/>
        <v>0</v>
      </c>
      <c r="P76" s="1066">
        <f t="shared" si="30"/>
        <v>0</v>
      </c>
      <c r="Q76" s="1066">
        <f t="shared" si="30"/>
        <v>0</v>
      </c>
      <c r="R76" s="1066">
        <f t="shared" si="30"/>
        <v>0</v>
      </c>
      <c r="S76" s="1066">
        <f t="shared" si="30"/>
        <v>0</v>
      </c>
      <c r="T76" s="1066">
        <f t="shared" si="30"/>
        <v>0</v>
      </c>
      <c r="U76" s="1066">
        <f t="shared" si="30"/>
        <v>0</v>
      </c>
      <c r="V76" s="1067">
        <f t="shared" si="30"/>
        <v>0</v>
      </c>
      <c r="W76" s="1453"/>
    </row>
    <row r="77" spans="2:23">
      <c r="B77" s="216"/>
      <c r="C77" s="236" t="s">
        <v>1278</v>
      </c>
      <c r="D77" s="238"/>
      <c r="E77" s="680"/>
      <c r="F77" s="685">
        <v>3.5000000000000003E-2</v>
      </c>
      <c r="G77" s="1525">
        <f>IFERROR(H77/'2A'!$L$22,"")</f>
        <v>13.266666666666667</v>
      </c>
      <c r="H77" s="1065">
        <v>1194</v>
      </c>
      <c r="I77" s="1066">
        <f t="shared" ref="I77:V77" si="31">H77+(H77*$F77)</f>
        <v>1235.79</v>
      </c>
      <c r="J77" s="1066">
        <f t="shared" si="31"/>
        <v>1279.0426499999999</v>
      </c>
      <c r="K77" s="1066">
        <f t="shared" si="31"/>
        <v>1323.8091427499999</v>
      </c>
      <c r="L77" s="1066">
        <f t="shared" si="31"/>
        <v>1370.1424627462497</v>
      </c>
      <c r="M77" s="1066">
        <f t="shared" si="31"/>
        <v>1418.0974489423686</v>
      </c>
      <c r="N77" s="1066">
        <f t="shared" si="31"/>
        <v>1467.7308596553514</v>
      </c>
      <c r="O77" s="1066">
        <f t="shared" si="31"/>
        <v>1519.1014397432887</v>
      </c>
      <c r="P77" s="1066">
        <f t="shared" si="31"/>
        <v>1572.2699901343037</v>
      </c>
      <c r="Q77" s="1066">
        <f t="shared" si="31"/>
        <v>1627.2994397890043</v>
      </c>
      <c r="R77" s="1066">
        <f t="shared" si="31"/>
        <v>1684.2549201816194</v>
      </c>
      <c r="S77" s="1066">
        <f t="shared" si="31"/>
        <v>1743.203842387976</v>
      </c>
      <c r="T77" s="1066">
        <f t="shared" si="31"/>
        <v>1804.2159768715551</v>
      </c>
      <c r="U77" s="1066">
        <f t="shared" si="31"/>
        <v>1867.3635360620594</v>
      </c>
      <c r="V77" s="1067">
        <f t="shared" si="31"/>
        <v>1932.7212598242315</v>
      </c>
      <c r="W77" s="1453"/>
    </row>
    <row r="78" spans="2:23">
      <c r="B78" s="216"/>
      <c r="C78" s="236" t="s">
        <v>1279</v>
      </c>
      <c r="D78" s="237"/>
      <c r="E78" s="680"/>
      <c r="F78" s="685">
        <v>3.5000000000000003E-2</v>
      </c>
      <c r="G78" s="1525">
        <f>IFERROR(H78/'2A'!$L$22,"")</f>
        <v>561.70000000000005</v>
      </c>
      <c r="H78" s="1065">
        <f>25714+20938+1030+835+2036</f>
        <v>50553</v>
      </c>
      <c r="I78" s="1066">
        <f t="shared" ref="I78:V78" si="32">H78+(H78*$F78)</f>
        <v>52322.355000000003</v>
      </c>
      <c r="J78" s="1066">
        <f t="shared" si="32"/>
        <v>54153.637425000001</v>
      </c>
      <c r="K78" s="1066">
        <f t="shared" si="32"/>
        <v>56049.014734875003</v>
      </c>
      <c r="L78" s="1066">
        <f t="shared" si="32"/>
        <v>58010.730250595632</v>
      </c>
      <c r="M78" s="1066">
        <f t="shared" si="32"/>
        <v>60041.105809366476</v>
      </c>
      <c r="N78" s="1066">
        <f t="shared" si="32"/>
        <v>62142.544512694301</v>
      </c>
      <c r="O78" s="1066">
        <f t="shared" si="32"/>
        <v>64317.533570638603</v>
      </c>
      <c r="P78" s="1066">
        <f t="shared" si="32"/>
        <v>66568.647245610948</v>
      </c>
      <c r="Q78" s="1066">
        <f t="shared" si="32"/>
        <v>68898.549899207326</v>
      </c>
      <c r="R78" s="1066">
        <f t="shared" si="32"/>
        <v>71309.999145679583</v>
      </c>
      <c r="S78" s="1066">
        <f t="shared" si="32"/>
        <v>73805.849115778372</v>
      </c>
      <c r="T78" s="1066">
        <f t="shared" si="32"/>
        <v>76389.053834830615</v>
      </c>
      <c r="U78" s="1066">
        <f t="shared" si="32"/>
        <v>79062.670719049682</v>
      </c>
      <c r="V78" s="1067">
        <f t="shared" si="32"/>
        <v>81829.864194216425</v>
      </c>
      <c r="W78" s="1453"/>
    </row>
    <row r="79" spans="2:23">
      <c r="B79" s="216"/>
      <c r="C79" s="236" t="s">
        <v>1280</v>
      </c>
      <c r="D79" s="238"/>
      <c r="E79" s="680"/>
      <c r="F79" s="685">
        <v>3.5000000000000003E-2</v>
      </c>
      <c r="G79" s="1525">
        <f>IFERROR(H79/'2A'!$L$22,"")</f>
        <v>114.44444444444444</v>
      </c>
      <c r="H79" s="1065">
        <v>10300</v>
      </c>
      <c r="I79" s="1066">
        <f t="shared" ref="I79:V79" si="33">H79+(H79*$F79)</f>
        <v>10660.5</v>
      </c>
      <c r="J79" s="1066">
        <f t="shared" si="33"/>
        <v>11033.6175</v>
      </c>
      <c r="K79" s="1066">
        <f t="shared" si="33"/>
        <v>11419.7941125</v>
      </c>
      <c r="L79" s="1066">
        <f t="shared" si="33"/>
        <v>11819.4869064375</v>
      </c>
      <c r="M79" s="1066">
        <f t="shared" si="33"/>
        <v>12233.168948162813</v>
      </c>
      <c r="N79" s="1066">
        <f t="shared" si="33"/>
        <v>12661.329861348511</v>
      </c>
      <c r="O79" s="1066">
        <f t="shared" si="33"/>
        <v>13104.476406495709</v>
      </c>
      <c r="P79" s="1066">
        <f t="shared" si="33"/>
        <v>13563.133080723059</v>
      </c>
      <c r="Q79" s="1066">
        <f t="shared" si="33"/>
        <v>14037.842738548366</v>
      </c>
      <c r="R79" s="1066">
        <f t="shared" si="33"/>
        <v>14529.167234397559</v>
      </c>
      <c r="S79" s="1066">
        <f t="shared" si="33"/>
        <v>15037.688087601473</v>
      </c>
      <c r="T79" s="1066">
        <f t="shared" si="33"/>
        <v>15564.007170667524</v>
      </c>
      <c r="U79" s="1066">
        <f t="shared" si="33"/>
        <v>16108.747421640888</v>
      </c>
      <c r="V79" s="1067">
        <f t="shared" si="33"/>
        <v>16672.553581398319</v>
      </c>
      <c r="W79" s="1453"/>
    </row>
    <row r="80" spans="2:23">
      <c r="B80" s="216"/>
      <c r="C80" s="236" t="s">
        <v>1281</v>
      </c>
      <c r="D80" s="237"/>
      <c r="E80" s="680"/>
      <c r="F80" s="685">
        <v>3.5000000000000003E-2</v>
      </c>
      <c r="G80" s="1525">
        <f>IFERROR(H80/'2A'!$L$22,"")</f>
        <v>643.16666666666663</v>
      </c>
      <c r="H80" s="1065">
        <v>57885</v>
      </c>
      <c r="I80" s="1066">
        <f t="shared" ref="I80:V80" si="34">H80+(H80*$F80)</f>
        <v>59910.974999999999</v>
      </c>
      <c r="J80" s="1066">
        <f t="shared" si="34"/>
        <v>62007.859124999995</v>
      </c>
      <c r="K80" s="1066">
        <f t="shared" si="34"/>
        <v>64178.134194374994</v>
      </c>
      <c r="L80" s="1066">
        <f t="shared" si="34"/>
        <v>66424.368891178121</v>
      </c>
      <c r="M80" s="1066">
        <f t="shared" si="34"/>
        <v>68749.221802369357</v>
      </c>
      <c r="N80" s="1066">
        <f t="shared" si="34"/>
        <v>71155.444565452286</v>
      </c>
      <c r="O80" s="1066">
        <f t="shared" si="34"/>
        <v>73645.88512524312</v>
      </c>
      <c r="P80" s="1066">
        <f t="shared" si="34"/>
        <v>76223.491104626635</v>
      </c>
      <c r="Q80" s="1066">
        <f t="shared" si="34"/>
        <v>78891.313293288564</v>
      </c>
      <c r="R80" s="1066">
        <f t="shared" si="34"/>
        <v>81652.509258553662</v>
      </c>
      <c r="S80" s="1066">
        <f t="shared" si="34"/>
        <v>84510.347082603039</v>
      </c>
      <c r="T80" s="1066">
        <f t="shared" si="34"/>
        <v>87468.209230494147</v>
      </c>
      <c r="U80" s="1066">
        <f t="shared" si="34"/>
        <v>90529.596553561438</v>
      </c>
      <c r="V80" s="1067">
        <f t="shared" si="34"/>
        <v>93698.132432936094</v>
      </c>
      <c r="W80" s="1453"/>
    </row>
    <row r="81" spans="2:23">
      <c r="B81" s="216"/>
      <c r="C81" s="236" t="s">
        <v>750</v>
      </c>
      <c r="D81" s="238"/>
      <c r="E81" s="680"/>
      <c r="F81" s="685">
        <v>3.5000000000000003E-2</v>
      </c>
      <c r="G81" s="1525">
        <f>IFERROR(H81/'2A'!$L$22,"")</f>
        <v>53.366666666666667</v>
      </c>
      <c r="H81" s="1065">
        <v>4803</v>
      </c>
      <c r="I81" s="1066">
        <f t="shared" ref="I81:V81" si="35">H81+(H81*$F81)</f>
        <v>4971.1049999999996</v>
      </c>
      <c r="J81" s="1066">
        <f t="shared" si="35"/>
        <v>5145.0936749999992</v>
      </c>
      <c r="K81" s="1066">
        <f t="shared" si="35"/>
        <v>5325.1719536249993</v>
      </c>
      <c r="L81" s="1066">
        <f t="shared" si="35"/>
        <v>5511.552972001874</v>
      </c>
      <c r="M81" s="1066">
        <f t="shared" si="35"/>
        <v>5704.4573260219395</v>
      </c>
      <c r="N81" s="1066">
        <f t="shared" si="35"/>
        <v>5904.1133324327075</v>
      </c>
      <c r="O81" s="1066">
        <f t="shared" si="35"/>
        <v>6110.7572990678518</v>
      </c>
      <c r="P81" s="1066">
        <f t="shared" si="35"/>
        <v>6324.6338045352268</v>
      </c>
      <c r="Q81" s="1066">
        <f t="shared" si="35"/>
        <v>6545.9959876939602</v>
      </c>
      <c r="R81" s="1066">
        <f t="shared" si="35"/>
        <v>6775.1058472632485</v>
      </c>
      <c r="S81" s="1066">
        <f t="shared" si="35"/>
        <v>7012.2345519174623</v>
      </c>
      <c r="T81" s="1066">
        <f t="shared" si="35"/>
        <v>7257.6627612345737</v>
      </c>
      <c r="U81" s="1066">
        <f t="shared" si="35"/>
        <v>7511.6809578777838</v>
      </c>
      <c r="V81" s="1067">
        <f t="shared" si="35"/>
        <v>7774.5897914035068</v>
      </c>
      <c r="W81" s="1453"/>
    </row>
    <row r="82" spans="2:23">
      <c r="B82" s="216"/>
      <c r="C82" s="236" t="s">
        <v>1282</v>
      </c>
      <c r="D82" s="238"/>
      <c r="E82" s="680"/>
      <c r="F82" s="685">
        <v>3.5000000000000003E-2</v>
      </c>
      <c r="G82" s="1525">
        <f>IFERROR(H82/'2A'!$L$22,"")</f>
        <v>241.78888888888889</v>
      </c>
      <c r="H82" s="1065">
        <v>21761</v>
      </c>
      <c r="I82" s="1066">
        <f t="shared" ref="I82:V82" si="36">H82+(H82*$F82)</f>
        <v>22522.634999999998</v>
      </c>
      <c r="J82" s="1066">
        <f t="shared" si="36"/>
        <v>23310.927224999999</v>
      </c>
      <c r="K82" s="1066">
        <f t="shared" si="36"/>
        <v>24126.809677875</v>
      </c>
      <c r="L82" s="1066">
        <f t="shared" si="36"/>
        <v>24971.248016600624</v>
      </c>
      <c r="M82" s="1066">
        <f t="shared" si="36"/>
        <v>25845.241697181646</v>
      </c>
      <c r="N82" s="1066">
        <f t="shared" si="36"/>
        <v>26749.825156583003</v>
      </c>
      <c r="O82" s="1066">
        <f t="shared" si="36"/>
        <v>27686.069037063407</v>
      </c>
      <c r="P82" s="1066">
        <f t="shared" si="36"/>
        <v>28655.081453360628</v>
      </c>
      <c r="Q82" s="1066">
        <f t="shared" si="36"/>
        <v>29658.00930422825</v>
      </c>
      <c r="R82" s="1066">
        <f t="shared" si="36"/>
        <v>30696.039629876239</v>
      </c>
      <c r="S82" s="1066">
        <f t="shared" si="36"/>
        <v>31770.401016921907</v>
      </c>
      <c r="T82" s="1066">
        <f t="shared" si="36"/>
        <v>32882.365052514171</v>
      </c>
      <c r="U82" s="1066">
        <f t="shared" si="36"/>
        <v>34033.247829352171</v>
      </c>
      <c r="V82" s="1067">
        <f t="shared" si="36"/>
        <v>35224.411503379495</v>
      </c>
      <c r="W82" s="1453"/>
    </row>
    <row r="83" spans="2:23">
      <c r="B83" s="216"/>
      <c r="C83" s="236" t="s">
        <v>1283</v>
      </c>
      <c r="D83" s="238"/>
      <c r="E83" s="680"/>
      <c r="F83" s="685">
        <v>3.5000000000000003E-2</v>
      </c>
      <c r="G83" s="1525">
        <f>IFERROR(H83/'2A'!$L$22,"")</f>
        <v>197.84444444444443</v>
      </c>
      <c r="H83" s="1065">
        <v>17806</v>
      </c>
      <c r="I83" s="1066">
        <f t="shared" ref="I83:V83" si="37">H83+(H83*$F83)</f>
        <v>18429.21</v>
      </c>
      <c r="J83" s="1066">
        <f t="shared" si="37"/>
        <v>19074.232349999998</v>
      </c>
      <c r="K83" s="1066">
        <f t="shared" si="37"/>
        <v>19741.830482249999</v>
      </c>
      <c r="L83" s="1066">
        <f t="shared" si="37"/>
        <v>20432.79454912875</v>
      </c>
      <c r="M83" s="1066">
        <f t="shared" si="37"/>
        <v>21147.942358348257</v>
      </c>
      <c r="N83" s="1066">
        <f t="shared" si="37"/>
        <v>21888.120340890448</v>
      </c>
      <c r="O83" s="1066">
        <f t="shared" si="37"/>
        <v>22654.204552821615</v>
      </c>
      <c r="P83" s="1066">
        <f t="shared" si="37"/>
        <v>23447.10171217037</v>
      </c>
      <c r="Q83" s="1066">
        <f t="shared" si="37"/>
        <v>24267.750272096331</v>
      </c>
      <c r="R83" s="1066">
        <f t="shared" si="37"/>
        <v>25117.121531619701</v>
      </c>
      <c r="S83" s="1066">
        <f t="shared" si="37"/>
        <v>25996.220785226389</v>
      </c>
      <c r="T83" s="1066">
        <f t="shared" si="37"/>
        <v>26906.088512709313</v>
      </c>
      <c r="U83" s="1066">
        <f t="shared" si="37"/>
        <v>27847.80161065414</v>
      </c>
      <c r="V83" s="1067">
        <f t="shared" si="37"/>
        <v>28822.474667027036</v>
      </c>
      <c r="W83" s="1453"/>
    </row>
    <row r="84" spans="2:23">
      <c r="B84" s="216"/>
      <c r="C84" s="236" t="s">
        <v>1284</v>
      </c>
      <c r="D84" s="238"/>
      <c r="E84" s="680"/>
      <c r="F84" s="685">
        <v>3.5000000000000003E-2</v>
      </c>
      <c r="G84" s="1525">
        <f>IFERROR(H84/'2A'!$L$22,"")</f>
        <v>40.477777777777774</v>
      </c>
      <c r="H84" s="1065">
        <v>3643</v>
      </c>
      <c r="I84" s="1066">
        <f t="shared" ref="I84:V84" si="38">H84+(H84*$F84)</f>
        <v>3770.5050000000001</v>
      </c>
      <c r="J84" s="1066">
        <f t="shared" si="38"/>
        <v>3902.472675</v>
      </c>
      <c r="K84" s="1066">
        <f t="shared" si="38"/>
        <v>4039.0592186250001</v>
      </c>
      <c r="L84" s="1066">
        <f t="shared" si="38"/>
        <v>4180.4262912768754</v>
      </c>
      <c r="M84" s="1066">
        <f t="shared" si="38"/>
        <v>4326.7412114715662</v>
      </c>
      <c r="N84" s="1066">
        <f t="shared" si="38"/>
        <v>4478.1771538730709</v>
      </c>
      <c r="O84" s="1066">
        <f t="shared" si="38"/>
        <v>4634.9133542586287</v>
      </c>
      <c r="P84" s="1066">
        <f t="shared" si="38"/>
        <v>4797.1353216576808</v>
      </c>
      <c r="Q84" s="1066">
        <f t="shared" si="38"/>
        <v>4965.0350579156993</v>
      </c>
      <c r="R84" s="1066">
        <f t="shared" si="38"/>
        <v>5138.8112849427489</v>
      </c>
      <c r="S84" s="1066">
        <f t="shared" si="38"/>
        <v>5318.6696799157453</v>
      </c>
      <c r="T84" s="1066">
        <f t="shared" si="38"/>
        <v>5504.8231187127967</v>
      </c>
      <c r="U84" s="1066">
        <f t="shared" si="38"/>
        <v>5697.4919278677444</v>
      </c>
      <c r="V84" s="1067">
        <f t="shared" si="38"/>
        <v>5896.9041453431155</v>
      </c>
      <c r="W84" s="1453"/>
    </row>
    <row r="85" spans="2:23">
      <c r="B85" s="216"/>
      <c r="C85" s="236" t="s">
        <v>1285</v>
      </c>
      <c r="D85" s="237"/>
      <c r="E85" s="680"/>
      <c r="F85" s="685">
        <v>3.5000000000000003E-2</v>
      </c>
      <c r="G85" s="1525">
        <f>IFERROR(H85/'2A'!$L$22,"")</f>
        <v>915.41111111111115</v>
      </c>
      <c r="H85" s="1065">
        <v>82387</v>
      </c>
      <c r="I85" s="1066">
        <f t="shared" ref="I85:V85" si="39">H85+(H85*$F85)</f>
        <v>85270.544999999998</v>
      </c>
      <c r="J85" s="1066">
        <f t="shared" si="39"/>
        <v>88255.014074999999</v>
      </c>
      <c r="K85" s="1066">
        <f t="shared" si="39"/>
        <v>91343.939567624999</v>
      </c>
      <c r="L85" s="1066">
        <f t="shared" si="39"/>
        <v>94540.977452491876</v>
      </c>
      <c r="M85" s="1066">
        <f t="shared" si="39"/>
        <v>97849.911663329098</v>
      </c>
      <c r="N85" s="1066">
        <f t="shared" si="39"/>
        <v>101274.65857154562</v>
      </c>
      <c r="O85" s="1066">
        <f t="shared" si="39"/>
        <v>104819.27162154972</v>
      </c>
      <c r="P85" s="1066">
        <f t="shared" si="39"/>
        <v>108487.94612830396</v>
      </c>
      <c r="Q85" s="1066">
        <f t="shared" si="39"/>
        <v>112285.02424279459</v>
      </c>
      <c r="R85" s="1066">
        <f t="shared" si="39"/>
        <v>116215.0000912924</v>
      </c>
      <c r="S85" s="1066">
        <f t="shared" si="39"/>
        <v>120282.52509448763</v>
      </c>
      <c r="T85" s="1066">
        <f t="shared" si="39"/>
        <v>124492.41347279469</v>
      </c>
      <c r="U85" s="1066">
        <f t="shared" si="39"/>
        <v>128849.64794434251</v>
      </c>
      <c r="V85" s="1067">
        <f t="shared" si="39"/>
        <v>133359.3856223945</v>
      </c>
      <c r="W85" s="1453"/>
    </row>
    <row r="86" spans="2:23">
      <c r="B86" s="216"/>
      <c r="C86" s="236" t="s">
        <v>1286</v>
      </c>
      <c r="D86" s="237"/>
      <c r="E86" s="680"/>
      <c r="F86" s="685">
        <v>3.5000000000000003E-2</v>
      </c>
      <c r="G86" s="1525">
        <f>IFERROR(H86/'2A'!$L$22,"")</f>
        <v>246.46666666666667</v>
      </c>
      <c r="H86" s="1065">
        <v>22182</v>
      </c>
      <c r="I86" s="1066">
        <f t="shared" ref="I86:V86" si="40">H86+(H86*$F86)</f>
        <v>22958.37</v>
      </c>
      <c r="J86" s="1066">
        <f t="shared" si="40"/>
        <v>23761.912949999998</v>
      </c>
      <c r="K86" s="1066">
        <f t="shared" si="40"/>
        <v>24593.57990325</v>
      </c>
      <c r="L86" s="1066">
        <f t="shared" si="40"/>
        <v>25454.355199863749</v>
      </c>
      <c r="M86" s="1066">
        <f t="shared" si="40"/>
        <v>26345.257631858978</v>
      </c>
      <c r="N86" s="1066">
        <f t="shared" si="40"/>
        <v>27267.341648974041</v>
      </c>
      <c r="O86" s="1066">
        <f t="shared" si="40"/>
        <v>28221.698606688133</v>
      </c>
      <c r="P86" s="1066">
        <f t="shared" si="40"/>
        <v>29209.458057922217</v>
      </c>
      <c r="Q86" s="1066">
        <f t="shared" si="40"/>
        <v>30231.789089949496</v>
      </c>
      <c r="R86" s="1066">
        <f t="shared" si="40"/>
        <v>31289.901708097728</v>
      </c>
      <c r="S86" s="1066">
        <f t="shared" si="40"/>
        <v>32385.04826788115</v>
      </c>
      <c r="T86" s="1066">
        <f t="shared" si="40"/>
        <v>33518.524957256988</v>
      </c>
      <c r="U86" s="1066">
        <f t="shared" si="40"/>
        <v>34691.673330760983</v>
      </c>
      <c r="V86" s="1067">
        <f t="shared" si="40"/>
        <v>35905.881897337618</v>
      </c>
      <c r="W86" s="1453"/>
    </row>
    <row r="87" spans="2:23">
      <c r="B87" s="239"/>
      <c r="C87" s="236" t="s">
        <v>1287</v>
      </c>
      <c r="D87" s="237"/>
      <c r="E87" s="680"/>
      <c r="F87" s="685">
        <v>3.5000000000000003E-2</v>
      </c>
      <c r="G87" s="1525">
        <f>IFERROR(H87/'2A'!$L$22,"")</f>
        <v>450.21111111111111</v>
      </c>
      <c r="H87" s="1065">
        <v>40519</v>
      </c>
      <c r="I87" s="1066">
        <f t="shared" ref="I87:V87" si="41">H87+(H87*$F87)</f>
        <v>41937.165000000001</v>
      </c>
      <c r="J87" s="1066">
        <f t="shared" si="41"/>
        <v>43404.965775000004</v>
      </c>
      <c r="K87" s="1066">
        <f t="shared" si="41"/>
        <v>44924.139577125003</v>
      </c>
      <c r="L87" s="1066">
        <f t="shared" si="41"/>
        <v>46496.484462324377</v>
      </c>
      <c r="M87" s="1066">
        <f t="shared" si="41"/>
        <v>48123.86141850573</v>
      </c>
      <c r="N87" s="1066">
        <f t="shared" si="41"/>
        <v>49808.196568153435</v>
      </c>
      <c r="O87" s="1066">
        <f t="shared" si="41"/>
        <v>51551.483448038802</v>
      </c>
      <c r="P87" s="1066">
        <f t="shared" si="41"/>
        <v>53355.785368720157</v>
      </c>
      <c r="Q87" s="1066">
        <f t="shared" si="41"/>
        <v>55223.237856625361</v>
      </c>
      <c r="R87" s="1066">
        <f t="shared" si="41"/>
        <v>57156.051181607247</v>
      </c>
      <c r="S87" s="1066">
        <f t="shared" si="41"/>
        <v>59156.512972963501</v>
      </c>
      <c r="T87" s="1066">
        <f t="shared" si="41"/>
        <v>61226.990927017221</v>
      </c>
      <c r="U87" s="1066">
        <f t="shared" si="41"/>
        <v>63369.935609462824</v>
      </c>
      <c r="V87" s="1067">
        <f t="shared" si="41"/>
        <v>65587.883355794023</v>
      </c>
      <c r="W87" s="1453"/>
    </row>
    <row r="88" spans="2:23">
      <c r="B88" s="216"/>
      <c r="C88" s="236" t="s">
        <v>1288</v>
      </c>
      <c r="D88" s="238"/>
      <c r="E88" s="680"/>
      <c r="F88" s="685">
        <v>3.5000000000000003E-2</v>
      </c>
      <c r="G88" s="1525">
        <f>IFERROR(H88/'2A'!$L$22,"")</f>
        <v>161.30000000000001</v>
      </c>
      <c r="H88" s="1065">
        <v>14517</v>
      </c>
      <c r="I88" s="1066">
        <f t="shared" ref="I88:V88" si="42">H88+(H88*$F88)</f>
        <v>15025.094999999999</v>
      </c>
      <c r="J88" s="1066">
        <f t="shared" si="42"/>
        <v>15550.973324999999</v>
      </c>
      <c r="K88" s="1066">
        <f t="shared" si="42"/>
        <v>16095.257391374998</v>
      </c>
      <c r="L88" s="1066">
        <f t="shared" si="42"/>
        <v>16658.591400073125</v>
      </c>
      <c r="M88" s="1066">
        <f t="shared" si="42"/>
        <v>17241.642099075685</v>
      </c>
      <c r="N88" s="1066">
        <f t="shared" si="42"/>
        <v>17845.099572543335</v>
      </c>
      <c r="O88" s="1066">
        <f t="shared" si="42"/>
        <v>18469.67805758235</v>
      </c>
      <c r="P88" s="1066">
        <f t="shared" si="42"/>
        <v>19116.116789597734</v>
      </c>
      <c r="Q88" s="1066">
        <f t="shared" si="42"/>
        <v>19785.180877233655</v>
      </c>
      <c r="R88" s="1066">
        <f t="shared" si="42"/>
        <v>20477.662207936832</v>
      </c>
      <c r="S88" s="1066">
        <f t="shared" si="42"/>
        <v>21194.380385214619</v>
      </c>
      <c r="T88" s="1066">
        <f t="shared" si="42"/>
        <v>21936.183698697132</v>
      </c>
      <c r="U88" s="1066">
        <f t="shared" si="42"/>
        <v>22703.950128151533</v>
      </c>
      <c r="V88" s="1067">
        <f t="shared" si="42"/>
        <v>23498.588382636837</v>
      </c>
      <c r="W88" s="1453"/>
    </row>
    <row r="89" spans="2:23">
      <c r="B89" s="216"/>
      <c r="C89" s="236" t="s">
        <v>1289</v>
      </c>
      <c r="D89" s="238"/>
      <c r="E89" s="680"/>
      <c r="F89" s="685">
        <v>3.5000000000000003E-2</v>
      </c>
      <c r="G89" s="1525">
        <f>IFERROR(H89/'2A'!$L$22,"")</f>
        <v>175.53333333333333</v>
      </c>
      <c r="H89" s="1065">
        <f>15635+75+88</f>
        <v>15798</v>
      </c>
      <c r="I89" s="1066">
        <f t="shared" ref="I89:V92" si="43">H89+(H89*$F89)</f>
        <v>16350.93</v>
      </c>
      <c r="J89" s="1066">
        <f t="shared" si="43"/>
        <v>16923.21255</v>
      </c>
      <c r="K89" s="1066">
        <f t="shared" si="43"/>
        <v>17515.52498925</v>
      </c>
      <c r="L89" s="1066">
        <f t="shared" si="43"/>
        <v>18128.56836387375</v>
      </c>
      <c r="M89" s="1066">
        <f t="shared" si="43"/>
        <v>18763.068256609331</v>
      </c>
      <c r="N89" s="1066">
        <f t="shared" si="43"/>
        <v>19419.775645590656</v>
      </c>
      <c r="O89" s="1066">
        <f t="shared" si="43"/>
        <v>20099.46779318633</v>
      </c>
      <c r="P89" s="1066">
        <f t="shared" si="43"/>
        <v>20802.949165947852</v>
      </c>
      <c r="Q89" s="1066">
        <f t="shared" si="43"/>
        <v>21531.052386756026</v>
      </c>
      <c r="R89" s="1066">
        <f t="shared" si="43"/>
        <v>22284.639220292487</v>
      </c>
      <c r="S89" s="1066">
        <f t="shared" si="43"/>
        <v>23064.601593002724</v>
      </c>
      <c r="T89" s="1066">
        <f t="shared" si="43"/>
        <v>23871.862648757819</v>
      </c>
      <c r="U89" s="1066">
        <f t="shared" si="43"/>
        <v>24707.377841464342</v>
      </c>
      <c r="V89" s="1067">
        <f t="shared" si="43"/>
        <v>25572.136065915594</v>
      </c>
      <c r="W89" s="1453"/>
    </row>
    <row r="90" spans="2:23">
      <c r="B90" s="216"/>
      <c r="C90" s="246" t="s">
        <v>1290</v>
      </c>
      <c r="D90" s="214"/>
      <c r="E90" s="680"/>
      <c r="F90" s="1909">
        <v>3.5000000000000003E-2</v>
      </c>
      <c r="G90" s="1910">
        <f>IFERROR(H90/'2A'!$L$22,"")</f>
        <v>1298.4555555555555</v>
      </c>
      <c r="H90" s="1911">
        <f>45827+2686+2783+396+1115+377+1258+479+42+1116+858+2215+3249+3775+1095+49590</f>
        <v>116861</v>
      </c>
      <c r="I90" s="1912">
        <f t="shared" ref="I90:I91" si="44">H90+(H90*$F90)</f>
        <v>120951.13499999999</v>
      </c>
      <c r="J90" s="1912">
        <f t="shared" ref="J90:J91" si="45">I90+(I90*$F90)</f>
        <v>125184.42472499999</v>
      </c>
      <c r="K90" s="1912">
        <f t="shared" ref="K90:K91" si="46">J90+(J90*$F90)</f>
        <v>129565.87959037499</v>
      </c>
      <c r="L90" s="1912">
        <f t="shared" ref="L90:L91" si="47">K90+(K90*$F90)</f>
        <v>134100.68537603811</v>
      </c>
      <c r="M90" s="1912">
        <f t="shared" ref="M90:M91" si="48">L90+(L90*$F90)</f>
        <v>138794.20936419943</v>
      </c>
      <c r="N90" s="1912">
        <f t="shared" ref="N90:N91" si="49">M90+(M90*$F90)</f>
        <v>143652.00669194642</v>
      </c>
      <c r="O90" s="1912">
        <f t="shared" ref="O90:O91" si="50">N90+(N90*$F90)</f>
        <v>148679.82692616453</v>
      </c>
      <c r="P90" s="1912">
        <f t="shared" ref="P90:P91" si="51">O90+(O90*$F90)</f>
        <v>153883.6208685803</v>
      </c>
      <c r="Q90" s="1912">
        <f t="shared" ref="Q90:Q91" si="52">P90+(P90*$F90)</f>
        <v>159269.5475989806</v>
      </c>
      <c r="R90" s="1912">
        <f t="shared" ref="R90:R91" si="53">Q90+(Q90*$F90)</f>
        <v>164843.98176494491</v>
      </c>
      <c r="S90" s="1912">
        <f t="shared" ref="S90:S91" si="54">R90+(R90*$F90)</f>
        <v>170613.52112671797</v>
      </c>
      <c r="T90" s="1912">
        <f t="shared" ref="T90:T91" si="55">S90+(S90*$F90)</f>
        <v>176584.99436615309</v>
      </c>
      <c r="U90" s="1912">
        <f t="shared" ref="U90:U91" si="56">T90+(T90*$F90)</f>
        <v>182765.46916896844</v>
      </c>
      <c r="V90" s="1913">
        <f t="shared" ref="V90:V91" si="57">U90+(U90*$F90)</f>
        <v>189162.26058988232</v>
      </c>
      <c r="W90" s="1453"/>
    </row>
    <row r="91" spans="2:23">
      <c r="B91" s="216"/>
      <c r="C91" s="246" t="s">
        <v>1291</v>
      </c>
      <c r="D91" s="214"/>
      <c r="E91" s="680"/>
      <c r="F91" s="1909">
        <v>3.5000000000000003E-2</v>
      </c>
      <c r="G91" s="1910">
        <f>IFERROR(H91/'2A'!$L$22,"")</f>
        <v>108.72222222222223</v>
      </c>
      <c r="H91" s="1911">
        <f>5150+4635</f>
        <v>9785</v>
      </c>
      <c r="I91" s="1912">
        <f t="shared" si="44"/>
        <v>10127.475</v>
      </c>
      <c r="J91" s="1912">
        <f t="shared" si="45"/>
        <v>10481.936625</v>
      </c>
      <c r="K91" s="1912">
        <f t="shared" si="46"/>
        <v>10848.804406875</v>
      </c>
      <c r="L91" s="1912">
        <f t="shared" si="47"/>
        <v>11228.512561115625</v>
      </c>
      <c r="M91" s="1912">
        <f t="shared" si="48"/>
        <v>11621.510500754672</v>
      </c>
      <c r="N91" s="1912">
        <f t="shared" si="49"/>
        <v>12028.263368281085</v>
      </c>
      <c r="O91" s="1912">
        <f t="shared" si="50"/>
        <v>12449.252586170922</v>
      </c>
      <c r="P91" s="1912">
        <f t="shared" si="51"/>
        <v>12884.976426686904</v>
      </c>
      <c r="Q91" s="1912">
        <f t="shared" si="52"/>
        <v>13335.950601620945</v>
      </c>
      <c r="R91" s="1912">
        <f t="shared" si="53"/>
        <v>13802.708872677678</v>
      </c>
      <c r="S91" s="1912">
        <f t="shared" si="54"/>
        <v>14285.803683221397</v>
      </c>
      <c r="T91" s="1912">
        <f t="shared" si="55"/>
        <v>14785.806812134146</v>
      </c>
      <c r="U91" s="1912">
        <f t="shared" si="56"/>
        <v>15303.310050558841</v>
      </c>
      <c r="V91" s="1913">
        <f t="shared" si="57"/>
        <v>15838.925902328401</v>
      </c>
      <c r="W91" s="1453"/>
    </row>
    <row r="92" spans="2:23" ht="15" thickBot="1">
      <c r="B92" s="216"/>
      <c r="C92" s="1936" t="s">
        <v>1292</v>
      </c>
      <c r="D92" s="240"/>
      <c r="E92" s="680"/>
      <c r="F92" s="686">
        <v>3.5000000000000003E-2</v>
      </c>
      <c r="G92" s="1937">
        <f>IFERROR(H92/'2A'!$L$22,"")</f>
        <v>2671.9222222222224</v>
      </c>
      <c r="H92" s="1938">
        <f>240473</f>
        <v>240473</v>
      </c>
      <c r="I92" s="1068">
        <f t="shared" si="43"/>
        <v>248889.55499999999</v>
      </c>
      <c r="J92" s="1068">
        <f t="shared" si="43"/>
        <v>257600.68942499999</v>
      </c>
      <c r="K92" s="1068">
        <f t="shared" si="43"/>
        <v>266616.71355487499</v>
      </c>
      <c r="L92" s="1068">
        <f t="shared" si="43"/>
        <v>275948.2985292956</v>
      </c>
      <c r="M92" s="1068">
        <f t="shared" si="43"/>
        <v>285606.48897782096</v>
      </c>
      <c r="N92" s="1068">
        <f t="shared" si="43"/>
        <v>295602.71609204472</v>
      </c>
      <c r="O92" s="1068">
        <f t="shared" si="43"/>
        <v>305948.8111552663</v>
      </c>
      <c r="P92" s="1068">
        <f t="shared" si="43"/>
        <v>316657.01954570063</v>
      </c>
      <c r="Q92" s="1068">
        <f t="shared" si="43"/>
        <v>327740.01522980013</v>
      </c>
      <c r="R92" s="1068">
        <f t="shared" si="43"/>
        <v>339210.91576284316</v>
      </c>
      <c r="S92" s="1068">
        <f t="shared" si="43"/>
        <v>351083.29781454266</v>
      </c>
      <c r="T92" s="1068">
        <f t="shared" si="43"/>
        <v>363371.21323805163</v>
      </c>
      <c r="U92" s="1068">
        <f t="shared" si="43"/>
        <v>376089.20570138341</v>
      </c>
      <c r="V92" s="1069">
        <f t="shared" si="43"/>
        <v>389252.32790093182</v>
      </c>
      <c r="W92" s="1453"/>
    </row>
    <row r="93" spans="2:23" ht="15" thickBot="1">
      <c r="B93" s="216"/>
      <c r="C93" s="207" t="s">
        <v>1293</v>
      </c>
      <c r="D93" s="223"/>
      <c r="E93" s="224"/>
      <c r="F93" s="224"/>
      <c r="G93" s="1527">
        <f>IFERROR(H93/'2A'!$L$22,"")</f>
        <v>12205.014740000001</v>
      </c>
      <c r="H93" s="1010">
        <f>SUM(H70:H92)</f>
        <v>1098451.3266</v>
      </c>
      <c r="I93" s="1011">
        <f t="shared" ref="I93:N93" si="58">SUM(I70:I92)</f>
        <v>1136897.1230309999</v>
      </c>
      <c r="J93" s="1011">
        <f t="shared" si="58"/>
        <v>1176688.5223370851</v>
      </c>
      <c r="K93" s="1011">
        <f t="shared" si="58"/>
        <v>1217872.6206188831</v>
      </c>
      <c r="L93" s="1011">
        <f t="shared" si="58"/>
        <v>1260498.1623405437</v>
      </c>
      <c r="M93" s="1011">
        <f t="shared" si="58"/>
        <v>1304615.598022463</v>
      </c>
      <c r="N93" s="1011">
        <f t="shared" si="58"/>
        <v>1350277.1439532491</v>
      </c>
      <c r="O93" s="1011">
        <f t="shared" ref="O93:V93" si="59">SUM(O70:O92)</f>
        <v>1397536.8439916128</v>
      </c>
      <c r="P93" s="1011">
        <f t="shared" si="59"/>
        <v>1446450.6335313194</v>
      </c>
      <c r="Q93" s="1011">
        <f t="shared" si="59"/>
        <v>1497076.4057049155</v>
      </c>
      <c r="R93" s="1011">
        <f t="shared" si="59"/>
        <v>1549474.0799045877</v>
      </c>
      <c r="S93" s="1011">
        <f t="shared" si="59"/>
        <v>1603705.672701248</v>
      </c>
      <c r="T93" s="1011">
        <f t="shared" si="59"/>
        <v>1659835.3712457919</v>
      </c>
      <c r="U93" s="1011">
        <f t="shared" si="59"/>
        <v>1717929.6092393938</v>
      </c>
      <c r="V93" s="1012">
        <f t="shared" si="59"/>
        <v>1778057.1455627731</v>
      </c>
      <c r="W93" s="1453"/>
    </row>
    <row r="94" spans="2:23" ht="15" thickBot="1">
      <c r="B94" s="216"/>
      <c r="C94" s="207"/>
      <c r="D94" s="223"/>
      <c r="E94" s="232"/>
      <c r="F94" s="2541" t="s">
        <v>1235</v>
      </c>
      <c r="G94" s="214"/>
      <c r="H94" s="204"/>
      <c r="I94" s="205"/>
      <c r="J94" s="205"/>
      <c r="K94" s="205"/>
      <c r="L94" s="205"/>
      <c r="M94" s="205"/>
      <c r="N94" s="205"/>
      <c r="O94" s="205"/>
      <c r="P94" s="205"/>
      <c r="Q94" s="205"/>
      <c r="R94" s="205"/>
      <c r="S94" s="205"/>
      <c r="T94" s="205"/>
      <c r="U94" s="205"/>
      <c r="V94" s="206"/>
      <c r="W94" s="1453"/>
    </row>
    <row r="95" spans="2:23">
      <c r="B95" s="235"/>
      <c r="C95" s="241" t="s">
        <v>1294</v>
      </c>
      <c r="D95" s="242"/>
      <c r="E95" s="681"/>
      <c r="F95" s="684">
        <v>3.5000000000000003E-2</v>
      </c>
      <c r="G95" s="1524">
        <f>IFERROR(H95/'2A'!$L$22,"")</f>
        <v>388.88888888888891</v>
      </c>
      <c r="H95" s="1070">
        <v>35000</v>
      </c>
      <c r="I95" s="1071">
        <f t="shared" ref="I95:V95" si="60">H95+(H95*$F95)</f>
        <v>36225</v>
      </c>
      <c r="J95" s="1071">
        <f t="shared" si="60"/>
        <v>37492.875</v>
      </c>
      <c r="K95" s="1071">
        <f t="shared" si="60"/>
        <v>38805.125625000001</v>
      </c>
      <c r="L95" s="1071">
        <f t="shared" si="60"/>
        <v>40163.305021875</v>
      </c>
      <c r="M95" s="1071">
        <f t="shared" si="60"/>
        <v>41569.020697640626</v>
      </c>
      <c r="N95" s="1071">
        <f t="shared" si="60"/>
        <v>43023.936422058046</v>
      </c>
      <c r="O95" s="1071">
        <f t="shared" si="60"/>
        <v>44529.774196830076</v>
      </c>
      <c r="P95" s="1071">
        <f t="shared" si="60"/>
        <v>46088.31629371913</v>
      </c>
      <c r="Q95" s="1071">
        <f t="shared" si="60"/>
        <v>47701.4073639993</v>
      </c>
      <c r="R95" s="1071">
        <f t="shared" si="60"/>
        <v>49370.956621739278</v>
      </c>
      <c r="S95" s="1071">
        <f t="shared" si="60"/>
        <v>51098.94010350015</v>
      </c>
      <c r="T95" s="1071">
        <f t="shared" si="60"/>
        <v>52887.403007122659</v>
      </c>
      <c r="U95" s="1071">
        <f t="shared" si="60"/>
        <v>54738.462112371955</v>
      </c>
      <c r="V95" s="1072">
        <f t="shared" si="60"/>
        <v>56654.308286304971</v>
      </c>
      <c r="W95" s="1453"/>
    </row>
    <row r="96" spans="2:23" ht="15" thickBot="1">
      <c r="B96" s="235"/>
      <c r="C96" s="243" t="s">
        <v>1295</v>
      </c>
      <c r="D96" s="240"/>
      <c r="E96" s="680"/>
      <c r="F96" s="686"/>
      <c r="G96" s="1526">
        <f>IFERROR(H96/'2A'!$L$22,"")</f>
        <v>0</v>
      </c>
      <c r="H96" s="1073"/>
      <c r="I96" s="1073"/>
      <c r="J96" s="1073"/>
      <c r="K96" s="1073"/>
      <c r="L96" s="1073"/>
      <c r="M96" s="1073"/>
      <c r="N96" s="1073"/>
      <c r="O96" s="1073"/>
      <c r="P96" s="1073"/>
      <c r="Q96" s="1073"/>
      <c r="R96" s="1073"/>
      <c r="S96" s="1073"/>
      <c r="T96" s="1073"/>
      <c r="U96" s="1073"/>
      <c r="V96" s="1073"/>
      <c r="W96" s="1453"/>
    </row>
    <row r="97" spans="2:23">
      <c r="B97" s="235"/>
      <c r="C97" s="207" t="s">
        <v>1296</v>
      </c>
      <c r="D97" s="223"/>
      <c r="E97" s="223"/>
      <c r="F97" s="223"/>
      <c r="G97" s="244" t="str">
        <f>IFERROR(H97/#REF!,"")</f>
        <v/>
      </c>
      <c r="H97" s="1010">
        <f>SUM(H95:H96)</f>
        <v>35000</v>
      </c>
      <c r="I97" s="1011">
        <f t="shared" ref="I97:N97" si="61">SUM(I95:I96)</f>
        <v>36225</v>
      </c>
      <c r="J97" s="1011">
        <f t="shared" si="61"/>
        <v>37492.875</v>
      </c>
      <c r="K97" s="1011">
        <f t="shared" si="61"/>
        <v>38805.125625000001</v>
      </c>
      <c r="L97" s="1011">
        <f t="shared" si="61"/>
        <v>40163.305021875</v>
      </c>
      <c r="M97" s="1011">
        <f t="shared" si="61"/>
        <v>41569.020697640626</v>
      </c>
      <c r="N97" s="1011">
        <f t="shared" si="61"/>
        <v>43023.936422058046</v>
      </c>
      <c r="O97" s="1011">
        <f t="shared" ref="O97:V97" si="62">SUM(O95:O96)</f>
        <v>44529.774196830076</v>
      </c>
      <c r="P97" s="1011">
        <f t="shared" si="62"/>
        <v>46088.31629371913</v>
      </c>
      <c r="Q97" s="1011">
        <f t="shared" si="62"/>
        <v>47701.4073639993</v>
      </c>
      <c r="R97" s="1011">
        <f t="shared" si="62"/>
        <v>49370.956621739278</v>
      </c>
      <c r="S97" s="1011">
        <f t="shared" si="62"/>
        <v>51098.94010350015</v>
      </c>
      <c r="T97" s="1011">
        <f t="shared" si="62"/>
        <v>52887.403007122659</v>
      </c>
      <c r="U97" s="1011">
        <f t="shared" si="62"/>
        <v>54738.462112371955</v>
      </c>
      <c r="V97" s="1012">
        <f t="shared" si="62"/>
        <v>56654.308286304971</v>
      </c>
      <c r="W97" s="1453"/>
    </row>
    <row r="98" spans="2:23" ht="7.5" customHeight="1" thickBot="1">
      <c r="B98" s="235"/>
      <c r="C98" s="207"/>
      <c r="D98" s="223"/>
      <c r="E98" s="223"/>
      <c r="F98" s="223"/>
      <c r="G98" s="244"/>
      <c r="H98" s="204"/>
      <c r="I98" s="205"/>
      <c r="J98" s="205"/>
      <c r="K98" s="205"/>
      <c r="L98" s="205"/>
      <c r="M98" s="205"/>
      <c r="N98" s="205"/>
      <c r="O98" s="205"/>
      <c r="P98" s="205"/>
      <c r="Q98" s="205"/>
      <c r="R98" s="205"/>
      <c r="S98" s="205"/>
      <c r="T98" s="205"/>
      <c r="U98" s="205"/>
      <c r="V98" s="206"/>
      <c r="W98" s="1453"/>
    </row>
    <row r="99" spans="2:23" ht="15" thickBot="1">
      <c r="B99" s="216"/>
      <c r="C99" s="207" t="s">
        <v>1297</v>
      </c>
      <c r="D99" s="223"/>
      <c r="E99" s="682"/>
      <c r="F99" s="600">
        <v>3.5000000000000003E-2</v>
      </c>
      <c r="G99" s="1528">
        <f>IFERROR(H99/'2A'!$L$22,"")</f>
        <v>10625.990444444444</v>
      </c>
      <c r="H99" s="1074">
        <f>'8C'!L41+'8C'!L54</f>
        <v>956339.14</v>
      </c>
      <c r="I99" s="1075">
        <f t="shared" ref="I99:V99" si="63">H99+(H99*$F99)</f>
        <v>989811.00990000006</v>
      </c>
      <c r="J99" s="1075">
        <f t="shared" si="63"/>
        <v>1024454.3952465</v>
      </c>
      <c r="K99" s="1075">
        <f t="shared" si="63"/>
        <v>1060310.2990801276</v>
      </c>
      <c r="L99" s="1075">
        <f t="shared" si="63"/>
        <v>1097421.159547932</v>
      </c>
      <c r="M99" s="1075">
        <f t="shared" si="63"/>
        <v>1135830.9001321096</v>
      </c>
      <c r="N99" s="1075">
        <f t="shared" si="63"/>
        <v>1175584.9816367335</v>
      </c>
      <c r="O99" s="1075">
        <f t="shared" si="63"/>
        <v>1216730.4559940193</v>
      </c>
      <c r="P99" s="1075">
        <f t="shared" si="63"/>
        <v>1259316.02195381</v>
      </c>
      <c r="Q99" s="1075">
        <f t="shared" si="63"/>
        <v>1303392.0827221933</v>
      </c>
      <c r="R99" s="1075">
        <f t="shared" si="63"/>
        <v>1349010.8056174701</v>
      </c>
      <c r="S99" s="1075">
        <f t="shared" si="63"/>
        <v>1396226.1838140816</v>
      </c>
      <c r="T99" s="1075">
        <f t="shared" si="63"/>
        <v>1445094.1002475745</v>
      </c>
      <c r="U99" s="1075">
        <f t="shared" si="63"/>
        <v>1495672.3937562397</v>
      </c>
      <c r="V99" s="1076">
        <f t="shared" si="63"/>
        <v>1548020.9275377081</v>
      </c>
      <c r="W99" s="1453"/>
    </row>
    <row r="100" spans="2:23" ht="7.5" customHeight="1" thickBot="1">
      <c r="B100" s="216"/>
      <c r="C100" s="207"/>
      <c r="D100" s="223"/>
      <c r="E100" s="223"/>
      <c r="F100" s="223"/>
      <c r="G100" s="244"/>
      <c r="H100" s="204"/>
      <c r="I100" s="205"/>
      <c r="J100" s="205"/>
      <c r="K100" s="205"/>
      <c r="L100" s="205"/>
      <c r="M100" s="205"/>
      <c r="N100" s="205"/>
      <c r="O100" s="205"/>
      <c r="P100" s="205"/>
      <c r="Q100" s="205"/>
      <c r="R100" s="205"/>
      <c r="S100" s="205"/>
      <c r="T100" s="205"/>
      <c r="U100" s="205"/>
      <c r="V100" s="206"/>
      <c r="W100" s="1453"/>
    </row>
    <row r="101" spans="2:23" ht="15" thickBot="1">
      <c r="B101" s="216"/>
      <c r="C101" s="245" t="s">
        <v>1298</v>
      </c>
      <c r="D101" s="226"/>
      <c r="E101" s="531"/>
      <c r="F101" s="601">
        <v>0</v>
      </c>
      <c r="G101" s="226"/>
      <c r="H101" s="1077">
        <v>0</v>
      </c>
      <c r="I101" s="1078">
        <f t="shared" ref="I101:V101" si="64">H101+(H101*$F101)</f>
        <v>0</v>
      </c>
      <c r="J101" s="1078">
        <f t="shared" si="64"/>
        <v>0</v>
      </c>
      <c r="K101" s="1078">
        <f t="shared" si="64"/>
        <v>0</v>
      </c>
      <c r="L101" s="1078">
        <f t="shared" si="64"/>
        <v>0</v>
      </c>
      <c r="M101" s="1078">
        <f t="shared" si="64"/>
        <v>0</v>
      </c>
      <c r="N101" s="1078">
        <f t="shared" si="64"/>
        <v>0</v>
      </c>
      <c r="O101" s="1078">
        <f t="shared" si="64"/>
        <v>0</v>
      </c>
      <c r="P101" s="1078">
        <f t="shared" si="64"/>
        <v>0</v>
      </c>
      <c r="Q101" s="1078">
        <f t="shared" si="64"/>
        <v>0</v>
      </c>
      <c r="R101" s="1078">
        <f t="shared" si="64"/>
        <v>0</v>
      </c>
      <c r="S101" s="1078">
        <f t="shared" si="64"/>
        <v>0</v>
      </c>
      <c r="T101" s="1078">
        <f t="shared" si="64"/>
        <v>0</v>
      </c>
      <c r="U101" s="1078">
        <f t="shared" si="64"/>
        <v>0</v>
      </c>
      <c r="V101" s="1079">
        <f t="shared" si="64"/>
        <v>0</v>
      </c>
      <c r="W101" s="1453"/>
    </row>
    <row r="102" spans="2:23" ht="15.6" thickTop="1" thickBot="1">
      <c r="B102" s="216"/>
      <c r="C102" s="231" t="s">
        <v>1299</v>
      </c>
      <c r="D102" s="223"/>
      <c r="E102" s="223"/>
      <c r="F102" s="223"/>
      <c r="G102" s="224" t="s">
        <v>1243</v>
      </c>
      <c r="H102" s="1080">
        <f>H93+H97+H99+H101</f>
        <v>2089790.4665999999</v>
      </c>
      <c r="I102" s="1081">
        <f t="shared" ref="I102:N102" si="65">I93+I97+I99+I101</f>
        <v>2162933.1329310001</v>
      </c>
      <c r="J102" s="1081">
        <f t="shared" si="65"/>
        <v>2238635.7925835853</v>
      </c>
      <c r="K102" s="1081">
        <f t="shared" si="65"/>
        <v>2316988.0453240108</v>
      </c>
      <c r="L102" s="1081">
        <f t="shared" si="65"/>
        <v>2398082.6269103508</v>
      </c>
      <c r="M102" s="1081">
        <f t="shared" si="65"/>
        <v>2482015.5188522134</v>
      </c>
      <c r="N102" s="1081">
        <f t="shared" si="65"/>
        <v>2568886.062012041</v>
      </c>
      <c r="O102" s="1081">
        <f t="shared" ref="O102:V102" si="66">O93+O97+O99+O101</f>
        <v>2658797.0741824619</v>
      </c>
      <c r="P102" s="1081">
        <f t="shared" si="66"/>
        <v>2751854.9717788487</v>
      </c>
      <c r="Q102" s="1081">
        <f t="shared" si="66"/>
        <v>2848169.8957911083</v>
      </c>
      <c r="R102" s="1081">
        <f t="shared" si="66"/>
        <v>2947855.8421437973</v>
      </c>
      <c r="S102" s="1081">
        <f t="shared" si="66"/>
        <v>3051030.7966188295</v>
      </c>
      <c r="T102" s="1081">
        <f t="shared" si="66"/>
        <v>3157816.8745004889</v>
      </c>
      <c r="U102" s="1081">
        <f t="shared" si="66"/>
        <v>3268340.4651080053</v>
      </c>
      <c r="V102" s="1082">
        <f t="shared" si="66"/>
        <v>3382732.3813867862</v>
      </c>
      <c r="W102" s="1453"/>
    </row>
    <row r="103" spans="2:23" ht="7.5" customHeight="1" thickBot="1">
      <c r="B103" s="216"/>
      <c r="C103" s="223"/>
      <c r="D103" s="223"/>
      <c r="E103" s="223"/>
      <c r="F103" s="223"/>
      <c r="G103" s="223"/>
      <c r="H103" s="2542"/>
      <c r="I103" s="2542"/>
      <c r="J103" s="2542"/>
      <c r="K103" s="2542"/>
      <c r="L103" s="2542"/>
      <c r="M103" s="2542"/>
      <c r="N103" s="2542"/>
      <c r="O103" s="2542"/>
      <c r="P103" s="2542"/>
      <c r="Q103" s="2542"/>
      <c r="R103" s="2542"/>
      <c r="S103" s="2542"/>
      <c r="T103" s="2542"/>
      <c r="U103" s="2542"/>
      <c r="V103" s="2542"/>
      <c r="W103" s="1453"/>
    </row>
    <row r="104" spans="2:23" ht="15" thickBot="1">
      <c r="B104" s="216"/>
      <c r="C104" s="321"/>
      <c r="D104" s="223"/>
      <c r="E104" s="223"/>
      <c r="F104" s="1963" t="s">
        <v>1252</v>
      </c>
      <c r="G104" s="224" t="s">
        <v>1243</v>
      </c>
      <c r="H104" s="1028">
        <f ca="1">H36+H38-H102</f>
        <v>0</v>
      </c>
      <c r="I104" s="1029">
        <f t="shared" ref="I104:V104" ca="1" si="67">(I36+I38)-I102</f>
        <v>0</v>
      </c>
      <c r="J104" s="1029">
        <f t="shared" ca="1" si="67"/>
        <v>0</v>
      </c>
      <c r="K104" s="1029">
        <f t="shared" ca="1" si="67"/>
        <v>0</v>
      </c>
      <c r="L104" s="1029">
        <f t="shared" ca="1" si="67"/>
        <v>0</v>
      </c>
      <c r="M104" s="1029">
        <f t="shared" ca="1" si="67"/>
        <v>0</v>
      </c>
      <c r="N104" s="1029">
        <f t="shared" ca="1" si="67"/>
        <v>0</v>
      </c>
      <c r="O104" s="1029">
        <f t="shared" ca="1" si="67"/>
        <v>0</v>
      </c>
      <c r="P104" s="1029">
        <f t="shared" ca="1" si="67"/>
        <v>0</v>
      </c>
      <c r="Q104" s="1029">
        <f t="shared" ca="1" si="67"/>
        <v>0</v>
      </c>
      <c r="R104" s="1029">
        <f t="shared" ca="1" si="67"/>
        <v>0</v>
      </c>
      <c r="S104" s="1029">
        <f t="shared" ca="1" si="67"/>
        <v>0</v>
      </c>
      <c r="T104" s="1029">
        <f t="shared" ca="1" si="67"/>
        <v>0</v>
      </c>
      <c r="U104" s="1029">
        <f t="shared" ca="1" si="67"/>
        <v>0</v>
      </c>
      <c r="V104" s="1030">
        <f t="shared" ca="1" si="67"/>
        <v>0</v>
      </c>
      <c r="W104" s="1453"/>
    </row>
    <row r="105" spans="2:23" s="335" customFormat="1" ht="7.5" customHeight="1">
      <c r="B105" s="1461"/>
      <c r="C105" s="965"/>
      <c r="D105" s="965"/>
      <c r="E105" s="965"/>
      <c r="F105" s="965"/>
      <c r="G105" s="965"/>
      <c r="H105" s="965"/>
      <c r="I105" s="965"/>
      <c r="J105" s="965"/>
      <c r="K105" s="965"/>
      <c r="L105" s="965"/>
      <c r="M105" s="965"/>
      <c r="N105" s="965"/>
      <c r="O105" s="965"/>
      <c r="P105" s="965"/>
      <c r="Q105" s="965"/>
      <c r="R105" s="965"/>
      <c r="S105" s="965"/>
      <c r="T105" s="965"/>
      <c r="U105" s="965"/>
      <c r="V105" s="965"/>
      <c r="W105" s="1462"/>
    </row>
    <row r="106" spans="2:23" s="335" customFormat="1">
      <c r="B106" s="1461"/>
      <c r="C106" s="965"/>
      <c r="D106" s="965"/>
      <c r="E106" s="965"/>
      <c r="F106" s="965"/>
      <c r="G106" s="965"/>
      <c r="H106" s="965"/>
      <c r="I106" s="965"/>
      <c r="J106" s="965"/>
      <c r="K106" s="965"/>
      <c r="L106" s="965"/>
      <c r="M106" s="965"/>
      <c r="N106" s="965"/>
      <c r="O106" s="965"/>
      <c r="P106" s="965"/>
      <c r="Q106" s="965"/>
      <c r="R106" s="965"/>
      <c r="S106" s="965"/>
      <c r="T106" s="965"/>
      <c r="U106" s="965"/>
      <c r="V106" s="965"/>
      <c r="W106" s="1462"/>
    </row>
    <row r="107" spans="2:23" s="335" customFormat="1" ht="15" thickBot="1">
      <c r="B107" s="1461"/>
      <c r="C107" s="965" t="s">
        <v>1300</v>
      </c>
      <c r="D107" s="965"/>
      <c r="E107" s="965"/>
      <c r="F107" s="965"/>
      <c r="G107" s="965"/>
      <c r="H107" s="965"/>
      <c r="I107" s="965"/>
      <c r="J107" s="965"/>
      <c r="K107" s="965"/>
      <c r="L107" s="965"/>
      <c r="M107" s="965"/>
      <c r="N107" s="965"/>
      <c r="O107" s="965"/>
      <c r="P107" s="965"/>
      <c r="Q107" s="965"/>
      <c r="R107" s="965"/>
      <c r="S107" s="965"/>
      <c r="T107" s="965"/>
      <c r="U107" s="965"/>
      <c r="V107" s="965"/>
      <c r="W107" s="1462"/>
    </row>
    <row r="108" spans="2:23" s="335" customFormat="1">
      <c r="B108" s="1461"/>
      <c r="C108" s="2194"/>
      <c r="D108" s="2543"/>
      <c r="E108" s="2543"/>
      <c r="F108" s="2543"/>
      <c r="G108" s="2543"/>
      <c r="H108" s="2543"/>
      <c r="I108" s="2543"/>
      <c r="J108" s="2543"/>
      <c r="K108" s="2543"/>
      <c r="L108" s="2543"/>
      <c r="M108" s="2543"/>
      <c r="N108" s="2543"/>
      <c r="O108" s="2543"/>
      <c r="P108" s="2543"/>
      <c r="Q108" s="2543"/>
      <c r="R108" s="2543"/>
      <c r="S108" s="2543"/>
      <c r="T108" s="2543"/>
      <c r="U108" s="2543"/>
      <c r="V108" s="2195"/>
      <c r="W108" s="1462"/>
    </row>
    <row r="109" spans="2:23" s="335" customFormat="1">
      <c r="B109" s="1461"/>
      <c r="C109" s="2196"/>
      <c r="D109" s="2197"/>
      <c r="E109" s="2197"/>
      <c r="F109" s="2197"/>
      <c r="G109" s="2197"/>
      <c r="H109" s="2197"/>
      <c r="I109" s="2197"/>
      <c r="J109" s="2197"/>
      <c r="K109" s="2197"/>
      <c r="L109" s="2197"/>
      <c r="M109" s="2197"/>
      <c r="N109" s="2197"/>
      <c r="O109" s="2197"/>
      <c r="P109" s="2197"/>
      <c r="Q109" s="2197"/>
      <c r="R109" s="2197"/>
      <c r="S109" s="2197"/>
      <c r="T109" s="2197"/>
      <c r="U109" s="2197"/>
      <c r="V109" s="2198"/>
      <c r="W109" s="1462"/>
    </row>
    <row r="110" spans="2:23" s="335" customFormat="1">
      <c r="B110" s="1461"/>
      <c r="C110" s="2196"/>
      <c r="D110" s="2197"/>
      <c r="E110" s="2197"/>
      <c r="F110" s="2197"/>
      <c r="G110" s="2197"/>
      <c r="H110" s="2197"/>
      <c r="I110" s="2197"/>
      <c r="J110" s="2197"/>
      <c r="K110" s="2197"/>
      <c r="L110" s="2197"/>
      <c r="M110" s="2197"/>
      <c r="N110" s="2197"/>
      <c r="O110" s="2197"/>
      <c r="P110" s="2197"/>
      <c r="Q110" s="2197"/>
      <c r="R110" s="2197"/>
      <c r="S110" s="2197"/>
      <c r="T110" s="2197"/>
      <c r="U110" s="2197"/>
      <c r="V110" s="2198"/>
      <c r="W110" s="1462"/>
    </row>
    <row r="111" spans="2:23" s="335" customFormat="1">
      <c r="B111" s="1461"/>
      <c r="C111" s="2196"/>
      <c r="D111" s="2197"/>
      <c r="E111" s="2197"/>
      <c r="F111" s="2197"/>
      <c r="G111" s="2197"/>
      <c r="H111" s="2197"/>
      <c r="I111" s="2197"/>
      <c r="J111" s="2197"/>
      <c r="K111" s="2197"/>
      <c r="L111" s="2197"/>
      <c r="M111" s="2197"/>
      <c r="N111" s="2197"/>
      <c r="O111" s="2197"/>
      <c r="P111" s="2197"/>
      <c r="Q111" s="2197"/>
      <c r="R111" s="2197"/>
      <c r="S111" s="2197"/>
      <c r="T111" s="2197"/>
      <c r="U111" s="2197"/>
      <c r="V111" s="2198"/>
      <c r="W111" s="1462"/>
    </row>
    <row r="112" spans="2:23" s="335" customFormat="1" ht="15" thickBot="1">
      <c r="B112" s="1461"/>
      <c r="C112" s="2199"/>
      <c r="D112" s="2544"/>
      <c r="E112" s="2544"/>
      <c r="F112" s="2544"/>
      <c r="G112" s="2544"/>
      <c r="H112" s="2544"/>
      <c r="I112" s="2544"/>
      <c r="J112" s="2544"/>
      <c r="K112" s="2544"/>
      <c r="L112" s="2544"/>
      <c r="M112" s="2544"/>
      <c r="N112" s="2544"/>
      <c r="O112" s="2544"/>
      <c r="P112" s="2544"/>
      <c r="Q112" s="2544"/>
      <c r="R112" s="2544"/>
      <c r="S112" s="2544"/>
      <c r="T112" s="2544"/>
      <c r="U112" s="2544"/>
      <c r="V112" s="2200"/>
      <c r="W112" s="1462"/>
    </row>
    <row r="113" spans="2:23" s="335" customFormat="1" ht="15" thickBot="1">
      <c r="B113" s="2545"/>
      <c r="C113" s="2546"/>
      <c r="D113" s="2546"/>
      <c r="E113" s="2546"/>
      <c r="F113" s="2546"/>
      <c r="G113" s="2546"/>
      <c r="H113" s="2546"/>
      <c r="I113" s="2546"/>
      <c r="J113" s="2546"/>
      <c r="K113" s="2546"/>
      <c r="L113" s="2546"/>
      <c r="M113" s="2546"/>
      <c r="N113" s="2546"/>
      <c r="O113" s="2546"/>
      <c r="P113" s="2546"/>
      <c r="Q113" s="2546"/>
      <c r="R113" s="2546"/>
      <c r="S113" s="2546"/>
      <c r="T113" s="2546"/>
      <c r="U113" s="2546"/>
      <c r="V113" s="2546"/>
      <c r="W113" s="2547"/>
    </row>
    <row r="114" spans="2:23" s="335" customFormat="1" ht="7.5" customHeight="1"/>
    <row r="115" spans="2:23" s="335" customFormat="1"/>
    <row r="116" spans="2:23" s="335" customFormat="1"/>
    <row r="117" spans="2:23" s="335" customFormat="1"/>
    <row r="118" spans="2:23" s="335" customFormat="1" ht="7.5" customHeight="1"/>
    <row r="119" spans="2:23" s="335" customFormat="1"/>
    <row r="120" spans="2:23" s="335" customFormat="1" ht="7.5" customHeight="1"/>
    <row r="121" spans="2:23" s="335" customFormat="1"/>
    <row r="122" spans="2:23" s="335" customFormat="1"/>
    <row r="123" spans="2:23" s="335" customFormat="1" ht="7.5" customHeight="1"/>
    <row r="124" spans="2:23" s="335" customFormat="1"/>
    <row r="125" spans="2:23" s="335" customFormat="1"/>
    <row r="126" spans="2:23" s="335" customFormat="1"/>
    <row r="127" spans="2:23" s="335" customFormat="1"/>
    <row r="128" spans="2:23" s="335" customFormat="1"/>
    <row r="129" s="335" customFormat="1"/>
    <row r="130" s="335" customFormat="1"/>
    <row r="131" s="335" customFormat="1"/>
    <row r="132" s="335" customFormat="1"/>
    <row r="133" s="335" customFormat="1"/>
    <row r="134" s="335" customFormat="1"/>
    <row r="135" s="335" customFormat="1"/>
    <row r="136" s="335" customFormat="1"/>
    <row r="137" s="335" customFormat="1"/>
    <row r="138" s="335" customFormat="1"/>
    <row r="139" s="335" customFormat="1"/>
    <row r="140" s="335" customFormat="1"/>
    <row r="141" s="335" customFormat="1" ht="7.5" customHeight="1"/>
    <row r="142" s="335" customFormat="1"/>
    <row r="143" s="335" customFormat="1"/>
    <row r="144" s="335" customFormat="1" ht="9" customHeight="1"/>
  </sheetData>
  <sheetProtection formatCells="0" formatColumns="0" formatRows="0"/>
  <mergeCells count="25">
    <mergeCell ref="C108:V112"/>
    <mergeCell ref="F53:G53"/>
    <mergeCell ref="F54:G54"/>
    <mergeCell ref="F56:G56"/>
    <mergeCell ref="F55:G55"/>
    <mergeCell ref="C53:E53"/>
    <mergeCell ref="C54:E54"/>
    <mergeCell ref="C55:E55"/>
    <mergeCell ref="C56:E56"/>
    <mergeCell ref="C14:V14"/>
    <mergeCell ref="F46:G46"/>
    <mergeCell ref="C45:E45"/>
    <mergeCell ref="C46:E46"/>
    <mergeCell ref="C16:M16"/>
    <mergeCell ref="C28:F28"/>
    <mergeCell ref="C29:F29"/>
    <mergeCell ref="C24:F24"/>
    <mergeCell ref="C25:F25"/>
    <mergeCell ref="F47:G47"/>
    <mergeCell ref="F52:G52"/>
    <mergeCell ref="C47:E47"/>
    <mergeCell ref="E50:G50"/>
    <mergeCell ref="C43:D43"/>
    <mergeCell ref="F44:G44"/>
    <mergeCell ref="F45:G45"/>
  </mergeCells>
  <conditionalFormatting sqref="H50:V50">
    <cfRule type="cellIs" dxfId="16" priority="8" operator="lessThan">
      <formula>0</formula>
    </cfRule>
  </conditionalFormatting>
  <conditionalFormatting sqref="H36:V36 H41:V41 H50:V50 H60:V60 H104:V104">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0:F92">
    <cfRule type="cellIs" dxfId="11" priority="3" operator="notEqual">
      <formula>0.035</formula>
    </cfRule>
  </conditionalFormatting>
  <conditionalFormatting sqref="F95:F96">
    <cfRule type="cellIs" dxfId="10" priority="2" operator="notEqual">
      <formula>0.035</formula>
    </cfRule>
  </conditionalFormatting>
  <conditionalFormatting sqref="F99">
    <cfRule type="cellIs" dxfId="9" priority="1" operator="notEqual">
      <formula>0.035</formula>
    </cfRule>
  </conditionalFormatting>
  <pageMargins left="0.25" right="0.25" top="0.75" bottom="0.75" header="0.3" footer="0.3"/>
  <pageSetup scale="57" fitToHeight="2" orientation="landscape" r:id="rId1"/>
  <headerFooter>
    <oddFooter>&amp;LForm 8D
Operating Pro Forma&amp;CCFA Forms&amp;REdition: 2016
Version: 1.0</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6:K50"/>
  <sheetViews>
    <sheetView showGridLines="0" topLeftCell="A30" zoomScaleNormal="100" workbookViewId="0" xr3:uid="{F4A53677-9E12-59C4-BAB1-211CDE2C826E}">
      <selection activeCell="I46" sqref="I46"/>
    </sheetView>
  </sheetViews>
  <sheetFormatPr defaultColWidth="9.140625" defaultRowHeight="14.45"/>
  <cols>
    <col min="1" max="2" width="1.7109375" style="339" customWidth="1"/>
    <col min="3" max="3" width="14.28515625" style="339" customWidth="1"/>
    <col min="4" max="4" width="10" style="339" customWidth="1"/>
    <col min="5" max="5" width="74.28515625" style="339" customWidth="1"/>
    <col min="6" max="6" width="1.7109375" style="339" customWidth="1"/>
    <col min="7" max="16384" width="9.140625" style="339"/>
  </cols>
  <sheetData>
    <row r="6" spans="2:6" ht="15" thickBot="1"/>
    <row r="7" spans="2:6" ht="9" customHeight="1">
      <c r="B7" s="538"/>
      <c r="C7" s="2548"/>
      <c r="D7" s="2548"/>
      <c r="E7" s="2549"/>
      <c r="F7" s="539"/>
    </row>
    <row r="8" spans="2:6" ht="18.600000000000001">
      <c r="B8" s="540"/>
      <c r="C8" s="2057" t="s">
        <v>1301</v>
      </c>
      <c r="D8" s="2057"/>
      <c r="E8" s="2057"/>
      <c r="F8" s="541"/>
    </row>
    <row r="9" spans="2:6">
      <c r="B9" s="540"/>
      <c r="C9" s="1945"/>
      <c r="D9" s="1945"/>
      <c r="E9" s="191"/>
      <c r="F9" s="541"/>
    </row>
    <row r="10" spans="2:6" ht="15" thickBot="1">
      <c r="B10" s="540"/>
      <c r="C10" s="2550" t="str">
        <f>IF('1'!G5="","Enter Project Name on Form 1",(CONCATENATE("Project Name: ",'1'!G5)))</f>
        <v>Project Name: DESC 22nd Avenue PSH</v>
      </c>
      <c r="D10" s="2550"/>
      <c r="E10" s="2550"/>
      <c r="F10" s="541"/>
    </row>
    <row r="11" spans="2:6" ht="22.5" customHeight="1">
      <c r="B11" s="540"/>
      <c r="C11" s="247"/>
      <c r="D11" s="247"/>
      <c r="E11" s="362"/>
      <c r="F11" s="541"/>
    </row>
    <row r="12" spans="2:6">
      <c r="B12" s="540"/>
      <c r="C12" s="542" t="s">
        <v>1302</v>
      </c>
      <c r="D12" s="542"/>
      <c r="E12" s="191"/>
      <c r="F12" s="541"/>
    </row>
    <row r="13" spans="2:6" ht="15" thickBot="1">
      <c r="B13" s="540"/>
      <c r="C13" s="108" t="s">
        <v>1303</v>
      </c>
      <c r="D13" s="108"/>
      <c r="E13" s="543"/>
      <c r="F13" s="541"/>
    </row>
    <row r="14" spans="2:6">
      <c r="B14" s="540"/>
      <c r="C14" s="2208" t="s">
        <v>1304</v>
      </c>
      <c r="D14" s="2209"/>
      <c r="E14" s="2210"/>
      <c r="F14" s="541"/>
    </row>
    <row r="15" spans="2:6">
      <c r="B15" s="540"/>
      <c r="C15" s="2211"/>
      <c r="D15" s="2212"/>
      <c r="E15" s="2213"/>
      <c r="F15" s="541"/>
    </row>
    <row r="16" spans="2:6">
      <c r="B16" s="540"/>
      <c r="C16" s="2211"/>
      <c r="D16" s="2212"/>
      <c r="E16" s="2213"/>
      <c r="F16" s="541"/>
    </row>
    <row r="17" spans="1:11" ht="15" thickBot="1">
      <c r="B17" s="540"/>
      <c r="C17" s="2214"/>
      <c r="D17" s="2551"/>
      <c r="E17" s="2215"/>
      <c r="F17" s="541"/>
    </row>
    <row r="18" spans="1:11">
      <c r="B18" s="540"/>
      <c r="C18" s="112"/>
      <c r="D18" s="112"/>
      <c r="E18" s="543"/>
      <c r="F18" s="541"/>
    </row>
    <row r="19" spans="1:11">
      <c r="A19" s="336"/>
      <c r="B19" s="540"/>
      <c r="C19" s="542" t="s">
        <v>1305</v>
      </c>
      <c r="D19" s="542"/>
      <c r="E19" s="288"/>
      <c r="F19" s="544"/>
      <c r="G19" s="336"/>
      <c r="H19" s="336"/>
      <c r="I19" s="336"/>
      <c r="J19" s="336"/>
      <c r="K19" s="336"/>
    </row>
    <row r="20" spans="1:11" ht="7.5" customHeight="1">
      <c r="A20" s="336"/>
      <c r="B20" s="540"/>
      <c r="C20" s="545"/>
      <c r="D20" s="545"/>
      <c r="E20" s="288"/>
      <c r="F20" s="544"/>
      <c r="G20" s="336"/>
      <c r="H20" s="336"/>
      <c r="I20" s="336"/>
      <c r="J20" s="336"/>
      <c r="K20" s="336"/>
    </row>
    <row r="21" spans="1:11" ht="15" thickBot="1">
      <c r="A21" s="336"/>
      <c r="B21" s="540"/>
      <c r="C21" s="221" t="s">
        <v>1269</v>
      </c>
      <c r="D21" s="221"/>
      <c r="E21" s="486"/>
      <c r="F21" s="544"/>
      <c r="G21" s="336"/>
      <c r="H21" s="336"/>
      <c r="I21" s="336"/>
      <c r="J21" s="336"/>
      <c r="K21" s="336"/>
    </row>
    <row r="22" spans="1:11" ht="15" thickBot="1">
      <c r="A22" s="336"/>
      <c r="B22" s="540"/>
      <c r="C22" s="246" t="s">
        <v>1271</v>
      </c>
      <c r="D22" s="246"/>
      <c r="E22" s="848" t="s">
        <v>1306</v>
      </c>
      <c r="F22" s="544"/>
      <c r="G22" s="336"/>
      <c r="H22" s="336"/>
      <c r="I22" s="336"/>
      <c r="J22" s="336"/>
      <c r="K22" s="336"/>
    </row>
    <row r="23" spans="1:11" ht="15" thickBot="1">
      <c r="A23" s="336"/>
      <c r="B23" s="540"/>
      <c r="C23" s="246" t="s">
        <v>1272</v>
      </c>
      <c r="D23" s="246"/>
      <c r="E23" s="848" t="s">
        <v>1306</v>
      </c>
      <c r="F23" s="544"/>
      <c r="G23" s="336"/>
      <c r="H23" s="336"/>
      <c r="I23" s="336"/>
      <c r="J23" s="336"/>
      <c r="K23" s="336"/>
    </row>
    <row r="24" spans="1:11" ht="15" thickBot="1">
      <c r="A24" s="336"/>
      <c r="B24" s="540"/>
      <c r="C24" s="246" t="s">
        <v>1273</v>
      </c>
      <c r="D24" s="246"/>
      <c r="E24" s="848" t="s">
        <v>1306</v>
      </c>
      <c r="F24" s="544"/>
      <c r="G24" s="336"/>
      <c r="H24" s="336"/>
      <c r="I24" s="336"/>
      <c r="J24" s="336"/>
      <c r="K24" s="336"/>
    </row>
    <row r="25" spans="1:11" ht="15" thickBot="1">
      <c r="A25" s="336"/>
      <c r="B25" s="540"/>
      <c r="C25" s="246" t="s">
        <v>1274</v>
      </c>
      <c r="D25" s="246"/>
      <c r="E25" s="848" t="s">
        <v>1306</v>
      </c>
      <c r="F25" s="544"/>
      <c r="G25" s="336"/>
      <c r="H25" s="336"/>
      <c r="I25" s="336"/>
      <c r="J25" s="336"/>
      <c r="K25" s="336"/>
    </row>
    <row r="26" spans="1:11" ht="15" thickBot="1">
      <c r="A26" s="336"/>
      <c r="B26" s="540"/>
      <c r="C26" s="246" t="s">
        <v>1275</v>
      </c>
      <c r="D26" s="246"/>
      <c r="E26" s="848" t="s">
        <v>1306</v>
      </c>
      <c r="F26" s="544"/>
      <c r="G26" s="336"/>
      <c r="H26" s="336"/>
      <c r="I26" s="336"/>
      <c r="J26" s="336"/>
      <c r="K26" s="336"/>
    </row>
    <row r="27" spans="1:11" ht="15" thickBot="1">
      <c r="A27" s="336"/>
      <c r="B27" s="540"/>
      <c r="C27" s="246" t="s">
        <v>1276</v>
      </c>
      <c r="D27" s="246"/>
      <c r="E27" s="848" t="s">
        <v>1306</v>
      </c>
      <c r="F27" s="544"/>
      <c r="G27" s="336"/>
      <c r="H27" s="336"/>
      <c r="I27" s="336"/>
      <c r="J27" s="336"/>
      <c r="K27" s="336"/>
    </row>
    <row r="28" spans="1:11" ht="15" thickBot="1">
      <c r="A28" s="336"/>
      <c r="B28" s="540"/>
      <c r="C28" s="246" t="s">
        <v>1277</v>
      </c>
      <c r="D28" s="246"/>
      <c r="E28" s="848" t="s">
        <v>1306</v>
      </c>
      <c r="F28" s="544"/>
      <c r="G28" s="336"/>
      <c r="H28" s="336"/>
      <c r="I28" s="336"/>
      <c r="J28" s="336"/>
      <c r="K28" s="336"/>
    </row>
    <row r="29" spans="1:11" ht="15" thickBot="1">
      <c r="A29" s="336"/>
      <c r="B29" s="540"/>
      <c r="C29" s="246" t="s">
        <v>1278</v>
      </c>
      <c r="D29" s="246"/>
      <c r="E29" s="848" t="s">
        <v>1306</v>
      </c>
      <c r="F29" s="544"/>
      <c r="G29" s="336"/>
      <c r="H29" s="336"/>
      <c r="I29" s="336"/>
      <c r="J29" s="336"/>
      <c r="K29" s="336"/>
    </row>
    <row r="30" spans="1:11" ht="15" thickBot="1">
      <c r="A30" s="336"/>
      <c r="B30" s="540"/>
      <c r="C30" s="246" t="s">
        <v>1279</v>
      </c>
      <c r="D30" s="246"/>
      <c r="E30" s="848" t="s">
        <v>1306</v>
      </c>
      <c r="F30" s="544"/>
      <c r="G30" s="336"/>
      <c r="H30" s="336"/>
      <c r="I30" s="336"/>
      <c r="J30" s="336"/>
      <c r="K30" s="336"/>
    </row>
    <row r="31" spans="1:11" ht="15" thickBot="1">
      <c r="A31" s="336"/>
      <c r="B31" s="540"/>
      <c r="C31" s="246" t="s">
        <v>1280</v>
      </c>
      <c r="D31" s="246"/>
      <c r="E31" s="848" t="s">
        <v>1306</v>
      </c>
      <c r="F31" s="544"/>
      <c r="G31" s="336"/>
      <c r="H31" s="336"/>
      <c r="I31" s="336"/>
      <c r="J31" s="336"/>
      <c r="K31" s="336"/>
    </row>
    <row r="32" spans="1:11" ht="15" thickBot="1">
      <c r="A32" s="336"/>
      <c r="B32" s="540"/>
      <c r="C32" s="246" t="s">
        <v>1281</v>
      </c>
      <c r="D32" s="246"/>
      <c r="E32" s="848" t="s">
        <v>1306</v>
      </c>
      <c r="F32" s="544"/>
      <c r="G32" s="336"/>
      <c r="H32" s="336"/>
      <c r="I32" s="336"/>
      <c r="J32" s="336"/>
      <c r="K32" s="336"/>
    </row>
    <row r="33" spans="1:11" ht="15" thickBot="1">
      <c r="A33" s="336"/>
      <c r="B33" s="540"/>
      <c r="C33" s="246" t="s">
        <v>750</v>
      </c>
      <c r="D33" s="246"/>
      <c r="E33" s="848" t="s">
        <v>1306</v>
      </c>
      <c r="F33" s="544"/>
      <c r="G33" s="336"/>
      <c r="H33" s="336"/>
      <c r="I33" s="336"/>
      <c r="J33" s="336"/>
      <c r="K33" s="336"/>
    </row>
    <row r="34" spans="1:11" ht="15" thickBot="1">
      <c r="A34" s="336"/>
      <c r="B34" s="540"/>
      <c r="C34" s="246" t="s">
        <v>1282</v>
      </c>
      <c r="D34" s="246"/>
      <c r="E34" s="848" t="s">
        <v>1306</v>
      </c>
      <c r="F34" s="544"/>
      <c r="G34" s="336"/>
      <c r="H34" s="336"/>
      <c r="I34" s="336"/>
      <c r="J34" s="336"/>
      <c r="K34" s="336"/>
    </row>
    <row r="35" spans="1:11" ht="15" thickBot="1">
      <c r="A35" s="336"/>
      <c r="B35" s="540"/>
      <c r="C35" s="246" t="s">
        <v>1283</v>
      </c>
      <c r="D35" s="246"/>
      <c r="E35" s="848" t="s">
        <v>1306</v>
      </c>
      <c r="F35" s="544"/>
      <c r="G35" s="336"/>
      <c r="H35" s="336"/>
      <c r="I35" s="336"/>
      <c r="J35" s="336"/>
      <c r="K35" s="336"/>
    </row>
    <row r="36" spans="1:11" ht="15" thickBot="1">
      <c r="A36" s="336"/>
      <c r="B36" s="540"/>
      <c r="C36" s="246" t="s">
        <v>1284</v>
      </c>
      <c r="D36" s="246"/>
      <c r="E36" s="848" t="s">
        <v>1306</v>
      </c>
      <c r="F36" s="544"/>
      <c r="G36" s="336"/>
      <c r="H36" s="336"/>
      <c r="I36" s="336"/>
      <c r="J36" s="336"/>
      <c r="K36" s="336"/>
    </row>
    <row r="37" spans="1:11" ht="15" thickBot="1">
      <c r="A37" s="336"/>
      <c r="B37" s="540"/>
      <c r="C37" s="246" t="s">
        <v>1285</v>
      </c>
      <c r="D37" s="246"/>
      <c r="E37" s="848" t="s">
        <v>1306</v>
      </c>
      <c r="F37" s="544"/>
      <c r="G37" s="336"/>
      <c r="H37" s="336"/>
      <c r="I37" s="336"/>
      <c r="J37" s="336"/>
      <c r="K37" s="336"/>
    </row>
    <row r="38" spans="1:11" ht="15" thickBot="1">
      <c r="A38" s="336"/>
      <c r="B38" s="540"/>
      <c r="C38" s="246" t="s">
        <v>1286</v>
      </c>
      <c r="D38" s="246"/>
      <c r="E38" s="848" t="s">
        <v>1306</v>
      </c>
      <c r="F38" s="544"/>
      <c r="G38" s="336"/>
      <c r="H38" s="336"/>
      <c r="I38" s="336"/>
      <c r="J38" s="336"/>
      <c r="K38" s="336"/>
    </row>
    <row r="39" spans="1:11" ht="15" thickBot="1">
      <c r="A39" s="336"/>
      <c r="B39" s="540"/>
      <c r="C39" s="246" t="s">
        <v>1287</v>
      </c>
      <c r="D39" s="246"/>
      <c r="E39" s="848" t="s">
        <v>1306</v>
      </c>
      <c r="F39" s="544"/>
      <c r="G39" s="336"/>
      <c r="H39" s="336"/>
      <c r="I39" s="336"/>
      <c r="J39" s="336"/>
      <c r="K39" s="336"/>
    </row>
    <row r="40" spans="1:11" ht="15" thickBot="1">
      <c r="A40" s="336"/>
      <c r="B40" s="540"/>
      <c r="C40" s="246" t="s">
        <v>1288</v>
      </c>
      <c r="D40" s="246"/>
      <c r="E40" s="848" t="s">
        <v>1306</v>
      </c>
      <c r="F40" s="544"/>
      <c r="G40" s="336"/>
      <c r="H40" s="336"/>
      <c r="I40" s="336"/>
      <c r="J40" s="336"/>
      <c r="K40" s="336"/>
    </row>
    <row r="41" spans="1:11">
      <c r="A41" s="336"/>
      <c r="B41" s="540"/>
      <c r="C41" s="246" t="s">
        <v>1289</v>
      </c>
      <c r="D41" s="246"/>
      <c r="E41" s="848" t="s">
        <v>1306</v>
      </c>
      <c r="F41" s="544"/>
      <c r="G41" s="336"/>
      <c r="H41" s="336"/>
      <c r="I41" s="336"/>
      <c r="J41" s="336"/>
      <c r="K41" s="336"/>
    </row>
    <row r="42" spans="1:11" ht="30" customHeight="1">
      <c r="A42" s="336"/>
      <c r="B42" s="540"/>
      <c r="C42" s="2204" t="s">
        <v>1307</v>
      </c>
      <c r="D42" s="2205"/>
      <c r="E42" s="2206" t="s">
        <v>1308</v>
      </c>
      <c r="F42" s="544"/>
      <c r="G42" s="336"/>
      <c r="H42" s="336"/>
      <c r="I42" s="336"/>
      <c r="J42" s="336"/>
      <c r="K42" s="336"/>
    </row>
    <row r="43" spans="1:11" ht="15" thickBot="1">
      <c r="A43" s="336"/>
      <c r="B43" s="540"/>
      <c r="C43" s="250"/>
      <c r="D43" s="251"/>
      <c r="E43" s="2207"/>
      <c r="F43" s="544"/>
      <c r="G43" s="336"/>
      <c r="H43" s="336"/>
      <c r="I43" s="336"/>
      <c r="J43" s="336"/>
      <c r="K43" s="336"/>
    </row>
    <row r="44" spans="1:11" ht="15" thickBot="1">
      <c r="A44" s="336"/>
      <c r="B44" s="540"/>
      <c r="C44" s="221" t="s">
        <v>1309</v>
      </c>
      <c r="D44" s="221"/>
      <c r="E44" s="2552"/>
      <c r="F44" s="544"/>
      <c r="G44" s="336"/>
      <c r="H44" s="336"/>
      <c r="I44" s="336"/>
      <c r="J44" s="336"/>
      <c r="K44" s="336"/>
    </row>
    <row r="45" spans="1:11">
      <c r="A45" s="336"/>
      <c r="B45" s="540"/>
      <c r="C45" s="249" t="s">
        <v>1294</v>
      </c>
      <c r="D45" s="249"/>
      <c r="E45" s="848" t="s">
        <v>1310</v>
      </c>
      <c r="F45" s="544"/>
      <c r="G45" s="336"/>
      <c r="H45" s="336"/>
      <c r="I45" s="336"/>
      <c r="J45" s="336"/>
      <c r="K45" s="336"/>
    </row>
    <row r="46" spans="1:11" ht="15" thickBot="1">
      <c r="A46" s="336"/>
      <c r="B46" s="540"/>
      <c r="C46" s="249" t="s">
        <v>1295</v>
      </c>
      <c r="D46" s="249"/>
      <c r="E46" s="849" t="s">
        <v>1311</v>
      </c>
      <c r="F46" s="544"/>
      <c r="G46" s="336"/>
      <c r="H46" s="336"/>
      <c r="I46" s="336"/>
      <c r="J46" s="336"/>
      <c r="K46" s="336"/>
    </row>
    <row r="47" spans="1:11" ht="15" thickBot="1">
      <c r="A47" s="336"/>
      <c r="B47" s="2553"/>
      <c r="C47" s="2554"/>
      <c r="D47" s="2554"/>
      <c r="E47" s="2555"/>
      <c r="F47" s="2556"/>
      <c r="G47" s="336"/>
      <c r="H47" s="336"/>
      <c r="I47" s="336"/>
      <c r="J47" s="336"/>
      <c r="K47" s="336"/>
    </row>
    <row r="48" spans="1:11">
      <c r="A48" s="336"/>
      <c r="B48" s="336"/>
      <c r="C48" s="336"/>
      <c r="D48" s="336"/>
      <c r="E48" s="336"/>
      <c r="F48" s="336"/>
      <c r="G48" s="336"/>
      <c r="H48" s="336"/>
      <c r="I48" s="336"/>
      <c r="J48" s="336"/>
      <c r="K48" s="336"/>
    </row>
    <row r="49" spans="1:11">
      <c r="A49" s="336"/>
      <c r="B49" s="336"/>
      <c r="C49" s="336"/>
      <c r="D49" s="336"/>
      <c r="E49" s="336"/>
      <c r="F49" s="336"/>
      <c r="G49" s="336"/>
      <c r="H49" s="336"/>
      <c r="I49" s="336"/>
      <c r="J49" s="336"/>
      <c r="K49" s="336"/>
    </row>
    <row r="50" spans="1:11">
      <c r="A50" s="336"/>
      <c r="B50" s="336"/>
      <c r="C50" s="336"/>
      <c r="D50" s="336"/>
      <c r="E50" s="336"/>
      <c r="F50" s="336"/>
      <c r="G50" s="336"/>
      <c r="H50" s="336"/>
      <c r="I50" s="336"/>
      <c r="J50" s="336"/>
      <c r="K50" s="336"/>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81"/>
  <sheetViews>
    <sheetView showGridLines="0" zoomScaleNormal="100" workbookViewId="0" xr3:uid="{23B2C380-326F-580B-8990-D38B2516F165}">
      <selection activeCell="L1" sqref="L1"/>
    </sheetView>
  </sheetViews>
  <sheetFormatPr defaultColWidth="9.140625" defaultRowHeight="14.45"/>
  <cols>
    <col min="1" max="2" width="1.7109375" style="339" customWidth="1"/>
    <col min="3" max="4" width="22.85546875" style="339" customWidth="1"/>
    <col min="5" max="6" width="5.7109375" style="339" customWidth="1"/>
    <col min="7" max="7" width="9.140625" style="339"/>
    <col min="8" max="8" width="22.85546875" style="339" customWidth="1"/>
    <col min="9" max="9" width="1.7109375" style="339" customWidth="1"/>
    <col min="10" max="16384" width="9.140625" style="339"/>
  </cols>
  <sheetData>
    <row r="1" spans="2:9" s="336" customFormat="1" ht="15" thickBot="1"/>
    <row r="2" spans="2:9" s="336" customFormat="1" ht="9" customHeight="1">
      <c r="B2" s="546"/>
      <c r="C2" s="547"/>
      <c r="D2" s="547"/>
      <c r="E2" s="547"/>
      <c r="F2" s="547"/>
      <c r="G2" s="547"/>
      <c r="H2" s="547"/>
      <c r="I2" s="548"/>
    </row>
    <row r="3" spans="2:9" s="336" customFormat="1" ht="18.600000000000001">
      <c r="B3" s="549"/>
      <c r="C3" s="2057" t="s">
        <v>1312</v>
      </c>
      <c r="D3" s="2057"/>
      <c r="E3" s="2057"/>
      <c r="F3" s="2057"/>
      <c r="G3" s="2057"/>
      <c r="H3" s="2057"/>
      <c r="I3" s="550"/>
    </row>
    <row r="4" spans="2:9" s="336" customFormat="1" ht="15" customHeight="1">
      <c r="B4" s="549"/>
      <c r="C4" s="425"/>
      <c r="D4" s="362"/>
      <c r="E4" s="362"/>
      <c r="F4" s="362"/>
      <c r="G4" s="362"/>
      <c r="H4" s="362"/>
      <c r="I4" s="550"/>
    </row>
    <row r="5" spans="2:9" s="336" customFormat="1" ht="15" thickBot="1">
      <c r="B5" s="551"/>
      <c r="C5" s="2557" t="str">
        <f>IF('1'!G5="","Enter Project Name on Form 1",(CONCATENATE("Project Name: ",'1'!G5)))</f>
        <v>Project Name: DESC 22nd Avenue PSH</v>
      </c>
      <c r="D5" s="2557"/>
      <c r="E5" s="2557"/>
      <c r="F5" s="2557"/>
      <c r="G5" s="2557"/>
      <c r="H5" s="1973"/>
      <c r="I5" s="552"/>
    </row>
    <row r="6" spans="2:9" s="336" customFormat="1" ht="15" customHeight="1" thickBot="1">
      <c r="B6" s="549"/>
      <c r="C6" s="362"/>
      <c r="D6" s="362"/>
      <c r="E6" s="362"/>
      <c r="F6" s="362"/>
      <c r="G6" s="362"/>
      <c r="H6" s="362"/>
      <c r="I6" s="550"/>
    </row>
    <row r="7" spans="2:9" s="336" customFormat="1">
      <c r="B7" s="549"/>
      <c r="C7" s="2558" t="s">
        <v>1313</v>
      </c>
      <c r="D7" s="2559"/>
      <c r="E7" s="2559"/>
      <c r="F7" s="2559"/>
      <c r="G7" s="2559"/>
      <c r="H7" s="2560"/>
      <c r="I7" s="550"/>
    </row>
    <row r="8" spans="2:9" s="336" customFormat="1">
      <c r="B8" s="549"/>
      <c r="C8" s="283" t="s">
        <v>1314</v>
      </c>
      <c r="D8" s="2218" t="str">
        <f>IF('1'!G8="","Enter Organization Name on Form 1A",'1'!G8)</f>
        <v>DESC</v>
      </c>
      <c r="E8" s="2218"/>
      <c r="F8" s="2218"/>
      <c r="G8" s="2218"/>
      <c r="H8" s="2225"/>
      <c r="I8" s="550"/>
    </row>
    <row r="9" spans="2:9" s="336" customFormat="1">
      <c r="B9" s="549"/>
      <c r="C9" s="283" t="s">
        <v>1315</v>
      </c>
      <c r="D9" s="2219" t="s">
        <v>1316</v>
      </c>
      <c r="E9" s="2219"/>
      <c r="F9" s="2219"/>
      <c r="G9" s="2219"/>
      <c r="H9" s="2220"/>
      <c r="I9" s="550"/>
    </row>
    <row r="10" spans="2:9" s="336" customFormat="1">
      <c r="B10" s="549"/>
      <c r="C10" s="283" t="s">
        <v>662</v>
      </c>
      <c r="D10" s="1965" t="s">
        <v>663</v>
      </c>
      <c r="E10" s="362" t="s">
        <v>1317</v>
      </c>
      <c r="F10" s="1944" t="s">
        <v>1318</v>
      </c>
      <c r="G10" s="362" t="s">
        <v>1319</v>
      </c>
      <c r="H10" s="1966">
        <v>98104</v>
      </c>
      <c r="I10" s="550"/>
    </row>
    <row r="11" spans="2:9" s="336" customFormat="1">
      <c r="B11" s="549"/>
      <c r="C11" s="283" t="s">
        <v>1320</v>
      </c>
      <c r="D11" s="2216" t="s">
        <v>1321</v>
      </c>
      <c r="E11" s="2216"/>
      <c r="F11" s="2216"/>
      <c r="G11" s="2216"/>
      <c r="H11" s="2217"/>
      <c r="I11" s="550"/>
    </row>
    <row r="12" spans="2:9" s="336" customFormat="1">
      <c r="B12" s="549"/>
      <c r="C12" s="289" t="s">
        <v>1322</v>
      </c>
      <c r="D12" s="2561"/>
      <c r="E12" s="2561"/>
      <c r="F12" s="2561"/>
      <c r="G12" s="2561"/>
      <c r="H12" s="2562"/>
      <c r="I12" s="550"/>
    </row>
    <row r="13" spans="2:9">
      <c r="B13" s="553"/>
      <c r="C13" s="252"/>
      <c r="D13" s="253"/>
      <c r="E13" s="254"/>
      <c r="F13" s="254"/>
      <c r="G13" s="254"/>
      <c r="H13" s="255"/>
      <c r="I13" s="554"/>
    </row>
    <row r="14" spans="2:9" s="336" customFormat="1" ht="26.45">
      <c r="B14" s="549"/>
      <c r="C14" s="282" t="s">
        <v>1323</v>
      </c>
      <c r="D14" s="2216" t="s">
        <v>1324</v>
      </c>
      <c r="E14" s="2216"/>
      <c r="F14" s="2216"/>
      <c r="G14" s="2216"/>
      <c r="H14" s="2217"/>
      <c r="I14" s="550"/>
    </row>
    <row r="15" spans="2:9" s="336" customFormat="1">
      <c r="B15" s="549"/>
      <c r="C15" s="283" t="s">
        <v>645</v>
      </c>
      <c r="D15" s="2216" t="s">
        <v>1325</v>
      </c>
      <c r="E15" s="2216"/>
      <c r="F15" s="2216"/>
      <c r="G15" s="175" t="s">
        <v>1326</v>
      </c>
      <c r="H15" s="1966"/>
      <c r="I15" s="550"/>
    </row>
    <row r="16" spans="2:9" s="336" customFormat="1">
      <c r="B16" s="549"/>
      <c r="C16" s="283" t="s">
        <v>647</v>
      </c>
      <c r="D16" s="2216" t="s">
        <v>1327</v>
      </c>
      <c r="E16" s="2216"/>
      <c r="F16" s="2216"/>
      <c r="G16" s="2216"/>
      <c r="H16" s="2217"/>
      <c r="I16" s="550"/>
    </row>
    <row r="17" spans="2:9" s="336" customFormat="1">
      <c r="B17" s="549"/>
      <c r="C17" s="284" t="s">
        <v>1328</v>
      </c>
      <c r="D17" s="2221" t="str">
        <f>IF('1'!G10="","Enter Contact Name on Form 1A",'1'!G10)</f>
        <v>Jessica Adams, Sr. Property Developer</v>
      </c>
      <c r="E17" s="2221"/>
      <c r="F17" s="2221"/>
      <c r="G17" s="2221"/>
      <c r="H17" s="2222"/>
      <c r="I17" s="550"/>
    </row>
    <row r="18" spans="2:9" s="336" customFormat="1">
      <c r="B18" s="549"/>
      <c r="C18" s="283" t="s">
        <v>645</v>
      </c>
      <c r="D18" s="2221" t="str">
        <f>IF('1'!G12="","Enter Phone Number on Form 1A",'1'!G12)</f>
        <v>(206) 515-1522</v>
      </c>
      <c r="E18" s="2221"/>
      <c r="F18" s="2221"/>
      <c r="G18" s="175" t="s">
        <v>1326</v>
      </c>
      <c r="H18" s="1966"/>
      <c r="I18" s="550"/>
    </row>
    <row r="19" spans="2:9" s="336" customFormat="1">
      <c r="B19" s="549"/>
      <c r="C19" s="283" t="s">
        <v>647</v>
      </c>
      <c r="D19" s="2223" t="str">
        <f>IF('1'!J12="","Enter Email on Form 1A",'1'!J12)</f>
        <v>jadams@desc.org</v>
      </c>
      <c r="E19" s="2223"/>
      <c r="F19" s="2223"/>
      <c r="G19" s="2223"/>
      <c r="H19" s="2224"/>
      <c r="I19" s="550"/>
    </row>
    <row r="20" spans="2:9" s="336" customFormat="1" ht="15" thickBot="1">
      <c r="B20" s="549"/>
      <c r="C20" s="285"/>
      <c r="D20" s="2539"/>
      <c r="E20" s="2539"/>
      <c r="F20" s="2539"/>
      <c r="G20" s="2539"/>
      <c r="H20" s="301"/>
      <c r="I20" s="550"/>
    </row>
    <row r="21" spans="2:9" s="336" customFormat="1" ht="7.5" customHeight="1" thickBot="1">
      <c r="B21" s="549"/>
      <c r="C21" s="362"/>
      <c r="D21" s="362"/>
      <c r="E21" s="362"/>
      <c r="F21" s="362"/>
      <c r="G21" s="362"/>
      <c r="H21" s="362"/>
      <c r="I21" s="550"/>
    </row>
    <row r="22" spans="2:9" s="336" customFormat="1">
      <c r="B22" s="549"/>
      <c r="C22" s="2558" t="s">
        <v>552</v>
      </c>
      <c r="D22" s="2559"/>
      <c r="E22" s="2559"/>
      <c r="F22" s="2559"/>
      <c r="G22" s="2559"/>
      <c r="H22" s="2560"/>
      <c r="I22" s="550"/>
    </row>
    <row r="23" spans="2:9" s="336" customFormat="1">
      <c r="B23" s="549"/>
      <c r="C23" s="283" t="s">
        <v>1314</v>
      </c>
      <c r="D23" s="2223" t="str">
        <f>IF('1'!G15="","Enter Firm Name on Form 1A, if applicable",'1'!G15)</f>
        <v>Lotus Development Partners LLC</v>
      </c>
      <c r="E23" s="2223"/>
      <c r="F23" s="2223"/>
      <c r="G23" s="2223"/>
      <c r="H23" s="2224"/>
      <c r="I23" s="550"/>
    </row>
    <row r="24" spans="2:9" s="336" customFormat="1">
      <c r="B24" s="549"/>
      <c r="C24" s="284" t="s">
        <v>1328</v>
      </c>
      <c r="D24" s="2221" t="str">
        <f>IF('1'!G17="","Enter Contact Name on Form 1A",'1'!G17)</f>
        <v>Michelle Morlan, Principal</v>
      </c>
      <c r="E24" s="2221"/>
      <c r="F24" s="2221"/>
      <c r="G24" s="2221"/>
      <c r="H24" s="2222"/>
      <c r="I24" s="550"/>
    </row>
    <row r="25" spans="2:9" s="336" customFormat="1">
      <c r="B25" s="549"/>
      <c r="C25" s="283" t="s">
        <v>1315</v>
      </c>
      <c r="D25" s="2219" t="s">
        <v>1329</v>
      </c>
      <c r="E25" s="2219"/>
      <c r="F25" s="2219"/>
      <c r="G25" s="2219"/>
      <c r="H25" s="2220"/>
      <c r="I25" s="550"/>
    </row>
    <row r="26" spans="2:9" s="336" customFormat="1">
      <c r="B26" s="549"/>
      <c r="C26" s="283" t="s">
        <v>662</v>
      </c>
      <c r="D26" s="1965" t="s">
        <v>1330</v>
      </c>
      <c r="E26" s="362" t="s">
        <v>1317</v>
      </c>
      <c r="F26" s="1944" t="s">
        <v>1318</v>
      </c>
      <c r="G26" s="362" t="s">
        <v>1319</v>
      </c>
      <c r="H26" s="286">
        <v>98070</v>
      </c>
      <c r="I26" s="550"/>
    </row>
    <row r="27" spans="2:9" s="336" customFormat="1">
      <c r="B27" s="549"/>
      <c r="C27" s="283" t="s">
        <v>645</v>
      </c>
      <c r="D27" s="2223" t="str">
        <f>IF('1'!G19="","Enter Phone Number on Form 1A",'1'!G19)</f>
        <v>(206) 790-2706</v>
      </c>
      <c r="E27" s="2223"/>
      <c r="F27" s="175" t="s">
        <v>1326</v>
      </c>
      <c r="G27" s="2216"/>
      <c r="H27" s="2217"/>
      <c r="I27" s="550"/>
    </row>
    <row r="28" spans="2:9" s="336" customFormat="1">
      <c r="B28" s="549"/>
      <c r="C28" s="283" t="s">
        <v>647</v>
      </c>
      <c r="D28" s="2223" t="str">
        <f>IF('1'!J19="","Enter Email on Form 1A",'1'!J19)</f>
        <v>michelle@lotusdevpartners.com</v>
      </c>
      <c r="E28" s="2223"/>
      <c r="F28" s="2223"/>
      <c r="G28" s="2223"/>
      <c r="H28" s="2224"/>
      <c r="I28" s="550"/>
    </row>
    <row r="29" spans="2:9" s="336" customFormat="1" ht="15" thickBot="1">
      <c r="B29" s="549"/>
      <c r="C29" s="285"/>
      <c r="D29" s="2539"/>
      <c r="E29" s="2539"/>
      <c r="F29" s="2539"/>
      <c r="G29" s="2539"/>
      <c r="H29" s="301"/>
      <c r="I29" s="550"/>
    </row>
    <row r="30" spans="2:9" s="336" customFormat="1" ht="7.5" customHeight="1" thickBot="1">
      <c r="B30" s="549"/>
      <c r="C30" s="2563"/>
      <c r="D30" s="362"/>
      <c r="E30" s="362"/>
      <c r="F30" s="362"/>
      <c r="G30" s="362"/>
      <c r="H30" s="362"/>
      <c r="I30" s="550"/>
    </row>
    <row r="31" spans="2:9" s="336" customFormat="1">
      <c r="B31" s="549"/>
      <c r="C31" s="2558" t="s">
        <v>907</v>
      </c>
      <c r="D31" s="2559"/>
      <c r="E31" s="2559"/>
      <c r="F31" s="2559"/>
      <c r="G31" s="2559"/>
      <c r="H31" s="2560"/>
      <c r="I31" s="550"/>
    </row>
    <row r="32" spans="2:9" s="336" customFormat="1">
      <c r="B32" s="549"/>
      <c r="C32" s="283" t="s">
        <v>1314</v>
      </c>
      <c r="D32" s="2216" t="s">
        <v>1331</v>
      </c>
      <c r="E32" s="2216"/>
      <c r="F32" s="2216"/>
      <c r="G32" s="2216"/>
      <c r="H32" s="2217"/>
      <c r="I32" s="550"/>
    </row>
    <row r="33" spans="2:9" s="336" customFormat="1">
      <c r="B33" s="549"/>
      <c r="C33" s="284" t="s">
        <v>1328</v>
      </c>
      <c r="D33" s="2219" t="s">
        <v>1332</v>
      </c>
      <c r="E33" s="2219"/>
      <c r="F33" s="2219"/>
      <c r="G33" s="2219"/>
      <c r="H33" s="2220"/>
      <c r="I33" s="550"/>
    </row>
    <row r="34" spans="2:9" s="336" customFormat="1">
      <c r="B34" s="549"/>
      <c r="C34" s="283" t="s">
        <v>645</v>
      </c>
      <c r="D34" s="1967" t="s">
        <v>1333</v>
      </c>
      <c r="E34" s="362" t="s">
        <v>647</v>
      </c>
      <c r="F34" s="2216" t="s">
        <v>1334</v>
      </c>
      <c r="G34" s="2216"/>
      <c r="H34" s="2217"/>
      <c r="I34" s="550"/>
    </row>
    <row r="35" spans="2:9" s="336" customFormat="1" ht="15" thickBot="1">
      <c r="B35" s="549"/>
      <c r="C35" s="285"/>
      <c r="D35" s="2539"/>
      <c r="E35" s="2539"/>
      <c r="F35" s="2539"/>
      <c r="G35" s="2539"/>
      <c r="H35" s="301"/>
      <c r="I35" s="550"/>
    </row>
    <row r="36" spans="2:9" s="336" customFormat="1" ht="7.5" customHeight="1" thickBot="1">
      <c r="B36" s="549"/>
      <c r="C36" s="362"/>
      <c r="D36" s="362"/>
      <c r="E36" s="362"/>
      <c r="F36" s="362"/>
      <c r="G36" s="362"/>
      <c r="H36" s="362"/>
      <c r="I36" s="550"/>
    </row>
    <row r="37" spans="2:9" s="336" customFormat="1">
      <c r="B37" s="549"/>
      <c r="C37" s="2558" t="s">
        <v>1335</v>
      </c>
      <c r="D37" s="2559"/>
      <c r="E37" s="2559"/>
      <c r="F37" s="2559"/>
      <c r="G37" s="2559"/>
      <c r="H37" s="2560"/>
      <c r="I37" s="550"/>
    </row>
    <row r="38" spans="2:9" s="336" customFormat="1">
      <c r="B38" s="549"/>
      <c r="C38" s="283" t="s">
        <v>1314</v>
      </c>
      <c r="D38" s="2216" t="s">
        <v>1336</v>
      </c>
      <c r="E38" s="2216"/>
      <c r="F38" s="2216"/>
      <c r="G38" s="2216"/>
      <c r="H38" s="2217"/>
      <c r="I38" s="550"/>
    </row>
    <row r="39" spans="2:9" s="336" customFormat="1">
      <c r="B39" s="549"/>
      <c r="C39" s="284" t="s">
        <v>1328</v>
      </c>
      <c r="D39" s="2219" t="s">
        <v>1337</v>
      </c>
      <c r="E39" s="2219"/>
      <c r="F39" s="2219"/>
      <c r="G39" s="2219"/>
      <c r="H39" s="2220"/>
      <c r="I39" s="550"/>
    </row>
    <row r="40" spans="2:9" s="336" customFormat="1">
      <c r="B40" s="549"/>
      <c r="C40" s="283" t="s">
        <v>645</v>
      </c>
      <c r="D40" s="1967" t="s">
        <v>1338</v>
      </c>
      <c r="E40" s="362" t="s">
        <v>647</v>
      </c>
      <c r="F40" s="2216" t="s">
        <v>1339</v>
      </c>
      <c r="G40" s="2216"/>
      <c r="H40" s="2217"/>
      <c r="I40" s="550"/>
    </row>
    <row r="41" spans="2:9" s="336" customFormat="1" ht="15" thickBot="1">
      <c r="B41" s="549"/>
      <c r="C41" s="285"/>
      <c r="D41" s="2539"/>
      <c r="E41" s="2539"/>
      <c r="F41" s="2539"/>
      <c r="G41" s="2539"/>
      <c r="H41" s="301"/>
      <c r="I41" s="550"/>
    </row>
    <row r="42" spans="2:9" s="336" customFormat="1" ht="9" customHeight="1" thickBot="1">
      <c r="B42" s="549"/>
      <c r="C42" s="287"/>
      <c r="D42" s="287"/>
      <c r="E42" s="287"/>
      <c r="F42" s="287"/>
      <c r="G42" s="287"/>
      <c r="H42" s="287"/>
      <c r="I42" s="550"/>
    </row>
    <row r="43" spans="2:9" s="336" customFormat="1">
      <c r="B43" s="549"/>
      <c r="C43" s="2558" t="s">
        <v>1340</v>
      </c>
      <c r="D43" s="2559"/>
      <c r="E43" s="2559"/>
      <c r="F43" s="2559"/>
      <c r="G43" s="2559"/>
      <c r="H43" s="2560"/>
      <c r="I43" s="550"/>
    </row>
    <row r="44" spans="2:9" s="336" customFormat="1">
      <c r="B44" s="549"/>
      <c r="C44" s="283" t="s">
        <v>1314</v>
      </c>
      <c r="D44" s="2216" t="s">
        <v>870</v>
      </c>
      <c r="E44" s="2216"/>
      <c r="F44" s="2216"/>
      <c r="G44" s="2216"/>
      <c r="H44" s="2217"/>
      <c r="I44" s="550"/>
    </row>
    <row r="45" spans="2:9" s="336" customFormat="1">
      <c r="B45" s="549"/>
      <c r="C45" s="284" t="s">
        <v>1328</v>
      </c>
      <c r="D45" s="2219"/>
      <c r="E45" s="2219"/>
      <c r="F45" s="2219"/>
      <c r="G45" s="2219"/>
      <c r="H45" s="2220"/>
      <c r="I45" s="550"/>
    </row>
    <row r="46" spans="2:9" s="336" customFormat="1">
      <c r="B46" s="549"/>
      <c r="C46" s="283" t="s">
        <v>645</v>
      </c>
      <c r="D46" s="1967"/>
      <c r="E46" s="362" t="s">
        <v>647</v>
      </c>
      <c r="F46" s="2216"/>
      <c r="G46" s="2216"/>
      <c r="H46" s="2217"/>
      <c r="I46" s="550"/>
    </row>
    <row r="47" spans="2:9" s="336" customFormat="1" ht="15" thickBot="1">
      <c r="B47" s="549"/>
      <c r="C47" s="285"/>
      <c r="D47" s="2539"/>
      <c r="E47" s="2539"/>
      <c r="F47" s="2539"/>
      <c r="G47" s="2539"/>
      <c r="H47" s="301"/>
      <c r="I47" s="550"/>
    </row>
    <row r="48" spans="2:9" s="336" customFormat="1" ht="7.5" customHeight="1" thickBot="1">
      <c r="B48" s="536"/>
      <c r="C48" s="287"/>
      <c r="D48" s="287"/>
      <c r="E48" s="287"/>
      <c r="F48" s="287"/>
      <c r="G48" s="287"/>
      <c r="H48" s="287"/>
      <c r="I48" s="537"/>
    </row>
    <row r="49" spans="2:9" s="336" customFormat="1" ht="9" customHeight="1">
      <c r="B49" s="546"/>
      <c r="C49" s="547"/>
      <c r="D49" s="547"/>
      <c r="E49" s="547"/>
      <c r="F49" s="547"/>
      <c r="G49" s="547"/>
      <c r="H49" s="547"/>
      <c r="I49" s="548"/>
    </row>
    <row r="50" spans="2:9" s="336" customFormat="1" ht="18.600000000000001">
      <c r="B50" s="549"/>
      <c r="C50" s="2057" t="s">
        <v>1341</v>
      </c>
      <c r="D50" s="2057"/>
      <c r="E50" s="2057"/>
      <c r="F50" s="2057"/>
      <c r="G50" s="2057"/>
      <c r="H50" s="2057"/>
      <c r="I50" s="550"/>
    </row>
    <row r="51" spans="2:9" s="336" customFormat="1" ht="15" customHeight="1">
      <c r="B51" s="549"/>
      <c r="C51" s="425"/>
      <c r="D51" s="362"/>
      <c r="E51" s="362"/>
      <c r="F51" s="362"/>
      <c r="G51" s="362"/>
      <c r="H51" s="362"/>
      <c r="I51" s="550"/>
    </row>
    <row r="52" spans="2:9" s="336" customFormat="1">
      <c r="B52" s="551"/>
      <c r="C52" s="321" t="s">
        <v>638</v>
      </c>
      <c r="D52" s="2218" t="str">
        <f>IF('1'!G5="","Enter Project Name on Form 1A",'1'!G5)</f>
        <v>DESC 22nd Avenue PSH</v>
      </c>
      <c r="E52" s="2218"/>
      <c r="F52" s="2218"/>
      <c r="G52" s="2218"/>
      <c r="H52" s="2218"/>
      <c r="I52" s="552"/>
    </row>
    <row r="53" spans="2:9" s="336" customFormat="1" ht="15" customHeight="1" thickBot="1">
      <c r="B53" s="549"/>
      <c r="C53" s="362"/>
      <c r="D53" s="362"/>
      <c r="E53" s="362"/>
      <c r="F53" s="362"/>
      <c r="G53" s="362"/>
      <c r="H53" s="362"/>
      <c r="I53" s="550"/>
    </row>
    <row r="54" spans="2:9" s="336" customFormat="1">
      <c r="B54" s="549"/>
      <c r="C54" s="2558" t="s">
        <v>1342</v>
      </c>
      <c r="D54" s="2559"/>
      <c r="E54" s="2559"/>
      <c r="F54" s="2559"/>
      <c r="G54" s="2559"/>
      <c r="H54" s="2560"/>
      <c r="I54" s="550"/>
    </row>
    <row r="55" spans="2:9" s="336" customFormat="1">
      <c r="B55" s="549"/>
      <c r="C55" s="283" t="s">
        <v>1314</v>
      </c>
      <c r="D55" s="2216" t="s">
        <v>642</v>
      </c>
      <c r="E55" s="2216"/>
      <c r="F55" s="2216"/>
      <c r="G55" s="2216"/>
      <c r="H55" s="2217"/>
      <c r="I55" s="550"/>
    </row>
    <row r="56" spans="2:9" s="336" customFormat="1">
      <c r="B56" s="549"/>
      <c r="C56" s="284" t="s">
        <v>1328</v>
      </c>
      <c r="D56" s="2219" t="s">
        <v>1343</v>
      </c>
      <c r="E56" s="2219"/>
      <c r="F56" s="2219"/>
      <c r="G56" s="2219"/>
      <c r="H56" s="2220"/>
      <c r="I56" s="550"/>
    </row>
    <row r="57" spans="2:9" s="336" customFormat="1">
      <c r="B57" s="549"/>
      <c r="C57" s="283" t="s">
        <v>1315</v>
      </c>
      <c r="D57" s="2219" t="s">
        <v>1316</v>
      </c>
      <c r="E57" s="2219"/>
      <c r="F57" s="2219"/>
      <c r="G57" s="2219"/>
      <c r="H57" s="2220"/>
      <c r="I57" s="550"/>
    </row>
    <row r="58" spans="2:9" s="336" customFormat="1">
      <c r="B58" s="549"/>
      <c r="C58" s="283" t="s">
        <v>662</v>
      </c>
      <c r="D58" s="1965" t="s">
        <v>663</v>
      </c>
      <c r="E58" s="362" t="s">
        <v>1317</v>
      </c>
      <c r="F58" s="1944" t="s">
        <v>1318</v>
      </c>
      <c r="G58" s="362" t="s">
        <v>1319</v>
      </c>
      <c r="H58" s="1966">
        <v>98104</v>
      </c>
      <c r="I58" s="550"/>
    </row>
    <row r="59" spans="2:9" s="336" customFormat="1">
      <c r="B59" s="549"/>
      <c r="C59" s="283" t="s">
        <v>645</v>
      </c>
      <c r="D59" s="1967" t="s">
        <v>1344</v>
      </c>
      <c r="E59" s="362" t="s">
        <v>647</v>
      </c>
      <c r="F59" s="2216" t="s">
        <v>648</v>
      </c>
      <c r="G59" s="2216"/>
      <c r="H59" s="2217"/>
      <c r="I59" s="550"/>
    </row>
    <row r="60" spans="2:9" s="336" customFormat="1" ht="15" thickBot="1">
      <c r="B60" s="551"/>
      <c r="C60" s="285"/>
      <c r="D60" s="2539"/>
      <c r="E60" s="2539"/>
      <c r="F60" s="2539"/>
      <c r="G60" s="2539"/>
      <c r="H60" s="301"/>
      <c r="I60" s="552"/>
    </row>
    <row r="61" spans="2:9" s="336" customFormat="1" ht="7.5" customHeight="1" thickBot="1">
      <c r="B61" s="549"/>
      <c r="C61" s="288"/>
      <c r="D61" s="1945"/>
      <c r="E61" s="1945"/>
      <c r="F61" s="1945"/>
      <c r="G61" s="1945"/>
      <c r="H61" s="288"/>
      <c r="I61" s="550"/>
    </row>
    <row r="62" spans="2:9" s="336" customFormat="1">
      <c r="B62" s="549"/>
      <c r="C62" s="2558" t="s">
        <v>1345</v>
      </c>
      <c r="D62" s="2559"/>
      <c r="E62" s="2559"/>
      <c r="F62" s="2559"/>
      <c r="G62" s="2559"/>
      <c r="H62" s="2560"/>
      <c r="I62" s="550"/>
    </row>
    <row r="63" spans="2:9" s="336" customFormat="1">
      <c r="B63" s="549"/>
      <c r="C63" s="283" t="s">
        <v>1314</v>
      </c>
      <c r="D63" s="2216" t="s">
        <v>870</v>
      </c>
      <c r="E63" s="2216"/>
      <c r="F63" s="2216"/>
      <c r="G63" s="2216"/>
      <c r="H63" s="2217"/>
      <c r="I63" s="550"/>
    </row>
    <row r="64" spans="2:9" s="336" customFormat="1">
      <c r="B64" s="549"/>
      <c r="C64" s="284" t="s">
        <v>1328</v>
      </c>
      <c r="D64" s="2219"/>
      <c r="E64" s="2219"/>
      <c r="F64" s="2219"/>
      <c r="G64" s="2219"/>
      <c r="H64" s="2220"/>
      <c r="I64" s="550"/>
    </row>
    <row r="65" spans="2:9" s="336" customFormat="1">
      <c r="B65" s="549"/>
      <c r="C65" s="283" t="s">
        <v>645</v>
      </c>
      <c r="D65" s="1967"/>
      <c r="E65" s="362" t="s">
        <v>647</v>
      </c>
      <c r="F65" s="2216"/>
      <c r="G65" s="2216"/>
      <c r="H65" s="2217"/>
      <c r="I65" s="550"/>
    </row>
    <row r="66" spans="2:9" s="336" customFormat="1" ht="15" thickBot="1">
      <c r="B66" s="549"/>
      <c r="C66" s="285"/>
      <c r="D66" s="2539"/>
      <c r="E66" s="2539"/>
      <c r="F66" s="2539"/>
      <c r="G66" s="2539"/>
      <c r="H66" s="301"/>
      <c r="I66" s="550"/>
    </row>
    <row r="67" spans="2:9" s="336" customFormat="1" ht="7.5" customHeight="1" thickBot="1">
      <c r="B67" s="549"/>
      <c r="C67" s="362"/>
      <c r="D67" s="362"/>
      <c r="E67" s="362"/>
      <c r="F67" s="362"/>
      <c r="G67" s="362"/>
      <c r="H67" s="362"/>
      <c r="I67" s="550"/>
    </row>
    <row r="68" spans="2:9" s="336" customFormat="1">
      <c r="B68" s="549"/>
      <c r="C68" s="2558" t="s">
        <v>1346</v>
      </c>
      <c r="D68" s="2559"/>
      <c r="E68" s="2559"/>
      <c r="F68" s="2559"/>
      <c r="G68" s="2559"/>
      <c r="H68" s="2560"/>
      <c r="I68" s="550"/>
    </row>
    <row r="69" spans="2:9" s="336" customFormat="1">
      <c r="B69" s="549"/>
      <c r="C69" s="283" t="s">
        <v>1314</v>
      </c>
      <c r="D69" s="2216" t="s">
        <v>1331</v>
      </c>
      <c r="E69" s="2216"/>
      <c r="F69" s="2216"/>
      <c r="G69" s="2216"/>
      <c r="H69" s="2217"/>
      <c r="I69" s="550"/>
    </row>
    <row r="70" spans="2:9" s="336" customFormat="1">
      <c r="B70" s="549"/>
      <c r="C70" s="284" t="s">
        <v>1328</v>
      </c>
      <c r="D70" s="2219" t="s">
        <v>1347</v>
      </c>
      <c r="E70" s="2219"/>
      <c r="F70" s="2219"/>
      <c r="G70" s="2219"/>
      <c r="H70" s="2220"/>
      <c r="I70" s="550"/>
    </row>
    <row r="71" spans="2:9" s="336" customFormat="1">
      <c r="B71" s="549"/>
      <c r="C71" s="283" t="s">
        <v>645</v>
      </c>
      <c r="D71" s="1967"/>
      <c r="E71" s="362" t="s">
        <v>647</v>
      </c>
      <c r="F71" s="2216"/>
      <c r="G71" s="2216"/>
      <c r="H71" s="2217"/>
      <c r="I71" s="550"/>
    </row>
    <row r="72" spans="2:9" s="336" customFormat="1" ht="15" thickBot="1">
      <c r="B72" s="549"/>
      <c r="C72" s="285"/>
      <c r="D72" s="2539"/>
      <c r="E72" s="2539"/>
      <c r="F72" s="2539"/>
      <c r="G72" s="2539"/>
      <c r="H72" s="301"/>
      <c r="I72" s="550"/>
    </row>
    <row r="73" spans="2:9" s="336" customFormat="1" ht="7.5" customHeight="1" thickBot="1">
      <c r="B73" s="549"/>
      <c r="C73" s="362"/>
      <c r="D73" s="362"/>
      <c r="E73" s="362"/>
      <c r="F73" s="362"/>
      <c r="G73" s="362"/>
      <c r="H73" s="362"/>
      <c r="I73" s="550"/>
    </row>
    <row r="74" spans="2:9" s="336" customFormat="1">
      <c r="B74" s="549"/>
      <c r="C74" s="2558" t="s">
        <v>1348</v>
      </c>
      <c r="D74" s="2559"/>
      <c r="E74" s="2559"/>
      <c r="F74" s="2559"/>
      <c r="G74" s="2559"/>
      <c r="H74" s="2560"/>
      <c r="I74" s="550"/>
    </row>
    <row r="75" spans="2:9" s="336" customFormat="1">
      <c r="B75" s="549"/>
      <c r="C75" s="283" t="s">
        <v>1314</v>
      </c>
      <c r="D75" s="2216" t="s">
        <v>1349</v>
      </c>
      <c r="E75" s="2216"/>
      <c r="F75" s="2216"/>
      <c r="G75" s="2216"/>
      <c r="H75" s="2217"/>
      <c r="I75" s="550"/>
    </row>
    <row r="76" spans="2:9" s="336" customFormat="1">
      <c r="B76" s="549"/>
      <c r="C76" s="284" t="s">
        <v>1328</v>
      </c>
      <c r="D76" s="2219" t="s">
        <v>1350</v>
      </c>
      <c r="E76" s="2219"/>
      <c r="F76" s="2219"/>
      <c r="G76" s="2219"/>
      <c r="H76" s="2220"/>
      <c r="I76" s="550"/>
    </row>
    <row r="77" spans="2:9" s="336" customFormat="1">
      <c r="B77" s="549"/>
      <c r="C77" s="283" t="s">
        <v>1315</v>
      </c>
      <c r="D77" s="2219" t="s">
        <v>1351</v>
      </c>
      <c r="E77" s="2219"/>
      <c r="F77" s="2219"/>
      <c r="G77" s="2219"/>
      <c r="H77" s="2220"/>
      <c r="I77" s="550"/>
    </row>
    <row r="78" spans="2:9" s="336" customFormat="1">
      <c r="B78" s="549"/>
      <c r="C78" s="283" t="s">
        <v>662</v>
      </c>
      <c r="D78" s="1965" t="s">
        <v>663</v>
      </c>
      <c r="E78" s="362" t="s">
        <v>1317</v>
      </c>
      <c r="F78" s="1944" t="s">
        <v>1318</v>
      </c>
      <c r="G78" s="362" t="s">
        <v>1319</v>
      </c>
      <c r="H78" s="1966">
        <v>98144</v>
      </c>
      <c r="I78" s="550"/>
    </row>
    <row r="79" spans="2:9" s="336" customFormat="1">
      <c r="B79" s="549"/>
      <c r="C79" s="283" t="s">
        <v>645</v>
      </c>
      <c r="D79" s="1967" t="s">
        <v>1352</v>
      </c>
      <c r="E79" s="362" t="s">
        <v>647</v>
      </c>
      <c r="F79" s="2216" t="s">
        <v>1353</v>
      </c>
      <c r="G79" s="2216"/>
      <c r="H79" s="2217"/>
      <c r="I79" s="550"/>
    </row>
    <row r="80" spans="2:9" s="336" customFormat="1" ht="15" thickBot="1">
      <c r="B80" s="549"/>
      <c r="C80" s="285"/>
      <c r="D80" s="2539"/>
      <c r="E80" s="2539"/>
      <c r="F80" s="2539"/>
      <c r="G80" s="2539"/>
      <c r="H80" s="301"/>
      <c r="I80" s="550"/>
    </row>
    <row r="81" spans="2:9" s="336" customFormat="1" ht="9" customHeight="1" thickBot="1">
      <c r="B81" s="536"/>
      <c r="C81" s="287"/>
      <c r="D81" s="287"/>
      <c r="E81" s="287"/>
      <c r="F81" s="287"/>
      <c r="G81" s="287"/>
      <c r="H81" s="287"/>
      <c r="I81" s="537"/>
    </row>
  </sheetData>
  <sheetProtection algorithmName="SHA-512" hashValue="Fp23pg7nRQ7BxtD8Kg645IxYPuQRPoWroKxBjn83JbY8vjV3TzcVjBcXvlVERIA4x+NJ7VR7cTcrimaWpYbLLg==" saltValue="mFiMfKjj0Tq6vXlz05hm6A==" spinCount="100000" sheet="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6:Z43"/>
  <sheetViews>
    <sheetView showGridLines="0" topLeftCell="A13" zoomScaleNormal="100" workbookViewId="0" xr3:uid="{EE242A16-C6B8-5192-B120-522BC795EE76}">
      <selection activeCell="AC29" sqref="AC29"/>
    </sheetView>
  </sheetViews>
  <sheetFormatPr defaultColWidth="9.140625" defaultRowHeight="14.45"/>
  <cols>
    <col min="1" max="1" width="1.7109375" style="339" customWidth="1"/>
    <col min="2" max="2" width="1.7109375" style="336" customWidth="1"/>
    <col min="3" max="3" width="14.28515625" style="339" customWidth="1"/>
    <col min="4" max="4" width="30" style="339" customWidth="1"/>
    <col min="5" max="24" width="3.5703125" style="339" customWidth="1"/>
    <col min="25" max="25" width="1.7109375" style="336" customWidth="1"/>
    <col min="26" max="26" width="1.42578125" style="339" customWidth="1"/>
    <col min="27" max="16384" width="9.140625" style="339"/>
  </cols>
  <sheetData>
    <row r="6" spans="2:26" ht="15" thickBot="1"/>
    <row r="7" spans="2:26" s="336" customFormat="1" ht="9" customHeight="1">
      <c r="B7" s="166"/>
      <c r="C7" s="2226"/>
      <c r="D7" s="2226"/>
      <c r="E7" s="2227"/>
      <c r="F7" s="2227"/>
      <c r="G7" s="2227"/>
      <c r="H7" s="2227"/>
      <c r="I7" s="2227"/>
      <c r="J7" s="2227"/>
      <c r="K7" s="2227"/>
      <c r="L7" s="2227"/>
      <c r="M7" s="2227"/>
      <c r="N7" s="2227"/>
      <c r="O7" s="2227"/>
      <c r="P7" s="2227"/>
      <c r="Q7" s="2227"/>
      <c r="R7" s="2227"/>
      <c r="S7" s="2227"/>
      <c r="T7" s="2227"/>
      <c r="U7" s="2227"/>
      <c r="V7" s="2227"/>
      <c r="W7" s="2227"/>
      <c r="X7" s="2227"/>
      <c r="Y7" s="2227"/>
      <c r="Z7" s="1464"/>
    </row>
    <row r="8" spans="2:26" s="336" customFormat="1" ht="18.600000000000001">
      <c r="B8" s="174"/>
      <c r="C8" s="1954" t="s">
        <v>1354</v>
      </c>
      <c r="D8" s="612"/>
      <c r="E8" s="613"/>
      <c r="F8" s="613"/>
      <c r="G8" s="613"/>
      <c r="H8" s="613"/>
      <c r="I8" s="613"/>
      <c r="J8" s="613"/>
      <c r="K8" s="613"/>
      <c r="L8" s="613"/>
      <c r="M8" s="613"/>
      <c r="N8" s="613"/>
      <c r="O8" s="613"/>
      <c r="P8" s="613"/>
      <c r="Q8" s="613"/>
      <c r="R8" s="613"/>
      <c r="S8" s="613"/>
      <c r="T8" s="613"/>
      <c r="U8" s="613"/>
      <c r="V8" s="613"/>
      <c r="W8" s="613"/>
      <c r="X8" s="613"/>
      <c r="Y8" s="556"/>
      <c r="Z8" s="1410"/>
    </row>
    <row r="9" spans="2:26" s="336" customFormat="1" ht="18.600000000000001">
      <c r="B9" s="174"/>
      <c r="C9" s="555"/>
      <c r="D9" s="555"/>
      <c r="E9" s="556"/>
      <c r="F9" s="556"/>
      <c r="G9" s="556"/>
      <c r="H9" s="556"/>
      <c r="I9" s="556"/>
      <c r="J9" s="556"/>
      <c r="K9" s="556"/>
      <c r="L9" s="556"/>
      <c r="M9" s="556"/>
      <c r="N9" s="556"/>
      <c r="O9" s="556"/>
      <c r="P9" s="556"/>
      <c r="Q9" s="556"/>
      <c r="R9" s="556"/>
      <c r="S9" s="556"/>
      <c r="T9" s="556"/>
      <c r="U9" s="556"/>
      <c r="V9" s="556"/>
      <c r="W9" s="556"/>
      <c r="X9" s="556"/>
      <c r="Y9" s="556"/>
      <c r="Z9" s="1410"/>
    </row>
    <row r="10" spans="2:26" s="336" customFormat="1" ht="15" thickBot="1">
      <c r="B10" s="174"/>
      <c r="C10" s="2564" t="str">
        <f>IF('1'!G5="","Enter Project Name on Form 1",(CONCATENATE("Project Name: ",'1'!G5)))</f>
        <v>Project Name: DESC 22nd Avenue PSH</v>
      </c>
      <c r="D10" s="2564"/>
      <c r="E10" s="2564"/>
      <c r="F10" s="2564"/>
      <c r="G10" s="2564"/>
      <c r="H10" s="2564"/>
      <c r="I10" s="2564"/>
      <c r="J10" s="2564"/>
      <c r="K10" s="2564"/>
      <c r="L10" s="2564"/>
      <c r="M10" s="2564"/>
      <c r="N10" s="2564"/>
      <c r="O10" s="2564"/>
      <c r="P10" s="2564"/>
      <c r="Q10" s="2564"/>
      <c r="R10" s="2564"/>
      <c r="S10" s="2564"/>
      <c r="T10" s="1973"/>
      <c r="U10" s="362"/>
      <c r="V10" s="362"/>
      <c r="W10" s="362"/>
      <c r="X10" s="362"/>
      <c r="Y10" s="362"/>
      <c r="Z10" s="1410"/>
    </row>
    <row r="11" spans="2:26" s="336" customFormat="1" ht="7.5" customHeight="1">
      <c r="B11" s="174"/>
      <c r="C11" s="425"/>
      <c r="D11" s="425"/>
      <c r="E11" s="425"/>
      <c r="F11" s="425"/>
      <c r="G11" s="425"/>
      <c r="H11" s="425"/>
      <c r="I11" s="425"/>
      <c r="J11" s="425"/>
      <c r="K11" s="425"/>
      <c r="L11" s="425"/>
      <c r="M11" s="425"/>
      <c r="N11" s="425"/>
      <c r="O11" s="425"/>
      <c r="P11" s="362"/>
      <c r="Q11" s="362"/>
      <c r="R11" s="362"/>
      <c r="S11" s="362"/>
      <c r="T11" s="362"/>
      <c r="U11" s="362"/>
      <c r="V11" s="362"/>
      <c r="W11" s="362"/>
      <c r="X11" s="362"/>
      <c r="Y11" s="362"/>
      <c r="Z11" s="1410"/>
    </row>
    <row r="12" spans="2:26" ht="117.75" customHeight="1">
      <c r="B12" s="174"/>
      <c r="C12" s="2232"/>
      <c r="D12" s="2233"/>
      <c r="E12" s="602" t="s">
        <v>1355</v>
      </c>
      <c r="F12" s="2228" t="s">
        <v>1356</v>
      </c>
      <c r="G12" s="2228" t="s">
        <v>1357</v>
      </c>
      <c r="H12" s="2228" t="s">
        <v>1358</v>
      </c>
      <c r="I12" s="2228" t="s">
        <v>1359</v>
      </c>
      <c r="J12" s="2231" t="s">
        <v>1360</v>
      </c>
      <c r="K12" s="2228" t="s">
        <v>1361</v>
      </c>
      <c r="L12" s="2228" t="s">
        <v>1362</v>
      </c>
      <c r="M12" s="2228" t="s">
        <v>1363</v>
      </c>
      <c r="N12" s="2228" t="s">
        <v>1364</v>
      </c>
      <c r="O12" s="2228" t="s">
        <v>1365</v>
      </c>
      <c r="P12" s="2228" t="s">
        <v>1366</v>
      </c>
      <c r="Q12" s="2228" t="s">
        <v>1367</v>
      </c>
      <c r="R12" s="2228" t="s">
        <v>1368</v>
      </c>
      <c r="S12" s="2228" t="s">
        <v>1369</v>
      </c>
      <c r="T12" s="2228" t="s">
        <v>1370</v>
      </c>
      <c r="U12" s="2228" t="s">
        <v>1371</v>
      </c>
      <c r="V12" s="2228" t="s">
        <v>1372</v>
      </c>
      <c r="W12" s="2228" t="s">
        <v>1373</v>
      </c>
      <c r="X12" s="1465"/>
      <c r="Y12" s="1088"/>
      <c r="Z12" s="1452"/>
    </row>
    <row r="13" spans="2:26">
      <c r="B13" s="174"/>
      <c r="C13" s="606" t="s">
        <v>1374</v>
      </c>
      <c r="D13" s="607"/>
      <c r="E13" s="603" t="s">
        <v>76</v>
      </c>
      <c r="F13" s="2229"/>
      <c r="G13" s="2230"/>
      <c r="H13" s="2230"/>
      <c r="I13" s="2230"/>
      <c r="J13" s="2565"/>
      <c r="K13" s="2230"/>
      <c r="L13" s="2230"/>
      <c r="M13" s="2230"/>
      <c r="N13" s="2230"/>
      <c r="O13" s="2230"/>
      <c r="P13" s="2230"/>
      <c r="Q13" s="2230"/>
      <c r="R13" s="2230"/>
      <c r="S13" s="2230"/>
      <c r="T13" s="2230"/>
      <c r="U13" s="2230"/>
      <c r="V13" s="2230"/>
      <c r="W13" s="2230"/>
      <c r="X13" s="1466"/>
      <c r="Y13" s="1089"/>
      <c r="Z13" s="1452"/>
    </row>
    <row r="14" spans="2:26">
      <c r="B14" s="174"/>
      <c r="C14" s="608" t="s">
        <v>1357</v>
      </c>
      <c r="D14" s="609"/>
      <c r="E14" s="603"/>
      <c r="F14" s="603"/>
      <c r="G14" s="2229"/>
      <c r="H14" s="2230"/>
      <c r="I14" s="2230"/>
      <c r="J14" s="2565"/>
      <c r="K14" s="2230"/>
      <c r="L14" s="2230"/>
      <c r="M14" s="2230"/>
      <c r="N14" s="2230"/>
      <c r="O14" s="2230"/>
      <c r="P14" s="2230"/>
      <c r="Q14" s="2230"/>
      <c r="R14" s="2230"/>
      <c r="S14" s="2230"/>
      <c r="T14" s="2230"/>
      <c r="U14" s="2230"/>
      <c r="V14" s="2230"/>
      <c r="W14" s="2230"/>
      <c r="X14" s="1466"/>
      <c r="Y14" s="1089"/>
      <c r="Z14" s="1452"/>
    </row>
    <row r="15" spans="2:26">
      <c r="B15" s="174"/>
      <c r="C15" s="608" t="s">
        <v>1358</v>
      </c>
      <c r="D15" s="609"/>
      <c r="E15" s="603"/>
      <c r="F15" s="603"/>
      <c r="G15" s="603"/>
      <c r="H15" s="2229"/>
      <c r="I15" s="2230"/>
      <c r="J15" s="2565"/>
      <c r="K15" s="2230"/>
      <c r="L15" s="2230"/>
      <c r="M15" s="2230"/>
      <c r="N15" s="2230"/>
      <c r="O15" s="2230"/>
      <c r="P15" s="2230"/>
      <c r="Q15" s="2230"/>
      <c r="R15" s="2230"/>
      <c r="S15" s="2230"/>
      <c r="T15" s="2230"/>
      <c r="U15" s="2230"/>
      <c r="V15" s="2230"/>
      <c r="W15" s="2230"/>
      <c r="X15" s="1466"/>
      <c r="Y15" s="1089"/>
      <c r="Z15" s="1452"/>
    </row>
    <row r="16" spans="2:26">
      <c r="B16" s="174"/>
      <c r="C16" s="608" t="s">
        <v>1359</v>
      </c>
      <c r="D16" s="609"/>
      <c r="E16" s="603" t="s">
        <v>76</v>
      </c>
      <c r="F16" s="603" t="s">
        <v>76</v>
      </c>
      <c r="G16" s="603"/>
      <c r="H16" s="603"/>
      <c r="I16" s="2229"/>
      <c r="J16" s="2565"/>
      <c r="K16" s="2230"/>
      <c r="L16" s="2230"/>
      <c r="M16" s="2230"/>
      <c r="N16" s="2230"/>
      <c r="O16" s="2230"/>
      <c r="P16" s="2230"/>
      <c r="Q16" s="2230"/>
      <c r="R16" s="2230"/>
      <c r="S16" s="2230"/>
      <c r="T16" s="2230"/>
      <c r="U16" s="2230"/>
      <c r="V16" s="2230"/>
      <c r="W16" s="2230"/>
      <c r="X16" s="1466"/>
      <c r="Y16" s="1089"/>
      <c r="Z16" s="1452"/>
    </row>
    <row r="17" spans="2:26">
      <c r="B17" s="174"/>
      <c r="C17" s="608" t="s">
        <v>1375</v>
      </c>
      <c r="D17" s="609"/>
      <c r="E17" s="603"/>
      <c r="F17" s="603"/>
      <c r="G17" s="603"/>
      <c r="H17" s="603"/>
      <c r="I17" s="603"/>
      <c r="J17" s="2566"/>
      <c r="K17" s="2230"/>
      <c r="L17" s="2230"/>
      <c r="M17" s="2230"/>
      <c r="N17" s="2230"/>
      <c r="O17" s="2230"/>
      <c r="P17" s="2230"/>
      <c r="Q17" s="2230"/>
      <c r="R17" s="2230"/>
      <c r="S17" s="2230"/>
      <c r="T17" s="2230"/>
      <c r="U17" s="2230"/>
      <c r="V17" s="2230"/>
      <c r="W17" s="2230"/>
      <c r="X17" s="1466"/>
      <c r="Y17" s="1089"/>
      <c r="Z17" s="1452"/>
    </row>
    <row r="18" spans="2:26">
      <c r="B18" s="174"/>
      <c r="C18" s="608" t="s">
        <v>1376</v>
      </c>
      <c r="D18" s="609"/>
      <c r="E18" s="603"/>
      <c r="F18" s="603"/>
      <c r="G18" s="603"/>
      <c r="H18" s="603"/>
      <c r="I18" s="603"/>
      <c r="J18" s="603"/>
      <c r="K18" s="2229"/>
      <c r="L18" s="2230"/>
      <c r="M18" s="2230"/>
      <c r="N18" s="2230"/>
      <c r="O18" s="2230"/>
      <c r="P18" s="2230"/>
      <c r="Q18" s="2230"/>
      <c r="R18" s="2230"/>
      <c r="S18" s="2230"/>
      <c r="T18" s="2230"/>
      <c r="U18" s="2230"/>
      <c r="V18" s="2230"/>
      <c r="W18" s="2230"/>
      <c r="X18" s="1466"/>
      <c r="Y18" s="1089"/>
      <c r="Z18" s="1452"/>
    </row>
    <row r="19" spans="2:26">
      <c r="B19" s="174"/>
      <c r="C19" s="608" t="s">
        <v>1377</v>
      </c>
      <c r="D19" s="609"/>
      <c r="E19" s="603"/>
      <c r="F19" s="603"/>
      <c r="G19" s="603"/>
      <c r="H19" s="603"/>
      <c r="I19" s="603"/>
      <c r="J19" s="603"/>
      <c r="K19" s="603"/>
      <c r="L19" s="2229"/>
      <c r="M19" s="2230"/>
      <c r="N19" s="2230"/>
      <c r="O19" s="2230"/>
      <c r="P19" s="2230"/>
      <c r="Q19" s="2230"/>
      <c r="R19" s="2230"/>
      <c r="S19" s="2230"/>
      <c r="T19" s="2230"/>
      <c r="U19" s="2230"/>
      <c r="V19" s="2230"/>
      <c r="W19" s="2230"/>
      <c r="X19" s="1466"/>
      <c r="Y19" s="1089"/>
      <c r="Z19" s="1452"/>
    </row>
    <row r="20" spans="2:26">
      <c r="B20" s="174"/>
      <c r="C20" s="608" t="s">
        <v>1378</v>
      </c>
      <c r="D20" s="609"/>
      <c r="E20" s="603"/>
      <c r="F20" s="603"/>
      <c r="G20" s="603"/>
      <c r="H20" s="603"/>
      <c r="I20" s="603"/>
      <c r="J20" s="603"/>
      <c r="K20" s="603"/>
      <c r="L20" s="603"/>
      <c r="M20" s="2229"/>
      <c r="N20" s="2230"/>
      <c r="O20" s="2230"/>
      <c r="P20" s="2230"/>
      <c r="Q20" s="2230"/>
      <c r="R20" s="2230"/>
      <c r="S20" s="2230"/>
      <c r="T20" s="2230"/>
      <c r="U20" s="2230"/>
      <c r="V20" s="2230"/>
      <c r="W20" s="2230"/>
      <c r="X20" s="1466"/>
      <c r="Y20" s="1089"/>
      <c r="Z20" s="1452"/>
    </row>
    <row r="21" spans="2:26">
      <c r="B21" s="174"/>
      <c r="C21" s="608" t="s">
        <v>1379</v>
      </c>
      <c r="D21" s="609"/>
      <c r="E21" s="603"/>
      <c r="F21" s="603"/>
      <c r="G21" s="603"/>
      <c r="H21" s="603"/>
      <c r="I21" s="603"/>
      <c r="J21" s="603"/>
      <c r="K21" s="603"/>
      <c r="L21" s="603"/>
      <c r="M21" s="603"/>
      <c r="N21" s="2230"/>
      <c r="O21" s="2230"/>
      <c r="P21" s="2230"/>
      <c r="Q21" s="2230"/>
      <c r="R21" s="2230"/>
      <c r="S21" s="2230"/>
      <c r="T21" s="2230"/>
      <c r="U21" s="2230"/>
      <c r="V21" s="2230"/>
      <c r="W21" s="2230"/>
      <c r="X21" s="1466"/>
      <c r="Y21" s="1089"/>
      <c r="Z21" s="1452"/>
    </row>
    <row r="22" spans="2:26">
      <c r="B22" s="174"/>
      <c r="C22" s="608" t="s">
        <v>1365</v>
      </c>
      <c r="D22" s="609"/>
      <c r="E22" s="603"/>
      <c r="F22" s="603"/>
      <c r="G22" s="603"/>
      <c r="H22" s="603"/>
      <c r="I22" s="603"/>
      <c r="J22" s="603"/>
      <c r="K22" s="603"/>
      <c r="L22" s="603"/>
      <c r="M22" s="603"/>
      <c r="N22" s="603"/>
      <c r="O22" s="2230"/>
      <c r="P22" s="2230"/>
      <c r="Q22" s="2230"/>
      <c r="R22" s="2230"/>
      <c r="S22" s="2230"/>
      <c r="T22" s="2230"/>
      <c r="U22" s="2230"/>
      <c r="V22" s="2230"/>
      <c r="W22" s="2230"/>
      <c r="X22" s="1466"/>
      <c r="Y22" s="1089"/>
      <c r="Z22" s="1452"/>
    </row>
    <row r="23" spans="2:26">
      <c r="B23" s="174"/>
      <c r="C23" s="608" t="s">
        <v>1366</v>
      </c>
      <c r="D23" s="609"/>
      <c r="E23" s="603"/>
      <c r="F23" s="603"/>
      <c r="G23" s="603"/>
      <c r="H23" s="603"/>
      <c r="I23" s="603"/>
      <c r="J23" s="603"/>
      <c r="K23" s="603"/>
      <c r="L23" s="603"/>
      <c r="M23" s="603"/>
      <c r="N23" s="603"/>
      <c r="O23" s="603"/>
      <c r="P23" s="2230"/>
      <c r="Q23" s="2230"/>
      <c r="R23" s="2230"/>
      <c r="S23" s="2230"/>
      <c r="T23" s="2230"/>
      <c r="U23" s="2230"/>
      <c r="V23" s="2230"/>
      <c r="W23" s="2230"/>
      <c r="X23" s="1466"/>
      <c r="Y23" s="1089"/>
      <c r="Z23" s="1452"/>
    </row>
    <row r="24" spans="2:26">
      <c r="B24" s="174"/>
      <c r="C24" s="608" t="s">
        <v>1380</v>
      </c>
      <c r="D24" s="609"/>
      <c r="E24" s="603"/>
      <c r="F24" s="603"/>
      <c r="G24" s="603"/>
      <c r="H24" s="603"/>
      <c r="I24" s="603"/>
      <c r="J24" s="603"/>
      <c r="K24" s="603"/>
      <c r="L24" s="603"/>
      <c r="M24" s="603"/>
      <c r="N24" s="603"/>
      <c r="O24" s="603"/>
      <c r="P24" s="603"/>
      <c r="Q24" s="2230"/>
      <c r="R24" s="2230"/>
      <c r="S24" s="2230"/>
      <c r="T24" s="2230"/>
      <c r="U24" s="2230"/>
      <c r="V24" s="2230"/>
      <c r="W24" s="2230"/>
      <c r="X24" s="1466"/>
      <c r="Y24" s="1089"/>
      <c r="Z24" s="1452"/>
    </row>
    <row r="25" spans="2:26">
      <c r="B25" s="174"/>
      <c r="C25" s="608" t="s">
        <v>1368</v>
      </c>
      <c r="D25" s="609"/>
      <c r="E25" s="603"/>
      <c r="F25" s="603"/>
      <c r="G25" s="603"/>
      <c r="H25" s="603"/>
      <c r="I25" s="603"/>
      <c r="J25" s="603"/>
      <c r="K25" s="603"/>
      <c r="L25" s="603"/>
      <c r="M25" s="603"/>
      <c r="N25" s="603"/>
      <c r="O25" s="603"/>
      <c r="P25" s="603"/>
      <c r="Q25" s="603"/>
      <c r="R25" s="2230"/>
      <c r="S25" s="2230"/>
      <c r="T25" s="2230"/>
      <c r="U25" s="2230"/>
      <c r="V25" s="2230"/>
      <c r="W25" s="2230"/>
      <c r="X25" s="1466"/>
      <c r="Y25" s="1089"/>
      <c r="Z25" s="1452"/>
    </row>
    <row r="26" spans="2:26">
      <c r="B26" s="174"/>
      <c r="C26" s="608" t="s">
        <v>1369</v>
      </c>
      <c r="D26" s="609"/>
      <c r="E26" s="603"/>
      <c r="F26" s="603"/>
      <c r="G26" s="603"/>
      <c r="H26" s="603"/>
      <c r="I26" s="603"/>
      <c r="J26" s="603"/>
      <c r="K26" s="603"/>
      <c r="L26" s="603"/>
      <c r="M26" s="603"/>
      <c r="N26" s="603"/>
      <c r="O26" s="603"/>
      <c r="P26" s="603"/>
      <c r="Q26" s="603"/>
      <c r="R26" s="603"/>
      <c r="S26" s="2230"/>
      <c r="T26" s="2230"/>
      <c r="U26" s="2230"/>
      <c r="V26" s="2230"/>
      <c r="W26" s="2230"/>
      <c r="X26" s="1466"/>
      <c r="Y26" s="1089"/>
      <c r="Z26" s="1452"/>
    </row>
    <row r="27" spans="2:26">
      <c r="B27" s="174"/>
      <c r="C27" s="608" t="s">
        <v>1370</v>
      </c>
      <c r="D27" s="609"/>
      <c r="E27" s="603"/>
      <c r="F27" s="603"/>
      <c r="G27" s="603"/>
      <c r="H27" s="603"/>
      <c r="I27" s="603"/>
      <c r="J27" s="603"/>
      <c r="K27" s="603"/>
      <c r="L27" s="603"/>
      <c r="M27" s="603"/>
      <c r="N27" s="603"/>
      <c r="O27" s="603"/>
      <c r="P27" s="603"/>
      <c r="Q27" s="603"/>
      <c r="R27" s="603"/>
      <c r="S27" s="603"/>
      <c r="T27" s="2230"/>
      <c r="U27" s="2230"/>
      <c r="V27" s="2230"/>
      <c r="W27" s="2230"/>
      <c r="X27" s="1466"/>
      <c r="Y27" s="1089"/>
      <c r="Z27" s="1452"/>
    </row>
    <row r="28" spans="2:26">
      <c r="B28" s="174"/>
      <c r="C28" s="608" t="s">
        <v>1381</v>
      </c>
      <c r="D28" s="609"/>
      <c r="E28" s="603"/>
      <c r="F28" s="603" t="s">
        <v>76</v>
      </c>
      <c r="G28" s="603"/>
      <c r="H28" s="603"/>
      <c r="I28" s="603"/>
      <c r="J28" s="603"/>
      <c r="K28" s="603"/>
      <c r="L28" s="603"/>
      <c r="M28" s="603"/>
      <c r="N28" s="603"/>
      <c r="O28" s="603"/>
      <c r="P28" s="603"/>
      <c r="Q28" s="603"/>
      <c r="R28" s="603"/>
      <c r="S28" s="603"/>
      <c r="T28" s="603"/>
      <c r="U28" s="2230"/>
      <c r="V28" s="2230"/>
      <c r="W28" s="2230"/>
      <c r="X28" s="1466"/>
      <c r="Y28" s="1089"/>
      <c r="Z28" s="1452"/>
    </row>
    <row r="29" spans="2:26">
      <c r="B29" s="174"/>
      <c r="C29" s="608" t="s">
        <v>1372</v>
      </c>
      <c r="D29" s="609"/>
      <c r="E29" s="603"/>
      <c r="F29" s="603"/>
      <c r="G29" s="603"/>
      <c r="H29" s="603"/>
      <c r="I29" s="603"/>
      <c r="J29" s="603"/>
      <c r="K29" s="603"/>
      <c r="L29" s="603"/>
      <c r="M29" s="603"/>
      <c r="N29" s="603"/>
      <c r="O29" s="603"/>
      <c r="P29" s="603"/>
      <c r="Q29" s="603"/>
      <c r="R29" s="603"/>
      <c r="S29" s="603"/>
      <c r="T29" s="603"/>
      <c r="U29" s="603"/>
      <c r="V29" s="2230"/>
      <c r="W29" s="2230"/>
      <c r="X29" s="1466"/>
      <c r="Y29" s="1089"/>
      <c r="Z29" s="1452"/>
    </row>
    <row r="30" spans="2:26">
      <c r="B30" s="174"/>
      <c r="C30" s="610" t="s">
        <v>1373</v>
      </c>
      <c r="D30" s="611"/>
      <c r="E30" s="603"/>
      <c r="F30" s="603"/>
      <c r="G30" s="603"/>
      <c r="H30" s="603"/>
      <c r="I30" s="603"/>
      <c r="J30" s="603"/>
      <c r="K30" s="603"/>
      <c r="L30" s="603"/>
      <c r="M30" s="603"/>
      <c r="N30" s="603"/>
      <c r="O30" s="603"/>
      <c r="P30" s="603"/>
      <c r="Q30" s="603"/>
      <c r="R30" s="603"/>
      <c r="S30" s="603"/>
      <c r="T30" s="603"/>
      <c r="U30" s="603"/>
      <c r="V30" s="603"/>
      <c r="W30" s="2230"/>
      <c r="X30" s="457"/>
      <c r="Y30" s="1089"/>
      <c r="Z30" s="1452"/>
    </row>
    <row r="31" spans="2:26">
      <c r="B31" s="174"/>
      <c r="C31" s="1463" t="s">
        <v>886</v>
      </c>
      <c r="D31" s="2567"/>
      <c r="E31" s="604"/>
      <c r="F31" s="605"/>
      <c r="G31" s="605"/>
      <c r="H31" s="605"/>
      <c r="I31" s="605"/>
      <c r="J31" s="605"/>
      <c r="K31" s="605"/>
      <c r="L31" s="605"/>
      <c r="M31" s="605"/>
      <c r="N31" s="605"/>
      <c r="O31" s="605"/>
      <c r="P31" s="605"/>
      <c r="Q31" s="605"/>
      <c r="R31" s="605"/>
      <c r="S31" s="605"/>
      <c r="T31" s="605"/>
      <c r="U31" s="605"/>
      <c r="V31" s="605"/>
      <c r="W31" s="605"/>
      <c r="X31" s="1945" t="s">
        <v>66</v>
      </c>
      <c r="Y31" s="1089"/>
      <c r="Z31" s="1452"/>
    </row>
    <row r="32" spans="2:26">
      <c r="B32" s="174"/>
      <c r="C32" s="557" t="s">
        <v>886</v>
      </c>
      <c r="D32" s="2567"/>
      <c r="E32" s="256"/>
      <c r="F32" s="257"/>
      <c r="G32" s="257"/>
      <c r="H32" s="257"/>
      <c r="I32" s="257"/>
      <c r="J32" s="257"/>
      <c r="K32" s="257"/>
      <c r="L32" s="257"/>
      <c r="M32" s="257"/>
      <c r="N32" s="257"/>
      <c r="O32" s="257"/>
      <c r="P32" s="257"/>
      <c r="Q32" s="257"/>
      <c r="R32" s="257"/>
      <c r="S32" s="257"/>
      <c r="T32" s="257"/>
      <c r="U32" s="257"/>
      <c r="V32" s="257"/>
      <c r="W32" s="257"/>
      <c r="X32" s="1091"/>
      <c r="Y32" s="1090"/>
      <c r="Z32" s="1452"/>
    </row>
    <row r="33" spans="2:26" ht="7.5" customHeight="1">
      <c r="B33" s="174"/>
      <c r="C33" s="1087"/>
      <c r="D33" s="325"/>
      <c r="E33" s="1467"/>
      <c r="F33" s="1467"/>
      <c r="G33" s="1467"/>
      <c r="H33" s="1467"/>
      <c r="I33" s="1467"/>
      <c r="J33" s="1467"/>
      <c r="K33" s="1467"/>
      <c r="L33" s="1467"/>
      <c r="M33" s="1467"/>
      <c r="N33" s="1467"/>
      <c r="O33" s="1467"/>
      <c r="P33" s="1467"/>
      <c r="Q33" s="1467"/>
      <c r="R33" s="1467"/>
      <c r="S33" s="1467"/>
      <c r="T33" s="1467"/>
      <c r="U33" s="1467"/>
      <c r="V33" s="1467"/>
      <c r="W33" s="1467"/>
      <c r="X33" s="1468"/>
      <c r="Y33" s="362"/>
      <c r="Z33" s="1452"/>
    </row>
    <row r="34" spans="2:26">
      <c r="B34" s="174"/>
      <c r="C34" s="1087"/>
      <c r="D34" s="325"/>
      <c r="E34" s="1467"/>
      <c r="F34" s="1467"/>
      <c r="G34" s="1467"/>
      <c r="H34" s="1467"/>
      <c r="I34" s="1467"/>
      <c r="J34" s="1467"/>
      <c r="K34" s="1467"/>
      <c r="L34" s="1467"/>
      <c r="M34" s="2234"/>
      <c r="N34" s="2235"/>
      <c r="O34" s="2235"/>
      <c r="P34" s="2235"/>
      <c r="Q34" s="2235"/>
      <c r="R34" s="2235"/>
      <c r="S34" s="2235"/>
      <c r="T34" s="2235"/>
      <c r="U34" s="2235"/>
      <c r="V34" s="2236"/>
      <c r="W34" s="457"/>
      <c r="X34" s="457"/>
      <c r="Y34" s="362"/>
      <c r="Z34" s="1452"/>
    </row>
    <row r="35" spans="2:26" ht="7.5" customHeight="1">
      <c r="B35" s="174"/>
      <c r="C35" s="1087"/>
      <c r="D35" s="325"/>
      <c r="E35" s="1467"/>
      <c r="F35" s="1467"/>
      <c r="G35" s="1467"/>
      <c r="H35" s="1467"/>
      <c r="I35" s="1467"/>
      <c r="J35" s="1467"/>
      <c r="K35" s="1467"/>
      <c r="L35" s="1467"/>
      <c r="M35" s="1467"/>
      <c r="N35" s="1467"/>
      <c r="O35" s="457"/>
      <c r="P35" s="457"/>
      <c r="Q35" s="457"/>
      <c r="R35" s="457"/>
      <c r="S35" s="457"/>
      <c r="T35" s="457"/>
      <c r="U35" s="457"/>
      <c r="V35" s="457"/>
      <c r="W35" s="457"/>
      <c r="X35" s="457"/>
      <c r="Y35" s="362"/>
      <c r="Z35" s="1452"/>
    </row>
    <row r="36" spans="2:26" s="336" customFormat="1">
      <c r="B36" s="174"/>
      <c r="C36" s="313" t="s">
        <v>1382</v>
      </c>
      <c r="D36" s="313"/>
      <c r="E36" s="313"/>
      <c r="F36" s="313"/>
      <c r="G36" s="313"/>
      <c r="H36" s="313"/>
      <c r="I36" s="313"/>
      <c r="J36" s="313"/>
      <c r="K36" s="313"/>
      <c r="L36" s="313"/>
      <c r="M36" s="313"/>
      <c r="N36" s="313"/>
      <c r="O36" s="313"/>
      <c r="P36" s="313"/>
      <c r="Q36" s="313"/>
      <c r="R36" s="313"/>
      <c r="S36" s="313"/>
      <c r="T36" s="313"/>
      <c r="U36" s="313"/>
      <c r="V36" s="313"/>
      <c r="W36" s="313"/>
      <c r="X36" s="313"/>
      <c r="Y36" s="362"/>
      <c r="Z36" s="1410"/>
    </row>
    <row r="37" spans="2:26" s="336" customFormat="1" ht="45" customHeight="1">
      <c r="B37" s="174"/>
      <c r="C37" s="1990" t="s">
        <v>1383</v>
      </c>
      <c r="D37" s="1991"/>
      <c r="E37" s="1991"/>
      <c r="F37" s="1991"/>
      <c r="G37" s="1991"/>
      <c r="H37" s="1991"/>
      <c r="I37" s="1991"/>
      <c r="J37" s="1991"/>
      <c r="K37" s="1991"/>
      <c r="L37" s="1991"/>
      <c r="M37" s="1991"/>
      <c r="N37" s="1991"/>
      <c r="O37" s="1991"/>
      <c r="P37" s="1991"/>
      <c r="Q37" s="1991"/>
      <c r="R37" s="1991"/>
      <c r="S37" s="1991"/>
      <c r="T37" s="1991"/>
      <c r="U37" s="1991"/>
      <c r="V37" s="1991"/>
      <c r="W37" s="1991"/>
      <c r="X37" s="1992"/>
      <c r="Y37" s="362"/>
      <c r="Z37" s="1410"/>
    </row>
    <row r="38" spans="2:26" s="336" customFormat="1" ht="9" customHeight="1" thickBot="1">
      <c r="B38" s="517"/>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469"/>
    </row>
    <row r="39" spans="2:26" s="336" customFormat="1"/>
    <row r="40" spans="2:26" s="336" customFormat="1"/>
    <row r="41" spans="2:26" s="336" customFormat="1"/>
    <row r="42" spans="2:26" s="336" customFormat="1"/>
    <row r="43" spans="2:26" s="336" customFormat="1"/>
  </sheetData>
  <sheetProtection algorithmName="SHA-512" hashValue="kGCyG/OzVBcbTb8nwg20cog7FrS4GLr45k2cG+oYhXmDCktIwPDA0/1hXwaQkOmP9hdktiOj2YKmBHg57jsLhw==" saltValue="7xyDpNA+jogSJVAX18Iiq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7"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xr:uid="{00000000-0002-0000-1C00-000000000000}">
      <formula1>"X"</formula1>
    </dataValidation>
  </dataValidations>
  <pageMargins left="0.7" right="0.7" top="0.75" bottom="0.75" header="0.3" footer="0.3"/>
  <pageSetup scale="87"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1:M43"/>
  <sheetViews>
    <sheetView showGridLines="0" topLeftCell="A14" zoomScaleNormal="100" workbookViewId="0" xr3:uid="{7075697D-051A-5480-9A35-AA80E904E1A1}">
      <selection activeCell="O35" sqref="O35"/>
    </sheetView>
  </sheetViews>
  <sheetFormatPr defaultColWidth="9.140625" defaultRowHeight="14.45"/>
  <cols>
    <col min="1" max="2" width="1.7109375" style="339" customWidth="1"/>
    <col min="3" max="3" width="27.140625" style="339" customWidth="1"/>
    <col min="4" max="4" width="9.140625" style="339"/>
    <col min="5" max="5" width="11.42578125" style="339" customWidth="1"/>
    <col min="6" max="6" width="15.28515625" style="339" customWidth="1"/>
    <col min="7" max="7" width="13.140625" style="339" customWidth="1"/>
    <col min="8" max="8" width="9.140625" style="339"/>
    <col min="9" max="9" width="14.5703125" style="339" bestFit="1" customWidth="1"/>
    <col min="10" max="11" width="11" style="339" customWidth="1"/>
    <col min="12" max="12" width="14.85546875" style="339" customWidth="1"/>
    <col min="13" max="13" width="1.7109375" style="339" customWidth="1"/>
    <col min="14" max="16384" width="9.140625" style="339"/>
  </cols>
  <sheetData>
    <row r="11" spans="2:13" ht="7.5" customHeight="1" thickBot="1">
      <c r="B11" s="558"/>
      <c r="C11" s="558"/>
      <c r="D11" s="558"/>
      <c r="E11" s="558"/>
      <c r="F11" s="558"/>
      <c r="G11" s="558"/>
      <c r="H11" s="558"/>
      <c r="I11" s="558"/>
      <c r="J11" s="558"/>
      <c r="K11" s="558"/>
      <c r="L11" s="558"/>
      <c r="M11" s="559"/>
    </row>
    <row r="12" spans="2:13" ht="9" customHeight="1">
      <c r="B12" s="258"/>
      <c r="C12" s="259"/>
      <c r="D12" s="259"/>
      <c r="E12" s="259"/>
      <c r="F12" s="259"/>
      <c r="G12" s="259"/>
      <c r="H12" s="259"/>
      <c r="I12" s="259"/>
      <c r="J12" s="259"/>
      <c r="K12" s="259"/>
      <c r="L12" s="259"/>
      <c r="M12" s="260"/>
    </row>
    <row r="13" spans="2:13" ht="18.600000000000001">
      <c r="B13" s="261"/>
      <c r="C13" s="2057" t="s">
        <v>1384</v>
      </c>
      <c r="D13" s="2057"/>
      <c r="E13" s="2057"/>
      <c r="F13" s="2057"/>
      <c r="G13" s="2057"/>
      <c r="H13" s="2057"/>
      <c r="I13" s="2057"/>
      <c r="J13" s="2057"/>
      <c r="K13" s="2057"/>
      <c r="L13" s="2057"/>
      <c r="M13" s="262"/>
    </row>
    <row r="14" spans="2:13" ht="15" customHeight="1">
      <c r="B14" s="261"/>
      <c r="C14" s="624"/>
      <c r="D14" s="624"/>
      <c r="E14" s="624"/>
      <c r="F14" s="624"/>
      <c r="G14" s="624"/>
      <c r="H14" s="624"/>
      <c r="I14" s="624"/>
      <c r="J14" s="624"/>
      <c r="K14" s="624"/>
      <c r="L14" s="624"/>
      <c r="M14" s="262"/>
    </row>
    <row r="15" spans="2:13" ht="15" thickBot="1">
      <c r="B15" s="263"/>
      <c r="C15" s="2568" t="str">
        <f>IF('1'!G5="","Enter Project Name on Form 1",(CONCATENATE("Project Name: ",'1'!G5)))</f>
        <v>Project Name: DESC 22nd Avenue PSH</v>
      </c>
      <c r="D15" s="2568"/>
      <c r="E15" s="2568"/>
      <c r="F15" s="2568"/>
      <c r="G15" s="2568"/>
      <c r="H15" s="2568"/>
      <c r="I15" s="2568"/>
      <c r="J15" s="108"/>
      <c r="K15" s="108"/>
      <c r="L15" s="108"/>
      <c r="M15" s="265"/>
    </row>
    <row r="16" spans="2:13" ht="22.5" customHeight="1">
      <c r="B16" s="263"/>
      <c r="C16" s="266"/>
      <c r="D16" s="264"/>
      <c r="E16" s="264"/>
      <c r="F16" s="264"/>
      <c r="G16" s="264"/>
      <c r="H16" s="264"/>
      <c r="I16" s="560"/>
      <c r="J16" s="560"/>
      <c r="K16" s="560"/>
      <c r="L16" s="560"/>
      <c r="M16" s="265"/>
    </row>
    <row r="17" spans="2:13" ht="15.95" thickBot="1">
      <c r="B17" s="263"/>
      <c r="C17" s="2569" t="s">
        <v>1385</v>
      </c>
      <c r="D17" s="267"/>
      <c r="E17" s="268"/>
      <c r="F17" s="266"/>
      <c r="G17" s="266"/>
      <c r="H17" s="266"/>
      <c r="I17" s="266"/>
      <c r="J17" s="266"/>
      <c r="K17" s="266"/>
      <c r="L17" s="266"/>
      <c r="M17" s="265"/>
    </row>
    <row r="18" spans="2:13" ht="24.6" thickBot="1">
      <c r="B18" s="269"/>
      <c r="C18" s="2570" t="s">
        <v>1386</v>
      </c>
      <c r="D18" s="2571" t="s">
        <v>1387</v>
      </c>
      <c r="E18" s="2572" t="s">
        <v>559</v>
      </c>
      <c r="F18" s="2571" t="s">
        <v>1388</v>
      </c>
      <c r="G18" s="2571" t="s">
        <v>1389</v>
      </c>
      <c r="H18" s="2571" t="s">
        <v>1390</v>
      </c>
      <c r="I18" s="2571" t="s">
        <v>1391</v>
      </c>
      <c r="J18" s="2571" t="s">
        <v>1392</v>
      </c>
      <c r="K18" s="2571" t="s">
        <v>1393</v>
      </c>
      <c r="L18" s="2573" t="s">
        <v>1394</v>
      </c>
      <c r="M18" s="262"/>
    </row>
    <row r="19" spans="2:13" ht="26.45">
      <c r="B19" s="270"/>
      <c r="C19" s="2574" t="s">
        <v>1395</v>
      </c>
      <c r="D19" s="2575" t="s">
        <v>96</v>
      </c>
      <c r="E19" s="2576" t="s">
        <v>99</v>
      </c>
      <c r="F19" s="2577" t="s">
        <v>1396</v>
      </c>
      <c r="G19" s="2578" t="s">
        <v>1397</v>
      </c>
      <c r="H19" s="2579" t="s">
        <v>1398</v>
      </c>
      <c r="I19" s="2579" t="s">
        <v>1399</v>
      </c>
      <c r="J19" s="2579" t="s">
        <v>103</v>
      </c>
      <c r="K19" s="2580" t="s">
        <v>1400</v>
      </c>
      <c r="L19" s="2581" t="s">
        <v>1401</v>
      </c>
      <c r="M19" s="262"/>
    </row>
    <row r="20" spans="2:13" ht="39.6">
      <c r="B20" s="269"/>
      <c r="C20" s="860" t="s">
        <v>1402</v>
      </c>
      <c r="D20" s="875" t="s">
        <v>96</v>
      </c>
      <c r="E20" s="876" t="s">
        <v>100</v>
      </c>
      <c r="F20" s="852" t="s">
        <v>1396</v>
      </c>
      <c r="G20" s="853" t="s">
        <v>1397</v>
      </c>
      <c r="H20" s="854" t="s">
        <v>1403</v>
      </c>
      <c r="I20" s="854" t="s">
        <v>1404</v>
      </c>
      <c r="J20" s="854" t="s">
        <v>103</v>
      </c>
      <c r="K20" s="873" t="s">
        <v>1405</v>
      </c>
      <c r="L20" s="855" t="s">
        <v>1406</v>
      </c>
      <c r="M20" s="262"/>
    </row>
    <row r="21" spans="2:13" ht="39.6">
      <c r="B21" s="269"/>
      <c r="C21" s="860" t="s">
        <v>1407</v>
      </c>
      <c r="D21" s="875" t="s">
        <v>96</v>
      </c>
      <c r="E21" s="876" t="s">
        <v>99</v>
      </c>
      <c r="F21" s="856" t="s">
        <v>1396</v>
      </c>
      <c r="G21" s="853" t="s">
        <v>1397</v>
      </c>
      <c r="H21" s="854" t="s">
        <v>1408</v>
      </c>
      <c r="I21" s="854" t="s">
        <v>1409</v>
      </c>
      <c r="J21" s="854" t="s">
        <v>103</v>
      </c>
      <c r="K21" s="873" t="s">
        <v>1410</v>
      </c>
      <c r="L21" s="855" t="s">
        <v>1411</v>
      </c>
      <c r="M21" s="262"/>
    </row>
    <row r="22" spans="2:13" ht="39.6">
      <c r="B22" s="269"/>
      <c r="C22" s="860" t="s">
        <v>1412</v>
      </c>
      <c r="D22" s="875" t="s">
        <v>96</v>
      </c>
      <c r="E22" s="876" t="s">
        <v>99</v>
      </c>
      <c r="F22" s="856" t="s">
        <v>1396</v>
      </c>
      <c r="G22" s="853" t="s">
        <v>1397</v>
      </c>
      <c r="H22" s="854" t="s">
        <v>1413</v>
      </c>
      <c r="I22" s="854" t="s">
        <v>1414</v>
      </c>
      <c r="J22" s="854" t="s">
        <v>103</v>
      </c>
      <c r="K22" s="873" t="s">
        <v>1415</v>
      </c>
      <c r="L22" s="855" t="s">
        <v>1416</v>
      </c>
      <c r="M22" s="262"/>
    </row>
    <row r="23" spans="2:13">
      <c r="B23" s="269"/>
      <c r="C23" s="860"/>
      <c r="D23" s="875"/>
      <c r="E23" s="876"/>
      <c r="F23" s="856"/>
      <c r="G23" s="853"/>
      <c r="H23" s="854"/>
      <c r="I23" s="854"/>
      <c r="J23" s="854"/>
      <c r="K23" s="873"/>
      <c r="L23" s="855"/>
      <c r="M23" s="262"/>
    </row>
    <row r="24" spans="2:13">
      <c r="B24" s="269"/>
      <c r="C24" s="860"/>
      <c r="D24" s="875"/>
      <c r="E24" s="876"/>
      <c r="F24" s="856"/>
      <c r="G24" s="853"/>
      <c r="H24" s="854"/>
      <c r="I24" s="854"/>
      <c r="J24" s="854"/>
      <c r="K24" s="873"/>
      <c r="L24" s="855"/>
      <c r="M24" s="262"/>
    </row>
    <row r="25" spans="2:13">
      <c r="B25" s="269"/>
      <c r="C25" s="860"/>
      <c r="D25" s="875"/>
      <c r="E25" s="876"/>
      <c r="F25" s="856"/>
      <c r="G25" s="853"/>
      <c r="H25" s="854"/>
      <c r="I25" s="854"/>
      <c r="J25" s="854"/>
      <c r="K25" s="873"/>
      <c r="L25" s="855"/>
      <c r="M25" s="262"/>
    </row>
    <row r="26" spans="2:13">
      <c r="B26" s="269"/>
      <c r="C26" s="886"/>
      <c r="D26" s="887"/>
      <c r="E26" s="888"/>
      <c r="F26" s="889"/>
      <c r="G26" s="881"/>
      <c r="H26" s="882"/>
      <c r="I26" s="882"/>
      <c r="J26" s="882"/>
      <c r="K26" s="884"/>
      <c r="L26" s="885"/>
      <c r="M26" s="262"/>
    </row>
    <row r="27" spans="2:13" ht="6.75" customHeight="1" thickBot="1">
      <c r="B27" s="269"/>
      <c r="C27" s="1470"/>
      <c r="D27" s="1471"/>
      <c r="E27" s="1471"/>
      <c r="F27" s="1472"/>
      <c r="G27" s="1473"/>
      <c r="H27" s="1474"/>
      <c r="I27" s="1474"/>
      <c r="J27" s="1474"/>
      <c r="K27" s="1474"/>
      <c r="L27" s="1475"/>
      <c r="M27" s="262"/>
    </row>
    <row r="28" spans="2:13" ht="7.5" customHeight="1">
      <c r="B28" s="269"/>
      <c r="C28" s="277"/>
      <c r="D28" s="277"/>
      <c r="E28" s="277"/>
      <c r="F28" s="561"/>
      <c r="G28" s="277"/>
      <c r="H28" s="562"/>
      <c r="I28" s="562"/>
      <c r="J28" s="562"/>
      <c r="K28" s="562"/>
      <c r="L28" s="562"/>
      <c r="M28" s="262"/>
    </row>
    <row r="29" spans="2:13" ht="15.95" thickBot="1">
      <c r="B29" s="263"/>
      <c r="C29" s="2569" t="s">
        <v>1417</v>
      </c>
      <c r="D29" s="267"/>
      <c r="E29" s="268"/>
      <c r="F29" s="266"/>
      <c r="G29" s="266"/>
      <c r="H29" s="266"/>
      <c r="I29" s="266"/>
      <c r="J29" s="266"/>
      <c r="K29" s="266"/>
      <c r="L29" s="266"/>
      <c r="M29" s="265"/>
    </row>
    <row r="30" spans="2:13" ht="24.6" thickBot="1">
      <c r="B30" s="269"/>
      <c r="C30" s="2570" t="s">
        <v>1418</v>
      </c>
      <c r="D30" s="2571" t="s">
        <v>1387</v>
      </c>
      <c r="E30" s="2572" t="s">
        <v>559</v>
      </c>
      <c r="F30" s="2571" t="s">
        <v>1388</v>
      </c>
      <c r="G30" s="2571" t="s">
        <v>1389</v>
      </c>
      <c r="H30" s="2571" t="s">
        <v>1390</v>
      </c>
      <c r="I30" s="2571" t="s">
        <v>1419</v>
      </c>
      <c r="J30" s="2571" t="s">
        <v>1392</v>
      </c>
      <c r="K30" s="2571" t="s">
        <v>1420</v>
      </c>
      <c r="L30" s="2573" t="s">
        <v>1394</v>
      </c>
      <c r="M30" s="262"/>
    </row>
    <row r="31" spans="2:13" ht="27" thickBot="1">
      <c r="B31" s="270"/>
      <c r="C31" s="2582" t="s">
        <v>1421</v>
      </c>
      <c r="D31" s="2583" t="s">
        <v>96</v>
      </c>
      <c r="E31" s="2584" t="s">
        <v>99</v>
      </c>
      <c r="F31" s="856" t="s">
        <v>1396</v>
      </c>
      <c r="G31" s="853" t="s">
        <v>1397</v>
      </c>
      <c r="H31" s="2579" t="s">
        <v>1422</v>
      </c>
      <c r="I31" s="2585" t="s">
        <v>92</v>
      </c>
      <c r="J31" s="2579" t="s">
        <v>103</v>
      </c>
      <c r="K31" s="2580" t="s">
        <v>1423</v>
      </c>
      <c r="L31" s="2581" t="s">
        <v>1424</v>
      </c>
      <c r="M31" s="262"/>
    </row>
    <row r="32" spans="2:13" ht="26.45">
      <c r="B32" s="269"/>
      <c r="C32" s="861" t="s">
        <v>1425</v>
      </c>
      <c r="D32" s="850" t="s">
        <v>96</v>
      </c>
      <c r="E32" s="851" t="s">
        <v>99</v>
      </c>
      <c r="F32" s="856" t="s">
        <v>1396</v>
      </c>
      <c r="G32" s="853" t="s">
        <v>1397</v>
      </c>
      <c r="H32" s="854" t="s">
        <v>1426</v>
      </c>
      <c r="I32" s="872" t="s">
        <v>92</v>
      </c>
      <c r="J32" s="854" t="s">
        <v>103</v>
      </c>
      <c r="K32" s="873" t="s">
        <v>1427</v>
      </c>
      <c r="L32" s="2581" t="s">
        <v>1424</v>
      </c>
      <c r="M32" s="262"/>
    </row>
    <row r="33" spans="2:13" ht="26.45">
      <c r="B33" s="269"/>
      <c r="C33" s="861" t="s">
        <v>1428</v>
      </c>
      <c r="D33" s="850" t="s">
        <v>96</v>
      </c>
      <c r="E33" s="851" t="s">
        <v>100</v>
      </c>
      <c r="F33" s="856" t="s">
        <v>1396</v>
      </c>
      <c r="G33" s="853" t="s">
        <v>1397</v>
      </c>
      <c r="H33" s="854" t="s">
        <v>1429</v>
      </c>
      <c r="I33" s="872" t="s">
        <v>91</v>
      </c>
      <c r="J33" s="854"/>
      <c r="K33" s="873" t="s">
        <v>1430</v>
      </c>
      <c r="L33" s="855" t="s">
        <v>1431</v>
      </c>
      <c r="M33" s="262"/>
    </row>
    <row r="34" spans="2:13">
      <c r="B34" s="269"/>
      <c r="C34" s="861"/>
      <c r="D34" s="850"/>
      <c r="E34" s="851"/>
      <c r="F34" s="859"/>
      <c r="G34" s="853"/>
      <c r="H34" s="854"/>
      <c r="I34" s="872"/>
      <c r="J34" s="854"/>
      <c r="K34" s="873"/>
      <c r="L34" s="855"/>
      <c r="M34" s="262"/>
    </row>
    <row r="35" spans="2:13">
      <c r="B35" s="269"/>
      <c r="C35" s="861"/>
      <c r="D35" s="850"/>
      <c r="E35" s="851"/>
      <c r="F35" s="859"/>
      <c r="G35" s="853"/>
      <c r="H35" s="854"/>
      <c r="I35" s="872"/>
      <c r="J35" s="854"/>
      <c r="K35" s="873"/>
      <c r="L35" s="855"/>
      <c r="M35" s="262"/>
    </row>
    <row r="36" spans="2:13">
      <c r="B36" s="269"/>
      <c r="C36" s="877"/>
      <c r="D36" s="878"/>
      <c r="E36" s="879"/>
      <c r="F36" s="880"/>
      <c r="G36" s="881"/>
      <c r="H36" s="882"/>
      <c r="I36" s="883"/>
      <c r="J36" s="882"/>
      <c r="K36" s="884"/>
      <c r="L36" s="885"/>
      <c r="M36" s="262"/>
    </row>
    <row r="37" spans="2:13" ht="7.5" customHeight="1" thickBot="1">
      <c r="B37" s="269"/>
      <c r="C37" s="1476"/>
      <c r="D37" s="1472"/>
      <c r="E37" s="1472"/>
      <c r="F37" s="1473"/>
      <c r="G37" s="1473"/>
      <c r="H37" s="1474"/>
      <c r="I37" s="1477"/>
      <c r="J37" s="1474"/>
      <c r="K37" s="1474"/>
      <c r="L37" s="1475"/>
      <c r="M37" s="262"/>
    </row>
    <row r="38" spans="2:13" ht="9" customHeight="1" thickBot="1">
      <c r="B38" s="2586"/>
      <c r="C38" s="2587"/>
      <c r="D38" s="2587"/>
      <c r="E38" s="2587"/>
      <c r="F38" s="2587"/>
      <c r="G38" s="2587"/>
      <c r="H38" s="2587"/>
      <c r="I38" s="2587"/>
      <c r="J38" s="2587"/>
      <c r="K38" s="2587"/>
      <c r="L38" s="2587"/>
      <c r="M38" s="2588"/>
    </row>
    <row r="43" spans="2:13" ht="14.25" customHeight="1"/>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4">
    <dataValidation type="list" allowBlank="1" showInputMessage="1" showErrorMessage="1" sqref="D19:D27 D31:D37" xr:uid="{00000000-0002-0000-1D00-000000000000}">
      <formula1>Project_Type</formula1>
    </dataValidation>
    <dataValidation type="list" allowBlank="1" showInputMessage="1" showErrorMessage="1" sqref="E19:E27 E31:E37" xr:uid="{00000000-0002-0000-1D00-000001000000}">
      <formula1>Act_Typ</formula1>
    </dataValidation>
    <dataValidation type="list" allowBlank="1" showInputMessage="1" showErrorMessage="1" sqref="J19:J27 J31:J37" xr:uid="{00000000-0002-0000-1D00-000002000000}">
      <formula1>OnTime_OnBudget</formula1>
    </dataValidation>
    <dataValidation type="list" allowBlank="1" showInputMessage="1" showErrorMessage="1" sqref="I31:I37" xr:uid="{00000000-0002-0000-1D00-000003000000}">
      <formula1>Project_Status</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4:L43"/>
  <sheetViews>
    <sheetView showGridLines="0" topLeftCell="A24" zoomScaleNormal="100" workbookViewId="0" xr3:uid="{C7A11F4D-6E51-5B1A-9CF2-8FFD2B06F078}">
      <selection activeCell="N47" sqref="N47"/>
    </sheetView>
  </sheetViews>
  <sheetFormatPr defaultColWidth="9.140625" defaultRowHeight="14.45"/>
  <cols>
    <col min="1" max="2" width="1.7109375" style="339" customWidth="1"/>
    <col min="3" max="3" width="27.140625" style="339" customWidth="1"/>
    <col min="4" max="5" width="9.140625" style="339"/>
    <col min="6" max="6" width="15.28515625" style="339" customWidth="1"/>
    <col min="7" max="7" width="14.28515625" style="339" customWidth="1"/>
    <col min="8" max="9" width="16.5703125" style="339" customWidth="1"/>
    <col min="10" max="10" width="14.85546875" style="339" customWidth="1"/>
    <col min="11" max="11" width="17.140625" style="339" customWidth="1"/>
    <col min="12" max="12" width="1.7109375" style="339" customWidth="1"/>
    <col min="13" max="16384" width="9.140625" style="339"/>
  </cols>
  <sheetData>
    <row r="14" spans="2:12" ht="7.5" customHeight="1" thickBot="1">
      <c r="B14" s="559"/>
      <c r="C14" s="559"/>
      <c r="D14" s="559"/>
      <c r="E14" s="559"/>
      <c r="F14" s="559"/>
      <c r="G14" s="559"/>
      <c r="H14" s="559"/>
      <c r="I14" s="559"/>
      <c r="J14" s="559"/>
      <c r="K14" s="559"/>
      <c r="L14" s="559"/>
    </row>
    <row r="15" spans="2:12" ht="9" customHeight="1">
      <c r="B15" s="2589"/>
      <c r="C15" s="2590"/>
      <c r="D15" s="2591"/>
      <c r="E15" s="2591"/>
      <c r="F15" s="2591"/>
      <c r="G15" s="2591"/>
      <c r="H15" s="2591"/>
      <c r="I15" s="2591"/>
      <c r="J15" s="2591"/>
      <c r="K15" s="2591"/>
      <c r="L15" s="2592"/>
    </row>
    <row r="16" spans="2:12" ht="18.600000000000001">
      <c r="B16" s="261"/>
      <c r="C16" s="1954" t="s">
        <v>1432</v>
      </c>
      <c r="D16" s="614"/>
      <c r="E16" s="614"/>
      <c r="F16" s="614"/>
      <c r="G16" s="614"/>
      <c r="H16" s="614"/>
      <c r="I16" s="614"/>
      <c r="J16" s="614"/>
      <c r="K16" s="614"/>
      <c r="L16" s="262"/>
    </row>
    <row r="17" spans="2:12" ht="15" customHeight="1">
      <c r="B17" s="261"/>
      <c r="C17" s="1945"/>
      <c r="D17" s="624"/>
      <c r="E17" s="624"/>
      <c r="F17" s="624"/>
      <c r="G17" s="624"/>
      <c r="H17" s="624"/>
      <c r="I17" s="624"/>
      <c r="J17" s="624"/>
      <c r="K17" s="624"/>
      <c r="L17" s="262"/>
    </row>
    <row r="18" spans="2:12" ht="15" thickBot="1">
      <c r="B18" s="263"/>
      <c r="C18" s="2568" t="str">
        <f>IF('1'!G5="","Enter Project Name on Form 1",(CONCATENATE("Project Name: ",'1'!G5)))</f>
        <v>Project Name: DESC 22nd Avenue PSH</v>
      </c>
      <c r="D18" s="2568"/>
      <c r="E18" s="2568"/>
      <c r="F18" s="2568"/>
      <c r="G18" s="2568"/>
      <c r="H18" s="2568"/>
      <c r="I18" s="2568"/>
      <c r="J18" s="2568"/>
      <c r="K18" s="424"/>
      <c r="L18" s="265"/>
    </row>
    <row r="19" spans="2:12" ht="22.5" customHeight="1">
      <c r="B19" s="263"/>
      <c r="C19" s="155"/>
      <c r="D19" s="264"/>
      <c r="E19" s="264"/>
      <c r="F19" s="264"/>
      <c r="G19" s="264"/>
      <c r="H19" s="264"/>
      <c r="I19" s="264"/>
      <c r="J19" s="264"/>
      <c r="K19" s="266"/>
      <c r="L19" s="265"/>
    </row>
    <row r="20" spans="2:12" ht="15.75" customHeight="1">
      <c r="B20" s="263"/>
      <c r="C20" s="274" t="s">
        <v>1433</v>
      </c>
      <c r="D20" s="274"/>
      <c r="E20" s="274"/>
      <c r="F20" s="274"/>
      <c r="G20" s="274"/>
      <c r="H20" s="266"/>
      <c r="I20" s="266"/>
      <c r="J20" s="266"/>
      <c r="K20" s="266"/>
      <c r="L20" s="265"/>
    </row>
    <row r="21" spans="2:12">
      <c r="B21" s="269"/>
      <c r="C21" s="1522" t="s">
        <v>1434</v>
      </c>
      <c r="D21" s="275" t="str">
        <f>IF('1'!G15="","Enter Development Consultant Firm Name on Form 1A",'1'!G15)</f>
        <v>Lotus Development Partners LLC</v>
      </c>
      <c r="E21" s="890"/>
      <c r="F21" s="890"/>
      <c r="G21" s="890"/>
      <c r="H21" s="890"/>
      <c r="I21" s="890"/>
      <c r="J21" s="276"/>
      <c r="K21" s="560"/>
      <c r="L21" s="272"/>
    </row>
    <row r="22" spans="2:12" ht="3.75" customHeight="1" thickBot="1">
      <c r="B22" s="269"/>
      <c r="C22" s="273"/>
      <c r="D22" s="560"/>
      <c r="E22" s="560"/>
      <c r="F22" s="560"/>
      <c r="G22" s="560"/>
      <c r="H22" s="560"/>
      <c r="I22" s="560"/>
      <c r="J22" s="560"/>
      <c r="K22" s="560"/>
      <c r="L22" s="262"/>
    </row>
    <row r="23" spans="2:12" ht="24.6" thickBot="1">
      <c r="B23" s="269"/>
      <c r="C23" s="2593" t="s">
        <v>1386</v>
      </c>
      <c r="D23" s="2594" t="s">
        <v>1387</v>
      </c>
      <c r="E23" s="2595" t="s">
        <v>559</v>
      </c>
      <c r="F23" s="2594" t="s">
        <v>1389</v>
      </c>
      <c r="G23" s="2594" t="s">
        <v>1390</v>
      </c>
      <c r="H23" s="2594" t="s">
        <v>1391</v>
      </c>
      <c r="I23" s="2594" t="s">
        <v>1435</v>
      </c>
      <c r="J23" s="2594" t="s">
        <v>1393</v>
      </c>
      <c r="K23" s="2596" t="s">
        <v>1394</v>
      </c>
      <c r="L23" s="262"/>
    </row>
    <row r="24" spans="2:12">
      <c r="B24" s="270"/>
      <c r="C24" s="2597" t="s">
        <v>1436</v>
      </c>
      <c r="D24" s="2583" t="s">
        <v>37</v>
      </c>
      <c r="E24" s="2584" t="s">
        <v>1</v>
      </c>
      <c r="F24" s="2598"/>
      <c r="G24" s="2599"/>
      <c r="H24" s="2578"/>
      <c r="I24" s="2578" t="s">
        <v>1</v>
      </c>
      <c r="J24" s="2579"/>
      <c r="K24" s="2600"/>
      <c r="L24" s="262"/>
    </row>
    <row r="25" spans="2:12">
      <c r="B25" s="269"/>
      <c r="C25" s="863"/>
      <c r="D25" s="850"/>
      <c r="E25" s="851"/>
      <c r="F25" s="862"/>
      <c r="G25" s="856"/>
      <c r="H25" s="853"/>
      <c r="I25" s="853"/>
      <c r="J25" s="854"/>
      <c r="K25" s="855"/>
      <c r="L25" s="262"/>
    </row>
    <row r="26" spans="2:12">
      <c r="B26" s="269"/>
      <c r="C26" s="654"/>
      <c r="D26" s="850"/>
      <c r="E26" s="851"/>
      <c r="F26" s="862"/>
      <c r="G26" s="856"/>
      <c r="H26" s="853"/>
      <c r="I26" s="853"/>
      <c r="J26" s="854"/>
      <c r="K26" s="855"/>
      <c r="L26" s="262"/>
    </row>
    <row r="27" spans="2:12">
      <c r="B27" s="269"/>
      <c r="C27" s="654"/>
      <c r="D27" s="850"/>
      <c r="E27" s="851"/>
      <c r="F27" s="862"/>
      <c r="G27" s="856"/>
      <c r="H27" s="853"/>
      <c r="I27" s="853"/>
      <c r="J27" s="854"/>
      <c r="K27" s="855"/>
      <c r="L27" s="262"/>
    </row>
    <row r="28" spans="2:12">
      <c r="B28" s="269"/>
      <c r="C28" s="654"/>
      <c r="D28" s="850"/>
      <c r="E28" s="851"/>
      <c r="F28" s="862"/>
      <c r="G28" s="856"/>
      <c r="H28" s="853"/>
      <c r="I28" s="853"/>
      <c r="J28" s="854"/>
      <c r="K28" s="855"/>
      <c r="L28" s="262"/>
    </row>
    <row r="29" spans="2:12">
      <c r="B29" s="271"/>
      <c r="C29" s="654"/>
      <c r="D29" s="850"/>
      <c r="E29" s="851"/>
      <c r="F29" s="862"/>
      <c r="G29" s="856"/>
      <c r="H29" s="853"/>
      <c r="I29" s="853"/>
      <c r="J29" s="854"/>
      <c r="K29" s="855"/>
      <c r="L29" s="262"/>
    </row>
    <row r="30" spans="2:12">
      <c r="B30" s="271"/>
      <c r="C30" s="654"/>
      <c r="D30" s="850"/>
      <c r="E30" s="851"/>
      <c r="F30" s="862"/>
      <c r="G30" s="856"/>
      <c r="H30" s="853"/>
      <c r="I30" s="853"/>
      <c r="J30" s="854"/>
      <c r="K30" s="855"/>
      <c r="L30" s="262"/>
    </row>
    <row r="31" spans="2:12">
      <c r="B31" s="269"/>
      <c r="C31" s="654"/>
      <c r="D31" s="850"/>
      <c r="E31" s="851"/>
      <c r="F31" s="862"/>
      <c r="G31" s="856"/>
      <c r="H31" s="853"/>
      <c r="I31" s="853"/>
      <c r="J31" s="854"/>
      <c r="K31" s="855"/>
      <c r="L31" s="262"/>
    </row>
    <row r="32" spans="2:12" ht="7.5" customHeight="1" thickBot="1">
      <c r="B32" s="269"/>
      <c r="C32" s="1401"/>
      <c r="D32" s="1478"/>
      <c r="E32" s="1479"/>
      <c r="F32" s="1480"/>
      <c r="G32" s="1481"/>
      <c r="H32" s="1482"/>
      <c r="I32" s="1482"/>
      <c r="J32" s="1483"/>
      <c r="K32" s="1484"/>
      <c r="L32" s="262"/>
    </row>
    <row r="33" spans="2:12" ht="7.5" customHeight="1">
      <c r="B33" s="263"/>
      <c r="C33" s="273"/>
      <c r="D33" s="277"/>
      <c r="E33" s="277"/>
      <c r="F33" s="277"/>
      <c r="G33" s="277"/>
      <c r="H33" s="277"/>
      <c r="I33" s="277"/>
      <c r="J33" s="277"/>
      <c r="K33" s="277"/>
      <c r="L33" s="265"/>
    </row>
    <row r="34" spans="2:12" ht="16.5" customHeight="1" thickBot="1">
      <c r="B34" s="263"/>
      <c r="C34" s="2569" t="s">
        <v>1437</v>
      </c>
      <c r="D34" s="2569"/>
      <c r="E34" s="2569"/>
      <c r="F34" s="2569"/>
      <c r="G34" s="2569"/>
      <c r="H34" s="266"/>
      <c r="I34" s="266"/>
      <c r="J34" s="266"/>
      <c r="K34" s="266"/>
      <c r="L34" s="265"/>
    </row>
    <row r="35" spans="2:12" ht="24.6" thickBot="1">
      <c r="B35" s="269"/>
      <c r="C35" s="2593" t="s">
        <v>1418</v>
      </c>
      <c r="D35" s="2594" t="s">
        <v>1387</v>
      </c>
      <c r="E35" s="2595" t="s">
        <v>559</v>
      </c>
      <c r="F35" s="2594" t="s">
        <v>1389</v>
      </c>
      <c r="G35" s="2594" t="s">
        <v>1390</v>
      </c>
      <c r="H35" s="2594" t="s">
        <v>1419</v>
      </c>
      <c r="I35" s="2594" t="s">
        <v>1435</v>
      </c>
      <c r="J35" s="2594" t="s">
        <v>1438</v>
      </c>
      <c r="K35" s="2596" t="s">
        <v>1394</v>
      </c>
      <c r="L35" s="262"/>
    </row>
    <row r="36" spans="2:12">
      <c r="B36" s="270"/>
      <c r="C36" s="2597" t="s">
        <v>1436</v>
      </c>
      <c r="D36" s="2601" t="s">
        <v>37</v>
      </c>
      <c r="E36" s="2602" t="s">
        <v>1</v>
      </c>
      <c r="F36" s="2584"/>
      <c r="G36" s="2603"/>
      <c r="H36" s="2578" t="s">
        <v>1</v>
      </c>
      <c r="I36" s="2578" t="s">
        <v>1</v>
      </c>
      <c r="J36" s="2579"/>
      <c r="K36" s="2600"/>
      <c r="L36" s="262"/>
    </row>
    <row r="37" spans="2:12">
      <c r="B37" s="269"/>
      <c r="C37" s="863"/>
      <c r="D37" s="864"/>
      <c r="E37" s="865"/>
      <c r="F37" s="851"/>
      <c r="G37" s="858"/>
      <c r="H37" s="853"/>
      <c r="I37" s="853"/>
      <c r="J37" s="854"/>
      <c r="K37" s="855"/>
      <c r="L37" s="262"/>
    </row>
    <row r="38" spans="2:12">
      <c r="B38" s="269"/>
      <c r="C38" s="654"/>
      <c r="D38" s="864"/>
      <c r="E38" s="865"/>
      <c r="F38" s="851"/>
      <c r="G38" s="859"/>
      <c r="H38" s="853"/>
      <c r="I38" s="853"/>
      <c r="J38" s="854"/>
      <c r="K38" s="855"/>
      <c r="L38" s="262"/>
    </row>
    <row r="39" spans="2:12">
      <c r="B39" s="269"/>
      <c r="C39" s="654"/>
      <c r="D39" s="864"/>
      <c r="E39" s="865"/>
      <c r="F39" s="851"/>
      <c r="G39" s="859"/>
      <c r="H39" s="853"/>
      <c r="I39" s="853"/>
      <c r="J39" s="854"/>
      <c r="K39" s="855"/>
      <c r="L39" s="262"/>
    </row>
    <row r="40" spans="2:12">
      <c r="B40" s="269"/>
      <c r="C40" s="654"/>
      <c r="D40" s="864"/>
      <c r="E40" s="865"/>
      <c r="F40" s="851"/>
      <c r="G40" s="859"/>
      <c r="H40" s="853"/>
      <c r="I40" s="853"/>
      <c r="J40" s="854"/>
      <c r="K40" s="855"/>
      <c r="L40" s="262"/>
    </row>
    <row r="41" spans="2:12">
      <c r="B41" s="269"/>
      <c r="C41" s="892"/>
      <c r="D41" s="893"/>
      <c r="E41" s="894"/>
      <c r="F41" s="879"/>
      <c r="G41" s="880"/>
      <c r="H41" s="881"/>
      <c r="I41" s="881"/>
      <c r="J41" s="882"/>
      <c r="K41" s="885"/>
      <c r="L41" s="262"/>
    </row>
    <row r="42" spans="2:12" ht="7.5" customHeight="1" thickBot="1">
      <c r="B42" s="269"/>
      <c r="C42" s="1401"/>
      <c r="D42" s="1485"/>
      <c r="E42" s="1486"/>
      <c r="F42" s="1479"/>
      <c r="G42" s="1482"/>
      <c r="H42" s="1482"/>
      <c r="I42" s="1482"/>
      <c r="J42" s="1483"/>
      <c r="K42" s="1484"/>
      <c r="L42" s="262"/>
    </row>
    <row r="43" spans="2:12" ht="9" customHeight="1" thickBot="1">
      <c r="B43" s="2586"/>
      <c r="C43" s="2604"/>
      <c r="D43" s="2587"/>
      <c r="E43" s="2587"/>
      <c r="F43" s="2587"/>
      <c r="G43" s="2587"/>
      <c r="H43" s="2587"/>
      <c r="I43" s="2587"/>
      <c r="J43" s="2587"/>
      <c r="K43" s="2587"/>
      <c r="L43" s="2588"/>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24:I32 I36:I42" xr:uid="{00000000-0002-0000-1E00-000000000000}">
      <formula1>OnTime_OnBudget</formula1>
    </dataValidation>
    <dataValidation type="list" allowBlank="1" showInputMessage="1" showErrorMessage="1" sqref="D24:D32 D36:D42" xr:uid="{00000000-0002-0000-1E00-000001000000}">
      <formula1>Project_Type</formula1>
    </dataValidation>
    <dataValidation type="list" allowBlank="1" showInputMessage="1" showErrorMessage="1" sqref="E24:E32 E36:E42" xr:uid="{00000000-0002-0000-1E00-000002000000}">
      <formula1>Act_Typ</formula1>
    </dataValidation>
    <dataValidation type="list" allowBlank="1" showInputMessage="1" showErrorMessage="1" sqref="H36:H42" xr:uid="{00000000-0002-0000-1E00-000003000000}">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5:J25"/>
  <sheetViews>
    <sheetView showGridLines="0" topLeftCell="A16" zoomScaleNormal="100" workbookViewId="0" xr3:uid="{D979DC6D-665A-5B40-B235-9A07D260EAB6}">
      <selection activeCell="M26" sqref="M26"/>
    </sheetView>
  </sheetViews>
  <sheetFormatPr defaultColWidth="9.140625" defaultRowHeight="14.45"/>
  <cols>
    <col min="1" max="2" width="1.7109375" style="339" customWidth="1"/>
    <col min="3" max="3" width="25.7109375" style="339" customWidth="1"/>
    <col min="4" max="4" width="14.28515625" style="339" customWidth="1"/>
    <col min="5" max="5" width="8.5703125" style="339" customWidth="1"/>
    <col min="6" max="6" width="22.85546875" style="339" customWidth="1"/>
    <col min="7" max="8" width="14.28515625" style="339" customWidth="1"/>
    <col min="9" max="9" width="12.85546875" style="339" customWidth="1"/>
    <col min="10" max="10" width="1.7109375" style="339" customWidth="1"/>
    <col min="11" max="16384" width="9.140625" style="339"/>
  </cols>
  <sheetData>
    <row r="5" spans="2:10" ht="19.5" customHeight="1"/>
    <row r="6" spans="2:10" ht="7.5" customHeight="1" thickBot="1">
      <c r="B6" s="559"/>
      <c r="C6" s="559"/>
      <c r="D6" s="559"/>
      <c r="E6" s="559"/>
      <c r="F6" s="559"/>
      <c r="G6" s="559"/>
      <c r="H6" s="559"/>
      <c r="I6" s="559"/>
      <c r="J6" s="559"/>
    </row>
    <row r="7" spans="2:10" ht="9" customHeight="1">
      <c r="B7" s="2605"/>
      <c r="C7" s="2606"/>
      <c r="D7" s="2606"/>
      <c r="E7" s="2606"/>
      <c r="F7" s="2606"/>
      <c r="G7" s="2606"/>
      <c r="H7" s="2606"/>
      <c r="I7" s="2606"/>
      <c r="J7" s="2607"/>
    </row>
    <row r="8" spans="2:10" ht="18.600000000000001">
      <c r="B8" s="278"/>
      <c r="C8" s="1954" t="s">
        <v>1439</v>
      </c>
      <c r="D8" s="614"/>
      <c r="E8" s="614"/>
      <c r="F8" s="614"/>
      <c r="G8" s="614"/>
      <c r="H8" s="614"/>
      <c r="I8" s="614"/>
      <c r="J8" s="262"/>
    </row>
    <row r="9" spans="2:10">
      <c r="B9" s="278"/>
      <c r="C9" s="624"/>
      <c r="D9" s="624"/>
      <c r="E9" s="624"/>
      <c r="F9" s="624"/>
      <c r="G9" s="624"/>
      <c r="H9" s="624"/>
      <c r="I9" s="624"/>
      <c r="J9" s="262"/>
    </row>
    <row r="10" spans="2:10" ht="15" thickBot="1">
      <c r="B10" s="263"/>
      <c r="C10" s="2568" t="str">
        <f>IF('1'!G5="","Enter Project Name on Form 1",(CONCATENATE("Project Name: ",'1'!G5)))</f>
        <v>Project Name: DESC 22nd Avenue PSH</v>
      </c>
      <c r="D10" s="2568"/>
      <c r="E10" s="2568"/>
      <c r="F10" s="2568"/>
      <c r="G10" s="2568"/>
      <c r="H10" s="1973"/>
      <c r="I10" s="1973"/>
      <c r="J10" s="265"/>
    </row>
    <row r="11" spans="2:10">
      <c r="B11" s="269"/>
      <c r="C11" s="624"/>
      <c r="D11" s="560"/>
      <c r="E11" s="560"/>
      <c r="F11" s="560"/>
      <c r="G11" s="560"/>
      <c r="H11" s="279"/>
      <c r="I11" s="279"/>
      <c r="J11" s="272"/>
    </row>
    <row r="12" spans="2:10">
      <c r="B12" s="269"/>
      <c r="C12" s="1522" t="s">
        <v>1440</v>
      </c>
      <c r="D12" s="2608" t="str">
        <f>IF('9A'!D55="","Enter Property Management Firm Name on Form 9A",'9A'!D55)</f>
        <v>DESC</v>
      </c>
      <c r="E12" s="2608"/>
      <c r="F12" s="2608"/>
      <c r="G12" s="2608"/>
      <c r="H12" s="2608"/>
      <c r="I12" s="2237"/>
      <c r="J12" s="272"/>
    </row>
    <row r="13" spans="2:10" ht="15" thickBot="1">
      <c r="B13" s="269"/>
      <c r="C13" s="277"/>
      <c r="D13" s="277"/>
      <c r="E13" s="560"/>
      <c r="F13" s="560"/>
      <c r="G13" s="560"/>
      <c r="H13" s="560"/>
      <c r="I13" s="560"/>
      <c r="J13" s="262"/>
    </row>
    <row r="14" spans="2:10" ht="36.6" thickBot="1">
      <c r="B14" s="269"/>
      <c r="C14" s="2609" t="s">
        <v>1441</v>
      </c>
      <c r="D14" s="2610" t="s">
        <v>1389</v>
      </c>
      <c r="E14" s="2610" t="s">
        <v>1390</v>
      </c>
      <c r="F14" s="2610" t="s">
        <v>1442</v>
      </c>
      <c r="G14" s="2610" t="s">
        <v>1443</v>
      </c>
      <c r="H14" s="2610" t="s">
        <v>1444</v>
      </c>
      <c r="I14" s="2611" t="s">
        <v>1445</v>
      </c>
      <c r="J14" s="262"/>
    </row>
    <row r="15" spans="2:10" ht="53.1" thickBot="1">
      <c r="B15" s="270"/>
      <c r="C15" s="2612" t="s">
        <v>1446</v>
      </c>
      <c r="D15" s="2613" t="s">
        <v>1397</v>
      </c>
      <c r="E15" s="2614" t="s">
        <v>1398</v>
      </c>
      <c r="F15" s="2615" t="s">
        <v>1447</v>
      </c>
      <c r="G15" s="2614" t="s">
        <v>1448</v>
      </c>
      <c r="H15" s="2614" t="s">
        <v>1449</v>
      </c>
      <c r="I15" s="2616" t="s">
        <v>1401</v>
      </c>
      <c r="J15" s="262"/>
    </row>
    <row r="16" spans="2:10" ht="53.1" thickBot="1">
      <c r="B16" s="269"/>
      <c r="C16" s="1521" t="s">
        <v>1407</v>
      </c>
      <c r="D16" s="866" t="s">
        <v>1397</v>
      </c>
      <c r="E16" s="867" t="s">
        <v>1408</v>
      </c>
      <c r="F16" s="2615" t="s">
        <v>1447</v>
      </c>
      <c r="G16" s="867" t="s">
        <v>1450</v>
      </c>
      <c r="H16" s="867" t="s">
        <v>1449</v>
      </c>
      <c r="I16" s="855" t="s">
        <v>1406</v>
      </c>
      <c r="J16" s="262"/>
    </row>
    <row r="17" spans="2:10" ht="52.5">
      <c r="B17" s="269"/>
      <c r="C17" s="1519" t="s">
        <v>1412</v>
      </c>
      <c r="D17" s="866" t="s">
        <v>1397</v>
      </c>
      <c r="E17" s="867" t="s">
        <v>1413</v>
      </c>
      <c r="F17" s="2615" t="s">
        <v>1447</v>
      </c>
      <c r="G17" s="867" t="s">
        <v>1450</v>
      </c>
      <c r="H17" s="867" t="s">
        <v>1449</v>
      </c>
      <c r="I17" s="855" t="s">
        <v>1451</v>
      </c>
      <c r="J17" s="262"/>
    </row>
    <row r="18" spans="2:10">
      <c r="B18" s="269"/>
      <c r="C18" s="1519" t="s">
        <v>1452</v>
      </c>
      <c r="D18" s="866" t="s">
        <v>1397</v>
      </c>
      <c r="E18" s="867" t="s">
        <v>1453</v>
      </c>
      <c r="F18" s="870" t="s">
        <v>1454</v>
      </c>
      <c r="G18" s="867" t="s">
        <v>1455</v>
      </c>
      <c r="H18" s="867" t="s">
        <v>1449</v>
      </c>
      <c r="I18" s="855"/>
      <c r="J18" s="262"/>
    </row>
    <row r="19" spans="2:10" ht="39.6">
      <c r="B19" s="269"/>
      <c r="C19" s="1519" t="s">
        <v>1456</v>
      </c>
      <c r="D19" s="866" t="s">
        <v>1397</v>
      </c>
      <c r="E19" s="867" t="s">
        <v>1457</v>
      </c>
      <c r="F19" s="870" t="s">
        <v>1458</v>
      </c>
      <c r="G19" s="867" t="s">
        <v>1459</v>
      </c>
      <c r="H19" s="867" t="s">
        <v>1449</v>
      </c>
      <c r="I19" s="855"/>
      <c r="J19" s="262"/>
    </row>
    <row r="20" spans="2:10" ht="26.45">
      <c r="B20" s="271"/>
      <c r="C20" s="1519" t="s">
        <v>1460</v>
      </c>
      <c r="D20" s="866" t="s">
        <v>1397</v>
      </c>
      <c r="E20" s="867" t="s">
        <v>1461</v>
      </c>
      <c r="F20" s="870" t="s">
        <v>1462</v>
      </c>
      <c r="G20" s="867" t="s">
        <v>1463</v>
      </c>
      <c r="H20" s="867" t="s">
        <v>1449</v>
      </c>
      <c r="I20" s="855"/>
      <c r="J20" s="262"/>
    </row>
    <row r="21" spans="2:10" ht="39.6">
      <c r="B21" s="271"/>
      <c r="C21" s="1519" t="s">
        <v>1464</v>
      </c>
      <c r="D21" s="866" t="s">
        <v>1397</v>
      </c>
      <c r="E21" s="867" t="s">
        <v>1461</v>
      </c>
      <c r="F21" s="870" t="s">
        <v>1458</v>
      </c>
      <c r="G21" s="867" t="s">
        <v>1465</v>
      </c>
      <c r="H21" s="867" t="s">
        <v>1449</v>
      </c>
      <c r="I21" s="855"/>
      <c r="J21" s="262"/>
    </row>
    <row r="22" spans="2:10" ht="26.45">
      <c r="B22" s="271"/>
      <c r="C22" s="1519" t="s">
        <v>1466</v>
      </c>
      <c r="D22" s="866" t="s">
        <v>1397</v>
      </c>
      <c r="E22" s="867" t="s">
        <v>1467</v>
      </c>
      <c r="F22" s="870" t="s">
        <v>1468</v>
      </c>
      <c r="G22" s="867" t="s">
        <v>1469</v>
      </c>
      <c r="H22" s="867" t="s">
        <v>1449</v>
      </c>
      <c r="I22" s="855"/>
      <c r="J22" s="262"/>
    </row>
    <row r="23" spans="2:10" ht="39.6">
      <c r="B23" s="269"/>
      <c r="C23" s="1519" t="s">
        <v>1470</v>
      </c>
      <c r="D23" s="866" t="s">
        <v>1397</v>
      </c>
      <c r="E23" s="867" t="s">
        <v>1403</v>
      </c>
      <c r="F23" s="870" t="s">
        <v>1471</v>
      </c>
      <c r="G23" s="867" t="s">
        <v>1469</v>
      </c>
      <c r="H23" s="867" t="s">
        <v>1449</v>
      </c>
      <c r="I23" s="855"/>
      <c r="J23" s="262"/>
    </row>
    <row r="24" spans="2:10" ht="15" thickBot="1">
      <c r="B24" s="269"/>
      <c r="C24" s="1520" t="s">
        <v>1472</v>
      </c>
      <c r="D24" s="868" t="s">
        <v>1397</v>
      </c>
      <c r="E24" s="869" t="s">
        <v>1429</v>
      </c>
      <c r="F24" s="871" t="s">
        <v>1473</v>
      </c>
      <c r="G24" s="869" t="s">
        <v>1474</v>
      </c>
      <c r="H24" s="869" t="s">
        <v>1449</v>
      </c>
      <c r="I24" s="857"/>
      <c r="J24" s="262"/>
    </row>
    <row r="25" spans="2:10" ht="9" customHeight="1" thickBot="1">
      <c r="B25" s="2586"/>
      <c r="C25" s="2587"/>
      <c r="D25" s="2587"/>
      <c r="E25" s="2587"/>
      <c r="F25" s="2587"/>
      <c r="G25" s="2587"/>
      <c r="H25" s="2587"/>
      <c r="I25" s="2587"/>
      <c r="J25" s="2588"/>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scale="99"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245"/>
  <sheetViews>
    <sheetView topLeftCell="A223" zoomScaleNormal="100" workbookViewId="0" xr3:uid="{CAA03FB3-9A95-5D50-9E3C-B000AFB1AE50}">
      <selection activeCell="R223" sqref="R223"/>
    </sheetView>
  </sheetViews>
  <sheetFormatPr defaultColWidth="8.85546875" defaultRowHeight="14.45"/>
  <cols>
    <col min="1" max="1" width="1.5703125" style="1694" customWidth="1"/>
    <col min="2" max="2" width="4.42578125" style="1694" customWidth="1"/>
    <col min="3" max="3" width="2.140625" style="1694" customWidth="1"/>
    <col min="4" max="4" width="2.85546875" style="1694" customWidth="1"/>
    <col min="5" max="5" width="10.5703125" style="1694" customWidth="1"/>
    <col min="6" max="6" width="9.140625" style="1694" customWidth="1"/>
    <col min="7" max="7" width="10.85546875" style="1694" customWidth="1"/>
    <col min="8" max="8" width="12.28515625" style="1694" customWidth="1"/>
    <col min="9" max="9" width="9.85546875" style="1694" customWidth="1"/>
    <col min="10" max="10" width="7.42578125" style="1694" customWidth="1"/>
    <col min="11" max="11" width="15.42578125" style="1694" customWidth="1"/>
    <col min="12" max="12" width="12" style="1694" bestFit="1" customWidth="1"/>
    <col min="13" max="13" width="10.7109375" style="1694" customWidth="1"/>
    <col min="14" max="14" width="3.28515625" style="1694" customWidth="1"/>
    <col min="15" max="16384" width="8.85546875" style="1694"/>
  </cols>
  <sheetData>
    <row r="1" spans="1:13" s="1601" customFormat="1" ht="18.75" customHeight="1">
      <c r="A1" s="2238" t="s">
        <v>1475</v>
      </c>
      <c r="B1" s="2238"/>
      <c r="C1" s="2238"/>
      <c r="D1" s="2238"/>
      <c r="E1" s="2238"/>
      <c r="F1" s="2238"/>
      <c r="G1" s="2238"/>
      <c r="H1" s="2238"/>
      <c r="I1" s="2238"/>
      <c r="J1" s="2238"/>
      <c r="K1" s="2238"/>
      <c r="L1" s="2238"/>
      <c r="M1" s="2238"/>
    </row>
    <row r="2" spans="1:13" ht="18.600000000000001">
      <c r="B2" s="2239" t="s">
        <v>1476</v>
      </c>
      <c r="C2" s="2239"/>
      <c r="D2" s="2239"/>
      <c r="E2" s="2239"/>
      <c r="F2" s="2239"/>
      <c r="G2" s="2239"/>
      <c r="H2" s="2239"/>
      <c r="I2" s="2239"/>
      <c r="J2" s="2239"/>
      <c r="K2" s="2239"/>
      <c r="L2" s="2239"/>
      <c r="M2" s="2239"/>
    </row>
    <row r="3" spans="1:13">
      <c r="B3" s="1695"/>
      <c r="C3" s="1695"/>
      <c r="D3" s="1695"/>
      <c r="E3" s="1695"/>
      <c r="F3" s="1695"/>
      <c r="G3" s="1695"/>
      <c r="H3" s="1695"/>
      <c r="I3" s="1695"/>
      <c r="J3" s="1695"/>
      <c r="K3" s="1695"/>
      <c r="L3" s="1695"/>
      <c r="M3" s="1695"/>
    </row>
    <row r="4" spans="1:13" ht="4.5" customHeight="1">
      <c r="B4" s="2240" t="s">
        <v>1477</v>
      </c>
      <c r="C4" s="2241"/>
      <c r="D4" s="2241"/>
      <c r="E4" s="2241"/>
      <c r="F4" s="2241"/>
      <c r="G4" s="2241"/>
      <c r="H4" s="2241"/>
      <c r="I4" s="2241"/>
      <c r="J4" s="2241"/>
      <c r="K4" s="2241"/>
      <c r="L4" s="2241"/>
      <c r="M4" s="2242"/>
    </row>
    <row r="5" spans="1:13">
      <c r="B5" s="2243"/>
      <c r="C5" s="2244"/>
      <c r="D5" s="2244"/>
      <c r="E5" s="2244"/>
      <c r="F5" s="2244"/>
      <c r="G5" s="2244"/>
      <c r="H5" s="2244"/>
      <c r="I5" s="2244"/>
      <c r="J5" s="2244"/>
      <c r="K5" s="2244"/>
      <c r="L5" s="2244"/>
      <c r="M5" s="2245"/>
    </row>
    <row r="6" spans="1:13">
      <c r="B6" s="2243"/>
      <c r="C6" s="2244"/>
      <c r="D6" s="2244"/>
      <c r="E6" s="2244"/>
      <c r="F6" s="2244"/>
      <c r="G6" s="2244"/>
      <c r="H6" s="2244"/>
      <c r="I6" s="2244"/>
      <c r="J6" s="2244"/>
      <c r="K6" s="2244"/>
      <c r="L6" s="2244"/>
      <c r="M6" s="2245"/>
    </row>
    <row r="7" spans="1:13">
      <c r="B7" s="2243"/>
      <c r="C7" s="2244"/>
      <c r="D7" s="2244"/>
      <c r="E7" s="2244"/>
      <c r="F7" s="2244"/>
      <c r="G7" s="2244"/>
      <c r="H7" s="2244"/>
      <c r="I7" s="2244"/>
      <c r="J7" s="2244"/>
      <c r="K7" s="2244"/>
      <c r="L7" s="2244"/>
      <c r="M7" s="2245"/>
    </row>
    <row r="8" spans="1:13">
      <c r="B8" s="2243"/>
      <c r="C8" s="2244"/>
      <c r="D8" s="2244"/>
      <c r="E8" s="2244"/>
      <c r="F8" s="2244"/>
      <c r="G8" s="2244"/>
      <c r="H8" s="2244"/>
      <c r="I8" s="2244"/>
      <c r="J8" s="2244"/>
      <c r="K8" s="2244"/>
      <c r="L8" s="2244"/>
      <c r="M8" s="2245"/>
    </row>
    <row r="9" spans="1:13">
      <c r="B9" s="2243"/>
      <c r="C9" s="2244"/>
      <c r="D9" s="2244"/>
      <c r="E9" s="2244"/>
      <c r="F9" s="2244"/>
      <c r="G9" s="2244"/>
      <c r="H9" s="2244"/>
      <c r="I9" s="2244"/>
      <c r="J9" s="2244"/>
      <c r="K9" s="2244"/>
      <c r="L9" s="2244"/>
      <c r="M9" s="2245"/>
    </row>
    <row r="10" spans="1:13">
      <c r="B10" s="2243"/>
      <c r="C10" s="2244"/>
      <c r="D10" s="2244"/>
      <c r="E10" s="2244"/>
      <c r="F10" s="2244"/>
      <c r="G10" s="2244"/>
      <c r="H10" s="2244"/>
      <c r="I10" s="2244"/>
      <c r="J10" s="2244"/>
      <c r="K10" s="2244"/>
      <c r="L10" s="2244"/>
      <c r="M10" s="2245"/>
    </row>
    <row r="11" spans="1:13">
      <c r="B11" s="2243"/>
      <c r="C11" s="2244"/>
      <c r="D11" s="2244"/>
      <c r="E11" s="2244"/>
      <c r="F11" s="2244"/>
      <c r="G11" s="2244"/>
      <c r="H11" s="2244"/>
      <c r="I11" s="2244"/>
      <c r="J11" s="2244"/>
      <c r="K11" s="2244"/>
      <c r="L11" s="2244"/>
      <c r="M11" s="2245"/>
    </row>
    <row r="12" spans="1:13">
      <c r="B12" s="2246"/>
      <c r="C12" s="2247"/>
      <c r="D12" s="2247"/>
      <c r="E12" s="2247"/>
      <c r="F12" s="2247"/>
      <c r="G12" s="2247"/>
      <c r="H12" s="2247"/>
      <c r="I12" s="2247"/>
      <c r="J12" s="2247"/>
      <c r="K12" s="2247"/>
      <c r="L12" s="2247"/>
      <c r="M12" s="2248"/>
    </row>
    <row r="13" spans="1:13" ht="15" customHeight="1">
      <c r="L13" s="2249"/>
      <c r="M13" s="2250" t="s">
        <v>1478</v>
      </c>
    </row>
    <row r="14" spans="1:13">
      <c r="E14" s="1696"/>
      <c r="L14" s="2617"/>
      <c r="M14" s="2251"/>
    </row>
    <row r="15" spans="1:13">
      <c r="B15" s="1697">
        <v>1</v>
      </c>
      <c r="C15" s="1698" t="s">
        <v>1479</v>
      </c>
      <c r="D15" s="1698"/>
      <c r="E15" s="1699"/>
      <c r="F15" s="1700"/>
      <c r="G15" s="1700"/>
      <c r="H15" s="1700"/>
      <c r="I15" s="1700"/>
      <c r="J15" s="1700"/>
      <c r="K15" s="1700"/>
      <c r="L15" s="1701"/>
      <c r="M15" s="1702">
        <v>60</v>
      </c>
    </row>
    <row r="16" spans="1:13" ht="7.5" customHeight="1">
      <c r="C16" s="1697"/>
      <c r="D16" s="1697"/>
      <c r="E16" s="1703"/>
      <c r="F16" s="1697"/>
      <c r="G16" s="1697"/>
      <c r="H16" s="1697"/>
      <c r="I16" s="1697"/>
      <c r="J16" s="1697"/>
      <c r="K16" s="1697"/>
      <c r="L16" s="1704"/>
      <c r="M16" s="1697"/>
    </row>
    <row r="17" spans="3:13">
      <c r="C17" s="1697" t="s">
        <v>1480</v>
      </c>
      <c r="E17" s="1703"/>
      <c r="F17" s="1697"/>
      <c r="G17" s="1697"/>
      <c r="H17" s="1697"/>
      <c r="I17" s="1697"/>
      <c r="J17" s="1697"/>
      <c r="K17" s="1697"/>
      <c r="L17" s="1704"/>
      <c r="M17" s="1697"/>
    </row>
    <row r="18" spans="3:13">
      <c r="C18" s="1697"/>
      <c r="D18" s="1705"/>
      <c r="E18" s="1706" t="s">
        <v>1481</v>
      </c>
      <c r="F18" s="1970"/>
      <c r="G18" s="1970"/>
      <c r="H18" s="2618" t="s">
        <v>1482</v>
      </c>
      <c r="I18" s="2619"/>
      <c r="J18" s="2619"/>
      <c r="K18" s="2619"/>
      <c r="L18" s="2619"/>
      <c r="M18" s="2620"/>
    </row>
    <row r="19" spans="3:13">
      <c r="C19" s="1697"/>
      <c r="D19" s="1705"/>
      <c r="E19" s="1707" t="s">
        <v>1483</v>
      </c>
      <c r="F19" s="1970"/>
      <c r="G19" s="1970"/>
      <c r="H19" s="2618" t="s">
        <v>1484</v>
      </c>
      <c r="I19" s="2619"/>
      <c r="J19" s="2619"/>
      <c r="K19" s="2619"/>
      <c r="L19" s="2619"/>
      <c r="M19" s="2620"/>
    </row>
    <row r="20" spans="3:13" s="1363" customFormat="1" ht="4.5" customHeight="1">
      <c r="E20" s="1708"/>
      <c r="F20" s="1708"/>
      <c r="G20" s="1708"/>
      <c r="H20" s="1708"/>
      <c r="I20" s="1708"/>
      <c r="J20" s="1708"/>
      <c r="K20" s="1708"/>
      <c r="L20" s="1708"/>
      <c r="M20" s="1708"/>
    </row>
    <row r="21" spans="3:13">
      <c r="D21" s="1705"/>
      <c r="E21" s="1694" t="s">
        <v>1485</v>
      </c>
      <c r="H21" s="2618" t="s">
        <v>665</v>
      </c>
      <c r="I21" s="2619"/>
      <c r="J21" s="2619"/>
      <c r="K21" s="2619"/>
      <c r="L21" s="2619"/>
      <c r="M21" s="2620"/>
    </row>
    <row r="22" spans="3:13">
      <c r="C22" s="1697"/>
      <c r="D22" s="1705"/>
      <c r="E22" s="1707" t="s">
        <v>1483</v>
      </c>
      <c r="F22" s="1970"/>
      <c r="G22" s="1970"/>
      <c r="H22" s="2618" t="s">
        <v>1486</v>
      </c>
      <c r="I22" s="2619"/>
      <c r="J22" s="2619"/>
      <c r="K22" s="2619"/>
      <c r="L22" s="2619"/>
      <c r="M22" s="2620"/>
    </row>
    <row r="23" spans="3:13">
      <c r="D23" s="1705"/>
    </row>
    <row r="24" spans="3:13">
      <c r="E24" s="1709" t="s">
        <v>1487</v>
      </c>
      <c r="F24" s="1710"/>
      <c r="G24" s="1710"/>
      <c r="H24" s="1710"/>
      <c r="I24" s="1710"/>
      <c r="J24" s="1710"/>
      <c r="K24" s="1710"/>
      <c r="L24" s="1710"/>
      <c r="M24" s="1711"/>
    </row>
    <row r="25" spans="3:13" ht="28.5" customHeight="1">
      <c r="E25" s="1712" t="s">
        <v>1488</v>
      </c>
      <c r="F25" s="1969"/>
      <c r="G25" s="1713" t="s">
        <v>1489</v>
      </c>
      <c r="H25" s="1969"/>
      <c r="I25" s="1713" t="s">
        <v>1490</v>
      </c>
      <c r="M25" s="1714"/>
    </row>
    <row r="26" spans="3:13">
      <c r="E26" s="1715">
        <v>0</v>
      </c>
      <c r="F26" s="1716" t="s">
        <v>1491</v>
      </c>
      <c r="G26" s="1716" t="s">
        <v>1492</v>
      </c>
      <c r="H26" s="1717" t="s">
        <v>1243</v>
      </c>
      <c r="I26" s="1718">
        <v>90</v>
      </c>
      <c r="M26" s="1714"/>
    </row>
    <row r="27" spans="3:13">
      <c r="E27" s="1715">
        <v>0</v>
      </c>
      <c r="F27" s="1716" t="s">
        <v>1491</v>
      </c>
      <c r="G27" s="1716" t="s">
        <v>1493</v>
      </c>
      <c r="H27" s="1717" t="s">
        <v>1243</v>
      </c>
      <c r="I27" s="1718">
        <v>0</v>
      </c>
      <c r="M27" s="1714"/>
    </row>
    <row r="28" spans="3:13">
      <c r="E28" s="1719">
        <v>0</v>
      </c>
      <c r="F28" s="1720" t="s">
        <v>1491</v>
      </c>
      <c r="G28" s="1716" t="s">
        <v>1494</v>
      </c>
      <c r="H28" s="1717" t="s">
        <v>1243</v>
      </c>
      <c r="I28" s="1718">
        <v>0</v>
      </c>
      <c r="M28" s="1714"/>
    </row>
    <row r="29" spans="3:13">
      <c r="E29" s="1715">
        <v>0</v>
      </c>
      <c r="F29" s="1716" t="s">
        <v>1491</v>
      </c>
      <c r="G29" s="1716" t="s">
        <v>1495</v>
      </c>
      <c r="H29" s="1717" t="s">
        <v>1243</v>
      </c>
      <c r="I29" s="1718">
        <v>0</v>
      </c>
      <c r="M29" s="1714"/>
    </row>
    <row r="30" spans="3:13">
      <c r="E30" s="1721"/>
      <c r="F30" s="1699"/>
      <c r="G30" s="1699"/>
      <c r="H30" s="1699"/>
      <c r="I30" s="1722">
        <f>SUM(I26:I29)</f>
        <v>90</v>
      </c>
      <c r="J30" s="1698" t="s">
        <v>1496</v>
      </c>
      <c r="K30" s="1699"/>
      <c r="L30" s="1699"/>
      <c r="M30" s="1723"/>
    </row>
    <row r="31" spans="3:13">
      <c r="I31" s="1724"/>
      <c r="J31" s="1703"/>
    </row>
    <row r="32" spans="3:13">
      <c r="I32" s="1724"/>
      <c r="J32" s="1703"/>
    </row>
    <row r="33" spans="2:14">
      <c r="B33" s="1697">
        <v>2</v>
      </c>
      <c r="C33" s="1698" t="s">
        <v>1497</v>
      </c>
      <c r="D33" s="1698"/>
      <c r="E33" s="1699"/>
      <c r="F33" s="1700"/>
      <c r="G33" s="1700"/>
      <c r="H33" s="1700"/>
      <c r="I33" s="1700"/>
      <c r="J33" s="1700"/>
      <c r="K33" s="1700"/>
      <c r="L33" s="1701"/>
      <c r="M33" s="1702">
        <v>44</v>
      </c>
    </row>
    <row r="34" spans="2:14" ht="7.5" customHeight="1">
      <c r="C34" s="1697"/>
      <c r="D34" s="1697"/>
      <c r="E34" s="1703"/>
      <c r="F34" s="1697"/>
      <c r="G34" s="1697"/>
      <c r="H34" s="1697"/>
      <c r="I34" s="1697"/>
      <c r="J34" s="1697"/>
      <c r="K34" s="1697"/>
      <c r="L34" s="1725"/>
      <c r="M34" s="1704"/>
    </row>
    <row r="35" spans="2:14">
      <c r="C35" s="1703" t="s">
        <v>1498</v>
      </c>
      <c r="D35" s="1703"/>
    </row>
    <row r="36" spans="2:14" ht="4.5" customHeight="1">
      <c r="C36" s="1703"/>
      <c r="D36" s="1703"/>
    </row>
    <row r="37" spans="2:14">
      <c r="E37" s="2252" t="s">
        <v>1499</v>
      </c>
      <c r="F37" s="2253"/>
      <c r="G37" s="1704"/>
      <c r="H37" s="1696"/>
      <c r="I37" s="1726"/>
      <c r="J37" s="1717"/>
    </row>
    <row r="38" spans="2:14">
      <c r="E38" s="1727"/>
      <c r="F38" s="1727"/>
      <c r="G38" s="1704"/>
      <c r="H38" s="1696"/>
      <c r="I38" s="1726"/>
      <c r="J38" s="1717"/>
    </row>
    <row r="40" spans="2:14">
      <c r="B40" s="1697">
        <v>3</v>
      </c>
      <c r="C40" s="1698" t="s">
        <v>1500</v>
      </c>
      <c r="D40" s="1698"/>
      <c r="E40" s="1699"/>
      <c r="F40" s="1700"/>
      <c r="G40" s="1700"/>
      <c r="H40" s="1700"/>
      <c r="I40" s="1700"/>
      <c r="J40" s="1700"/>
      <c r="K40" s="1700"/>
      <c r="L40" s="1701"/>
      <c r="M40" s="1702">
        <v>45</v>
      </c>
    </row>
    <row r="41" spans="2:14" ht="7.5" customHeight="1">
      <c r="C41" s="1697"/>
      <c r="D41" s="1697"/>
      <c r="E41" s="1703"/>
      <c r="F41" s="1697"/>
      <c r="G41" s="1697"/>
      <c r="H41" s="1697"/>
      <c r="I41" s="1697"/>
      <c r="J41" s="1697"/>
      <c r="K41" s="1697"/>
      <c r="L41" s="1697"/>
      <c r="M41" s="1697"/>
    </row>
    <row r="42" spans="2:14" ht="15" customHeight="1">
      <c r="C42" s="2254" t="s">
        <v>1501</v>
      </c>
      <c r="D42" s="2254"/>
      <c r="E42" s="2254"/>
      <c r="F42" s="2254"/>
      <c r="G42" s="2254"/>
      <c r="H42" s="2254"/>
      <c r="I42" s="2254"/>
      <c r="J42" s="2254"/>
      <c r="K42" s="2254"/>
      <c r="L42" s="2254"/>
      <c r="M42" s="2254"/>
      <c r="N42" s="1969"/>
    </row>
    <row r="43" spans="2:14" ht="4.5" customHeight="1">
      <c r="E43" s="1969"/>
      <c r="F43" s="1969"/>
      <c r="G43" s="1969"/>
      <c r="H43" s="1969"/>
      <c r="I43" s="1703" t="s">
        <v>1502</v>
      </c>
      <c r="J43" s="1969"/>
      <c r="K43" s="1969"/>
      <c r="L43" s="1969"/>
      <c r="M43" s="1969"/>
      <c r="N43" s="1969"/>
    </row>
    <row r="44" spans="2:14" ht="16.149999999999999" customHeight="1">
      <c r="C44" s="1703" t="s">
        <v>1503</v>
      </c>
      <c r="D44" s="1703"/>
      <c r="F44" s="1696"/>
      <c r="G44" s="1696"/>
      <c r="H44" s="1696"/>
      <c r="I44" s="1696"/>
      <c r="J44" s="1696"/>
    </row>
    <row r="45" spans="2:14" ht="16.149999999999999" customHeight="1">
      <c r="E45" s="2255" t="s">
        <v>1504</v>
      </c>
      <c r="F45" s="2256"/>
      <c r="G45" s="2256"/>
      <c r="H45" s="2256"/>
      <c r="I45" s="2256"/>
      <c r="J45" s="2256"/>
      <c r="K45" s="2256"/>
      <c r="L45" s="2256"/>
      <c r="M45" s="2257"/>
    </row>
    <row r="46" spans="2:14" ht="5.25" customHeight="1">
      <c r="E46" s="1727"/>
      <c r="F46" s="1727"/>
      <c r="G46" s="1727"/>
      <c r="H46" s="1727"/>
      <c r="I46" s="1727"/>
      <c r="J46" s="1727"/>
      <c r="K46" s="1727"/>
      <c r="L46" s="1727"/>
      <c r="M46" s="1727"/>
    </row>
    <row r="47" spans="2:14" ht="16.149999999999999" customHeight="1">
      <c r="F47" s="1727" t="s">
        <v>1505</v>
      </c>
      <c r="G47" s="1727"/>
      <c r="H47" s="1727"/>
      <c r="J47" s="1727"/>
      <c r="K47" s="1727"/>
      <c r="L47" s="1728">
        <f>0.75*90</f>
        <v>67.5</v>
      </c>
      <c r="M47" s="1727" t="s">
        <v>1506</v>
      </c>
    </row>
    <row r="48" spans="2:14" ht="16.149999999999999" customHeight="1">
      <c r="F48" s="1727" t="s">
        <v>1507</v>
      </c>
      <c r="G48" s="1727"/>
      <c r="H48" s="1727"/>
      <c r="J48" s="1727"/>
      <c r="K48" s="1727"/>
      <c r="L48" s="1728">
        <v>0</v>
      </c>
      <c r="M48" s="1727" t="s">
        <v>1506</v>
      </c>
    </row>
    <row r="49" spans="2:13" ht="16.149999999999999" customHeight="1">
      <c r="E49" s="1727"/>
      <c r="F49" s="1727"/>
      <c r="G49" s="1727"/>
      <c r="H49" s="1727"/>
      <c r="I49" s="1727"/>
      <c r="J49" s="1727"/>
      <c r="K49" s="1727"/>
      <c r="L49" s="1727"/>
      <c r="M49" s="1727"/>
    </row>
    <row r="50" spans="2:13" ht="16.149999999999999" customHeight="1">
      <c r="C50" s="1703" t="s">
        <v>1508</v>
      </c>
      <c r="D50" s="1703"/>
      <c r="F50" s="1696"/>
      <c r="G50" s="1696"/>
      <c r="H50" s="1696"/>
      <c r="I50" s="1696"/>
      <c r="J50" s="1696"/>
    </row>
    <row r="51" spans="2:13" ht="16.149999999999999" customHeight="1">
      <c r="E51" s="2252" t="s">
        <v>1509</v>
      </c>
      <c r="F51" s="2258"/>
      <c r="G51" s="2258"/>
      <c r="H51" s="2258"/>
      <c r="I51" s="2258"/>
      <c r="J51" s="2258"/>
      <c r="K51" s="2258"/>
      <c r="L51" s="2258"/>
      <c r="M51" s="2253"/>
    </row>
    <row r="52" spans="2:13" ht="4.5" customHeight="1">
      <c r="E52" s="1729"/>
      <c r="F52" s="1730"/>
      <c r="G52" s="1730"/>
      <c r="H52" s="1730"/>
      <c r="I52" s="1730"/>
      <c r="J52" s="1730"/>
      <c r="K52" s="1729"/>
      <c r="L52" s="1729"/>
      <c r="M52" s="1729"/>
    </row>
    <row r="53" spans="2:13" ht="16.149999999999999" customHeight="1">
      <c r="E53" s="2252" t="s">
        <v>1510</v>
      </c>
      <c r="F53" s="2258"/>
      <c r="G53" s="2258"/>
      <c r="H53" s="2258"/>
      <c r="I53" s="2258"/>
      <c r="J53" s="2258"/>
      <c r="K53" s="2258"/>
      <c r="L53" s="2258"/>
      <c r="M53" s="2253"/>
    </row>
    <row r="54" spans="2:13" ht="7.9" customHeight="1">
      <c r="E54" s="1727"/>
      <c r="F54" s="1727"/>
      <c r="G54" s="1727"/>
      <c r="H54" s="1727"/>
      <c r="I54" s="1727"/>
      <c r="J54" s="1727"/>
      <c r="K54" s="1727"/>
      <c r="L54" s="1727"/>
      <c r="M54" s="1727"/>
    </row>
    <row r="55" spans="2:13" ht="16.149999999999999" customHeight="1">
      <c r="E55" s="1727"/>
      <c r="F55" s="1727" t="s">
        <v>1511</v>
      </c>
      <c r="G55" s="1727"/>
      <c r="H55" s="1727"/>
      <c r="I55" s="1727"/>
      <c r="J55" s="1727"/>
      <c r="K55" s="1727"/>
      <c r="L55" s="1728">
        <v>0</v>
      </c>
      <c r="M55" s="1727" t="s">
        <v>1506</v>
      </c>
    </row>
    <row r="56" spans="2:13" ht="16.149999999999999" customHeight="1">
      <c r="E56" s="1727"/>
      <c r="F56" s="1727" t="s">
        <v>1512</v>
      </c>
      <c r="G56" s="1727"/>
      <c r="H56" s="1727"/>
      <c r="I56" s="1727"/>
      <c r="J56" s="1727"/>
      <c r="K56" s="1727"/>
      <c r="L56" s="1728">
        <v>0</v>
      </c>
      <c r="M56" s="1727" t="s">
        <v>1506</v>
      </c>
    </row>
    <row r="57" spans="2:13" ht="16.149999999999999" customHeight="1">
      <c r="E57" s="1727"/>
      <c r="F57" s="1706" t="s">
        <v>1513</v>
      </c>
      <c r="H57" s="1706"/>
      <c r="I57" s="1706"/>
      <c r="J57" s="1706"/>
      <c r="K57" s="1706"/>
      <c r="L57" s="1728">
        <v>0</v>
      </c>
      <c r="M57" s="1727" t="s">
        <v>1506</v>
      </c>
    </row>
    <row r="58" spans="2:13" ht="16.149999999999999" customHeight="1">
      <c r="E58" s="1727"/>
      <c r="F58" s="1727" t="s">
        <v>1514</v>
      </c>
      <c r="H58" s="1727"/>
      <c r="I58" s="1727"/>
      <c r="J58" s="1727"/>
      <c r="K58" s="1727"/>
      <c r="L58" s="1728">
        <f>0.2*90</f>
        <v>18</v>
      </c>
      <c r="M58" s="1727" t="s">
        <v>1506</v>
      </c>
    </row>
    <row r="59" spans="2:13" ht="16.149999999999999" customHeight="1">
      <c r="E59" s="1727"/>
      <c r="F59" s="1727" t="s">
        <v>1515</v>
      </c>
      <c r="H59" s="1727"/>
      <c r="I59" s="1727"/>
      <c r="J59" s="1727"/>
      <c r="K59" s="1727"/>
      <c r="L59" s="1728">
        <v>0</v>
      </c>
      <c r="M59" s="1727" t="s">
        <v>1506</v>
      </c>
    </row>
    <row r="60" spans="2:13" ht="16.149999999999999" customHeight="1">
      <c r="E60" s="1727"/>
      <c r="F60" s="1727" t="s">
        <v>1516</v>
      </c>
      <c r="H60" s="1727"/>
      <c r="I60" s="1727"/>
      <c r="J60" s="1727"/>
      <c r="K60" s="1727"/>
      <c r="L60" s="1728">
        <v>0</v>
      </c>
      <c r="M60" s="1727" t="s">
        <v>1506</v>
      </c>
    </row>
    <row r="61" spans="2:13" ht="16.149999999999999" customHeight="1">
      <c r="E61" s="1727"/>
      <c r="F61" s="1727"/>
      <c r="H61" s="1727"/>
      <c r="I61" s="1727"/>
      <c r="J61" s="1727"/>
      <c r="K61" s="1727"/>
      <c r="L61" s="1731"/>
      <c r="M61" s="1727"/>
    </row>
    <row r="62" spans="2:13" ht="16.149999999999999" customHeight="1">
      <c r="E62" s="1727"/>
      <c r="F62" s="1727"/>
      <c r="H62" s="1727"/>
      <c r="I62" s="1727"/>
      <c r="J62" s="1727"/>
      <c r="K62" s="1727"/>
      <c r="L62" s="1731"/>
      <c r="M62" s="1727"/>
    </row>
    <row r="63" spans="2:13">
      <c r="B63" s="1697">
        <v>4</v>
      </c>
      <c r="C63" s="1698" t="s">
        <v>1517</v>
      </c>
      <c r="D63" s="1698"/>
      <c r="E63" s="1699"/>
      <c r="F63" s="1700"/>
      <c r="G63" s="1700"/>
      <c r="H63" s="1700"/>
      <c r="I63" s="1700"/>
      <c r="J63" s="1700"/>
      <c r="K63" s="1700"/>
      <c r="L63" s="1701"/>
      <c r="M63" s="1702">
        <v>0</v>
      </c>
    </row>
    <row r="64" spans="2:13" ht="7.5" customHeight="1">
      <c r="C64" s="1697"/>
      <c r="D64" s="1697"/>
      <c r="E64" s="1703"/>
      <c r="F64" s="1697"/>
      <c r="G64" s="1697"/>
      <c r="H64" s="1697"/>
      <c r="I64" s="1697"/>
      <c r="J64" s="1697"/>
      <c r="K64" s="1697"/>
      <c r="L64" s="1725"/>
      <c r="M64" s="1704"/>
    </row>
    <row r="65" spans="3:13" ht="29.25" customHeight="1">
      <c r="C65" s="2254" t="s">
        <v>1518</v>
      </c>
      <c r="D65" s="2254"/>
      <c r="E65" s="2254"/>
      <c r="F65" s="2254"/>
      <c r="G65" s="2254"/>
      <c r="H65" s="2254"/>
      <c r="I65" s="2254"/>
      <c r="J65" s="2254"/>
      <c r="K65" s="2254"/>
      <c r="L65" s="2254"/>
      <c r="M65" s="2254"/>
    </row>
    <row r="66" spans="3:13" ht="4.5" customHeight="1">
      <c r="C66" s="1703"/>
      <c r="D66" s="1703"/>
    </row>
    <row r="67" spans="3:13">
      <c r="E67" s="1694" t="s">
        <v>1519</v>
      </c>
      <c r="G67" s="2259" t="s">
        <v>863</v>
      </c>
      <c r="H67" s="2260"/>
      <c r="I67" s="2260"/>
      <c r="J67" s="2260"/>
      <c r="K67" s="2260"/>
      <c r="L67" s="2261"/>
    </row>
    <row r="68" spans="3:13" s="1363" customFormat="1" ht="4.5" customHeight="1"/>
    <row r="69" spans="3:13">
      <c r="E69" s="1694" t="s">
        <v>1520</v>
      </c>
      <c r="G69" s="2252" t="s">
        <v>1521</v>
      </c>
      <c r="H69" s="2258"/>
      <c r="I69" s="2258"/>
      <c r="J69" s="2258"/>
      <c r="K69" s="2258"/>
      <c r="L69" s="2253"/>
    </row>
    <row r="70" spans="3:13">
      <c r="E70" s="1694" t="s">
        <v>1522</v>
      </c>
      <c r="G70" s="2252"/>
      <c r="H70" s="2258"/>
      <c r="I70" s="2258"/>
      <c r="J70" s="2258"/>
      <c r="K70" s="2258"/>
      <c r="L70" s="2253"/>
    </row>
    <row r="71" spans="3:13">
      <c r="E71" s="1694" t="s">
        <v>1523</v>
      </c>
      <c r="G71" s="2252"/>
      <c r="H71" s="2258"/>
      <c r="I71" s="2258"/>
      <c r="J71" s="2258"/>
      <c r="K71" s="2258"/>
      <c r="L71" s="2253"/>
    </row>
    <row r="72" spans="3:13">
      <c r="E72" s="1694" t="s">
        <v>1524</v>
      </c>
      <c r="G72" s="2262">
        <v>0</v>
      </c>
      <c r="H72" s="2263"/>
      <c r="I72" s="2263"/>
      <c r="J72" s="2263"/>
      <c r="K72" s="2263"/>
      <c r="L72" s="2264"/>
    </row>
    <row r="73" spans="3:13" ht="4.5" customHeight="1"/>
    <row r="74" spans="3:13">
      <c r="E74" s="1694" t="s">
        <v>1525</v>
      </c>
      <c r="G74" s="2252" t="s">
        <v>1521</v>
      </c>
      <c r="H74" s="2258"/>
      <c r="I74" s="2258"/>
      <c r="J74" s="2258"/>
      <c r="K74" s="2258"/>
      <c r="L74" s="2253"/>
    </row>
    <row r="75" spans="3:13">
      <c r="E75" s="1694" t="s">
        <v>1522</v>
      </c>
      <c r="G75" s="2252"/>
      <c r="H75" s="2258"/>
      <c r="I75" s="2258"/>
      <c r="J75" s="2258"/>
      <c r="K75" s="2258"/>
      <c r="L75" s="2253"/>
    </row>
    <row r="76" spans="3:13">
      <c r="E76" s="1694" t="s">
        <v>1523</v>
      </c>
      <c r="G76" s="2252"/>
      <c r="H76" s="2258"/>
      <c r="I76" s="2258"/>
      <c r="J76" s="2258"/>
      <c r="K76" s="2258"/>
      <c r="L76" s="2253"/>
    </row>
    <row r="77" spans="3:13">
      <c r="E77" s="1694" t="s">
        <v>1524</v>
      </c>
      <c r="G77" s="2262">
        <v>0</v>
      </c>
      <c r="H77" s="2263"/>
      <c r="I77" s="2263"/>
      <c r="J77" s="2263"/>
      <c r="K77" s="2263"/>
      <c r="L77" s="2264"/>
    </row>
    <row r="78" spans="3:13">
      <c r="G78" s="1727"/>
      <c r="H78" s="1727"/>
      <c r="I78" s="1727"/>
      <c r="J78" s="1727"/>
      <c r="K78" s="1727"/>
      <c r="L78" s="1727"/>
    </row>
    <row r="79" spans="3:13">
      <c r="E79" s="1694" t="s">
        <v>1526</v>
      </c>
      <c r="G79" s="1727"/>
      <c r="H79" s="1727"/>
      <c r="I79" s="1727"/>
      <c r="J79" s="1727"/>
      <c r="K79" s="1732">
        <f>G72+G77</f>
        <v>0</v>
      </c>
      <c r="L79" s="1727"/>
    </row>
    <row r="80" spans="3:13">
      <c r="E80" s="1733" t="s">
        <v>1527</v>
      </c>
      <c r="G80" s="1727"/>
      <c r="H80" s="1727"/>
      <c r="I80" s="1727"/>
      <c r="J80" s="1727"/>
      <c r="K80" s="1727"/>
      <c r="L80" s="1727"/>
    </row>
    <row r="81" spans="2:13">
      <c r="E81" s="1733"/>
      <c r="G81" s="1727"/>
      <c r="H81" s="1727"/>
      <c r="I81" s="1727"/>
      <c r="J81" s="1727"/>
      <c r="K81" s="1727"/>
      <c r="L81" s="1727"/>
    </row>
    <row r="82" spans="2:13">
      <c r="G82" s="1727"/>
      <c r="H82" s="1727"/>
      <c r="I82" s="1727"/>
      <c r="J82" s="1727"/>
      <c r="K82" s="1727"/>
      <c r="L82" s="1727"/>
    </row>
    <row r="83" spans="2:13">
      <c r="B83" s="1697">
        <v>5</v>
      </c>
      <c r="C83" s="1698" t="s">
        <v>1528</v>
      </c>
      <c r="D83" s="1698"/>
      <c r="E83" s="1699"/>
      <c r="F83" s="1700"/>
      <c r="G83" s="1700"/>
      <c r="H83" s="1700"/>
      <c r="I83" s="1700"/>
      <c r="J83" s="1700"/>
      <c r="K83" s="1700"/>
      <c r="L83" s="1701"/>
      <c r="M83" s="1702">
        <v>0</v>
      </c>
    </row>
    <row r="84" spans="2:13" ht="7.5" customHeight="1">
      <c r="C84" s="1697"/>
      <c r="D84" s="1697"/>
      <c r="E84" s="1703"/>
      <c r="F84" s="1697"/>
      <c r="G84" s="1697"/>
      <c r="H84" s="1697"/>
      <c r="I84" s="1697"/>
      <c r="J84" s="1697"/>
      <c r="K84" s="1697"/>
      <c r="L84" s="1725"/>
      <c r="M84" s="1704"/>
    </row>
    <row r="85" spans="2:13">
      <c r="C85" s="2254" t="s">
        <v>1529</v>
      </c>
      <c r="D85" s="2254"/>
      <c r="E85" s="2254"/>
      <c r="F85" s="2254"/>
      <c r="G85" s="2254"/>
      <c r="H85" s="2254"/>
      <c r="I85" s="2254"/>
      <c r="J85" s="2254"/>
      <c r="K85" s="2254"/>
      <c r="L85" s="2254"/>
      <c r="M85" s="2254"/>
    </row>
    <row r="86" spans="2:13" ht="6.75" customHeight="1">
      <c r="C86" s="1703"/>
      <c r="D86" s="1703"/>
    </row>
    <row r="87" spans="2:13">
      <c r="D87" s="1733" t="s">
        <v>1530</v>
      </c>
    </row>
    <row r="88" spans="2:13">
      <c r="E88" s="1694" t="s">
        <v>1522</v>
      </c>
      <c r="H88" s="2265" t="s">
        <v>1484</v>
      </c>
      <c r="I88" s="2266"/>
      <c r="J88" s="2266"/>
      <c r="K88" s="2266"/>
      <c r="L88" s="2267"/>
    </row>
    <row r="89" spans="2:13">
      <c r="E89" s="1694" t="s">
        <v>1524</v>
      </c>
      <c r="H89" s="1734"/>
      <c r="K89" s="2268">
        <v>0</v>
      </c>
      <c r="L89" s="2269"/>
    </row>
    <row r="90" spans="2:13">
      <c r="E90" s="1729" t="s">
        <v>1531</v>
      </c>
      <c r="G90" s="1735"/>
      <c r="H90" s="1734"/>
      <c r="J90" s="1857"/>
      <c r="K90" s="2268">
        <v>0</v>
      </c>
      <c r="L90" s="2269"/>
    </row>
    <row r="91" spans="2:13">
      <c r="E91" s="1694" t="s">
        <v>1532</v>
      </c>
      <c r="G91" s="1735"/>
      <c r="H91" s="1734"/>
      <c r="J91" s="1858"/>
      <c r="L91" s="1859" t="str">
        <f>IFERROR((K89/K90),"")</f>
        <v/>
      </c>
    </row>
    <row r="92" spans="2:13" ht="15" customHeight="1"/>
    <row r="93" spans="2:13">
      <c r="B93" s="1697">
        <v>6</v>
      </c>
      <c r="C93" s="1698" t="s">
        <v>1533</v>
      </c>
      <c r="D93" s="1698"/>
      <c r="E93" s="1699"/>
      <c r="F93" s="1700"/>
      <c r="G93" s="1700"/>
      <c r="H93" s="1700"/>
      <c r="I93" s="1700"/>
      <c r="J93" s="1700"/>
      <c r="K93" s="1700"/>
      <c r="L93" s="1701"/>
      <c r="M93" s="1702">
        <v>0</v>
      </c>
    </row>
    <row r="94" spans="2:13" ht="7.5" customHeight="1">
      <c r="C94" s="1697"/>
      <c r="D94" s="1697"/>
      <c r="E94" s="1703"/>
      <c r="F94" s="1697"/>
      <c r="G94" s="1697"/>
      <c r="H94" s="1697"/>
      <c r="I94" s="1697"/>
      <c r="J94" s="1697"/>
      <c r="K94" s="1697"/>
      <c r="L94" s="1725"/>
      <c r="M94" s="1704"/>
    </row>
    <row r="95" spans="2:13" ht="26.25" customHeight="1">
      <c r="C95" s="2254" t="s">
        <v>1534</v>
      </c>
      <c r="D95" s="2254"/>
      <c r="E95" s="2254"/>
      <c r="F95" s="2254"/>
      <c r="G95" s="2254"/>
      <c r="H95" s="2254"/>
      <c r="I95" s="2254"/>
      <c r="J95" s="2254"/>
      <c r="K95" s="2254"/>
      <c r="L95" s="2254"/>
      <c r="M95" s="2254"/>
    </row>
    <row r="96" spans="2:13" ht="6.75" customHeight="1">
      <c r="C96" s="1703"/>
      <c r="D96" s="1703"/>
    </row>
    <row r="97" spans="2:13">
      <c r="E97" s="1694" t="s">
        <v>1535</v>
      </c>
      <c r="H97" s="2270" t="s">
        <v>1536</v>
      </c>
      <c r="I97" s="2271"/>
      <c r="J97" s="2271"/>
      <c r="K97" s="2271"/>
      <c r="L97" s="2272"/>
    </row>
    <row r="98" spans="2:13">
      <c r="E98" s="1694" t="s">
        <v>1537</v>
      </c>
      <c r="H98" s="1734"/>
      <c r="K98" s="2273">
        <v>0</v>
      </c>
      <c r="L98" s="2274"/>
    </row>
    <row r="99" spans="2:13">
      <c r="H99" s="1734"/>
      <c r="J99" s="1734"/>
      <c r="K99" s="1736"/>
    </row>
    <row r="100" spans="2:13">
      <c r="B100" s="1697">
        <v>7</v>
      </c>
      <c r="C100" s="1698" t="s">
        <v>1538</v>
      </c>
      <c r="D100" s="1698"/>
      <c r="E100" s="1699"/>
      <c r="F100" s="1700"/>
      <c r="G100" s="1700"/>
      <c r="H100" s="1700"/>
      <c r="I100" s="1700"/>
      <c r="J100" s="1700"/>
      <c r="K100" s="1700"/>
      <c r="L100" s="1701"/>
      <c r="M100" s="1702">
        <v>0</v>
      </c>
    </row>
    <row r="101" spans="2:13" ht="7.5" customHeight="1">
      <c r="C101" s="1697"/>
      <c r="D101" s="1697"/>
      <c r="E101" s="1703"/>
      <c r="F101" s="1697"/>
      <c r="G101" s="1697"/>
      <c r="H101" s="1697"/>
      <c r="I101" s="1697"/>
      <c r="J101" s="1697"/>
      <c r="K101" s="1697"/>
      <c r="L101" s="1725"/>
      <c r="M101" s="1704"/>
    </row>
    <row r="102" spans="2:13">
      <c r="D102" s="1733" t="s">
        <v>1539</v>
      </c>
    </row>
    <row r="103" spans="2:13" ht="6.75" customHeight="1">
      <c r="C103" s="1703"/>
      <c r="D103" s="1703"/>
    </row>
    <row r="104" spans="2:13">
      <c r="E104" s="1694" t="s">
        <v>1540</v>
      </c>
      <c r="I104" s="2275" t="s">
        <v>1541</v>
      </c>
      <c r="J104" s="2276"/>
      <c r="K104" s="2276"/>
      <c r="L104" s="2277"/>
    </row>
    <row r="105" spans="2:13">
      <c r="E105" s="1694" t="s">
        <v>1542</v>
      </c>
      <c r="H105" s="1734"/>
      <c r="I105" s="2278" t="s">
        <v>1543</v>
      </c>
      <c r="J105" s="2279"/>
      <c r="K105" s="2279"/>
      <c r="L105" s="2280"/>
    </row>
    <row r="106" spans="2:13">
      <c r="E106" s="1694" t="s">
        <v>1544</v>
      </c>
      <c r="H106" s="1734"/>
      <c r="I106" s="2278" t="s">
        <v>1545</v>
      </c>
      <c r="J106" s="2279"/>
      <c r="K106" s="2279"/>
      <c r="L106" s="2280"/>
    </row>
    <row r="107" spans="2:13">
      <c r="G107" s="1735"/>
      <c r="H107" s="1734"/>
      <c r="I107" s="1737"/>
      <c r="J107" s="1737"/>
      <c r="K107" s="1738"/>
      <c r="L107" s="1738"/>
    </row>
    <row r="108" spans="2:13">
      <c r="B108" s="1697">
        <v>8</v>
      </c>
      <c r="C108" s="1698" t="s">
        <v>1546</v>
      </c>
      <c r="D108" s="1698"/>
      <c r="E108" s="1699"/>
      <c r="F108" s="1700"/>
      <c r="G108" s="1700"/>
      <c r="H108" s="1700"/>
      <c r="I108" s="1700"/>
      <c r="J108" s="1700"/>
      <c r="K108" s="1700"/>
      <c r="L108" s="1701"/>
      <c r="M108" s="1702">
        <v>10</v>
      </c>
    </row>
    <row r="109" spans="2:13" ht="7.5" customHeight="1">
      <c r="C109" s="1697"/>
      <c r="D109" s="1697"/>
      <c r="F109" s="1697"/>
      <c r="G109" s="1697"/>
      <c r="H109" s="1697"/>
      <c r="I109" s="1697"/>
      <c r="J109" s="1697"/>
      <c r="K109" s="1697"/>
      <c r="L109" s="1725"/>
      <c r="M109" s="1704"/>
    </row>
    <row r="110" spans="2:13">
      <c r="C110" s="1703" t="s">
        <v>1547</v>
      </c>
      <c r="D110" s="1703"/>
    </row>
    <row r="111" spans="2:13" ht="4.5" customHeight="1">
      <c r="C111" s="1703"/>
      <c r="D111" s="1703"/>
    </row>
    <row r="112" spans="2:13">
      <c r="E112" s="2281" t="s">
        <v>1548</v>
      </c>
      <c r="F112" s="2282"/>
    </row>
    <row r="113" spans="2:13" s="1739" customFormat="1">
      <c r="E113" s="1740"/>
      <c r="F113" s="1740"/>
    </row>
    <row r="115" spans="2:13">
      <c r="B115" s="1697">
        <v>9</v>
      </c>
      <c r="C115" s="1698" t="s">
        <v>1549</v>
      </c>
      <c r="D115" s="1698"/>
      <c r="E115" s="1699"/>
      <c r="F115" s="1700"/>
      <c r="G115" s="1700"/>
      <c r="H115" s="1700"/>
      <c r="I115" s="1700"/>
      <c r="J115" s="1700"/>
      <c r="K115" s="1700"/>
      <c r="L115" s="1701"/>
      <c r="M115" s="1702">
        <v>0</v>
      </c>
    </row>
    <row r="116" spans="2:13" ht="7.5" customHeight="1"/>
    <row r="117" spans="2:13" ht="27.75" customHeight="1">
      <c r="C117" s="2254" t="s">
        <v>1550</v>
      </c>
      <c r="D117" s="2254"/>
      <c r="E117" s="2254"/>
      <c r="F117" s="2254"/>
      <c r="G117" s="2254"/>
      <c r="H117" s="2254"/>
      <c r="I117" s="2254"/>
      <c r="J117" s="2254"/>
      <c r="K117" s="2254"/>
      <c r="L117" s="2254"/>
      <c r="M117" s="2254"/>
    </row>
    <row r="118" spans="2:13" ht="4.5" customHeight="1">
      <c r="C118" s="1703"/>
      <c r="D118" s="1703"/>
      <c r="E118" s="1703"/>
      <c r="F118" s="1703"/>
      <c r="G118" s="1703"/>
      <c r="H118" s="1703"/>
      <c r="I118" s="1703"/>
      <c r="J118" s="1703"/>
      <c r="K118" s="1703"/>
      <c r="L118" s="1703"/>
      <c r="M118" s="1703"/>
    </row>
    <row r="119" spans="2:13">
      <c r="D119" s="1733" t="s">
        <v>1551</v>
      </c>
    </row>
    <row r="120" spans="2:13">
      <c r="D120" s="1733"/>
      <c r="E120" s="1694" t="s">
        <v>1552</v>
      </c>
      <c r="I120" s="2283" t="s">
        <v>1553</v>
      </c>
      <c r="J120" s="2284"/>
      <c r="K120" s="2284"/>
      <c r="L120" s="2285"/>
    </row>
    <row r="121" spans="2:13">
      <c r="D121" s="1733"/>
      <c r="I121" s="2286"/>
      <c r="J121" s="2287"/>
      <c r="K121" s="2287"/>
      <c r="L121" s="2288"/>
    </row>
    <row r="122" spans="2:13">
      <c r="D122" s="1733"/>
      <c r="E122" s="1694" t="s">
        <v>1554</v>
      </c>
      <c r="I122" s="2289" t="s">
        <v>1555</v>
      </c>
      <c r="J122" s="2290"/>
      <c r="K122" s="2290"/>
      <c r="L122" s="2291"/>
    </row>
    <row r="123" spans="2:13">
      <c r="E123" s="1694" t="s">
        <v>1556</v>
      </c>
      <c r="H123" s="1734"/>
      <c r="I123" s="2289" t="s">
        <v>1557</v>
      </c>
      <c r="J123" s="2290"/>
      <c r="K123" s="2290"/>
      <c r="L123" s="2291"/>
    </row>
    <row r="124" spans="2:13">
      <c r="E124" s="1694" t="s">
        <v>1558</v>
      </c>
      <c r="H124" s="1734"/>
      <c r="I124" s="2289" t="s">
        <v>1559</v>
      </c>
      <c r="J124" s="2290"/>
      <c r="K124" s="2290"/>
      <c r="L124" s="2291"/>
    </row>
    <row r="125" spans="2:13">
      <c r="D125" s="1741"/>
      <c r="G125" s="1735"/>
      <c r="H125" s="1734"/>
      <c r="I125" s="1738"/>
      <c r="J125" s="1738"/>
      <c r="K125" s="1738"/>
      <c r="L125" s="1738"/>
    </row>
    <row r="126" spans="2:13">
      <c r="B126" s="1697">
        <v>10</v>
      </c>
      <c r="C126" s="1698" t="s">
        <v>1560</v>
      </c>
      <c r="D126" s="1698"/>
      <c r="E126" s="1699"/>
      <c r="F126" s="1700"/>
      <c r="G126" s="1700"/>
      <c r="H126" s="1700"/>
      <c r="I126" s="1700"/>
      <c r="J126" s="1700"/>
      <c r="K126" s="1700"/>
      <c r="L126" s="1701"/>
      <c r="M126" s="1702">
        <v>0</v>
      </c>
    </row>
    <row r="127" spans="2:13" ht="7.5" customHeight="1"/>
    <row r="128" spans="2:13" ht="29.25" customHeight="1">
      <c r="C128" s="2254" t="s">
        <v>1561</v>
      </c>
      <c r="D128" s="2254"/>
      <c r="E128" s="2254"/>
      <c r="F128" s="2254"/>
      <c r="G128" s="2254"/>
      <c r="H128" s="2254"/>
      <c r="I128" s="2254"/>
      <c r="J128" s="2254"/>
      <c r="K128" s="2254"/>
      <c r="L128" s="2254"/>
      <c r="M128" s="2254"/>
    </row>
    <row r="129" spans="2:13" ht="4.5" customHeight="1">
      <c r="C129" s="1703"/>
    </row>
    <row r="130" spans="2:13">
      <c r="F130" s="2292" t="s">
        <v>1562</v>
      </c>
      <c r="G130" s="2293"/>
      <c r="H130" s="2293"/>
      <c r="I130" s="2293"/>
      <c r="J130" s="2293"/>
      <c r="K130" s="2293"/>
      <c r="L130" s="2294"/>
      <c r="M130" s="1971"/>
    </row>
    <row r="131" spans="2:13">
      <c r="E131" s="1739"/>
      <c r="F131" s="1727"/>
      <c r="G131" s="1727"/>
      <c r="H131" s="1727"/>
      <c r="I131" s="1727"/>
      <c r="J131" s="1727"/>
      <c r="K131" s="1727"/>
      <c r="L131" s="1727"/>
      <c r="M131" s="1727"/>
    </row>
    <row r="132" spans="2:13">
      <c r="E132" s="1739"/>
      <c r="F132" s="1727" t="s">
        <v>1563</v>
      </c>
      <c r="G132" s="1727"/>
      <c r="H132" s="1727"/>
      <c r="I132" s="1727"/>
      <c r="J132" s="1727"/>
      <c r="K132" s="1727"/>
      <c r="L132" s="1728">
        <v>0</v>
      </c>
      <c r="M132" s="1727" t="s">
        <v>1506</v>
      </c>
    </row>
    <row r="133" spans="2:13" ht="4.5" customHeight="1">
      <c r="E133" s="1727"/>
      <c r="F133" s="2295" t="s">
        <v>1564</v>
      </c>
      <c r="G133" s="2295"/>
      <c r="H133" s="2295"/>
      <c r="I133" s="2295"/>
      <c r="J133" s="2295"/>
      <c r="K133" s="2295"/>
    </row>
    <row r="134" spans="2:13">
      <c r="E134" s="1727"/>
      <c r="F134" s="2295"/>
      <c r="G134" s="2295"/>
      <c r="H134" s="2295"/>
      <c r="I134" s="2295"/>
      <c r="J134" s="2295"/>
      <c r="K134" s="2295"/>
      <c r="L134" s="1728">
        <v>0</v>
      </c>
      <c r="M134" s="1727" t="s">
        <v>1506</v>
      </c>
    </row>
    <row r="135" spans="2:13">
      <c r="F135" s="1694" t="s">
        <v>1565</v>
      </c>
      <c r="L135" s="1728">
        <v>0</v>
      </c>
      <c r="M135" s="1727" t="s">
        <v>1566</v>
      </c>
    </row>
    <row r="136" spans="2:13">
      <c r="L136" s="1731"/>
      <c r="M136" s="1727"/>
    </row>
    <row r="138" spans="2:13">
      <c r="B138" s="1697">
        <v>11</v>
      </c>
      <c r="C138" s="1698" t="s">
        <v>1567</v>
      </c>
      <c r="D138" s="1698"/>
      <c r="E138" s="1699"/>
      <c r="F138" s="1700"/>
      <c r="G138" s="1700"/>
      <c r="H138" s="1700"/>
      <c r="I138" s="1700"/>
      <c r="J138" s="1700"/>
      <c r="K138" s="1700"/>
      <c r="L138" s="1701"/>
      <c r="M138" s="1702">
        <v>0</v>
      </c>
    </row>
    <row r="139" spans="2:13" ht="7.5" customHeight="1">
      <c r="C139" s="1697"/>
      <c r="D139" s="1697"/>
      <c r="E139" s="1703"/>
      <c r="F139" s="1697"/>
      <c r="G139" s="1697"/>
      <c r="H139" s="1697"/>
      <c r="I139" s="1697"/>
      <c r="J139" s="1697"/>
      <c r="K139" s="1697"/>
      <c r="L139" s="1725"/>
      <c r="M139" s="1704"/>
    </row>
    <row r="140" spans="2:13" ht="27" customHeight="1">
      <c r="C140" s="2254" t="s">
        <v>1568</v>
      </c>
      <c r="D140" s="2254"/>
      <c r="E140" s="2254"/>
      <c r="F140" s="2254"/>
      <c r="G140" s="2254"/>
      <c r="H140" s="2254"/>
      <c r="I140" s="2254"/>
      <c r="J140" s="2254"/>
      <c r="K140" s="2254"/>
      <c r="L140" s="2254"/>
      <c r="M140" s="2254"/>
    </row>
    <row r="141" spans="2:13" ht="4.5" customHeight="1">
      <c r="C141" s="1969"/>
      <c r="D141" s="1969"/>
      <c r="E141" s="1969"/>
      <c r="F141" s="1969"/>
      <c r="G141" s="1969"/>
      <c r="H141" s="1969"/>
      <c r="I141" s="1969"/>
      <c r="J141" s="1969"/>
      <c r="K141" s="1969"/>
      <c r="L141" s="1969"/>
      <c r="M141" s="1969"/>
    </row>
    <row r="142" spans="2:13">
      <c r="C142" s="1969"/>
      <c r="D142" s="1969"/>
      <c r="E142" s="1968" t="s">
        <v>1569</v>
      </c>
      <c r="F142" s="1969"/>
      <c r="G142" s="2292"/>
      <c r="H142" s="2293"/>
      <c r="I142" s="2293"/>
      <c r="J142" s="2294"/>
      <c r="K142" s="1727"/>
      <c r="L142" s="1969"/>
      <c r="M142" s="1969"/>
    </row>
    <row r="143" spans="2:13">
      <c r="C143" s="1741"/>
      <c r="D143" s="1741" t="s">
        <v>1570</v>
      </c>
      <c r="J143" s="1697"/>
      <c r="K143" s="1742"/>
      <c r="L143" s="1725"/>
      <c r="M143" s="1704"/>
    </row>
    <row r="144" spans="2:13">
      <c r="C144" s="1741"/>
      <c r="D144" s="1741"/>
      <c r="J144" s="1697"/>
      <c r="K144" s="1742"/>
      <c r="L144" s="1725"/>
      <c r="M144" s="1704"/>
    </row>
    <row r="145" spans="2:13">
      <c r="C145" s="1697"/>
      <c r="D145" s="1697"/>
      <c r="E145" s="1727"/>
      <c r="F145" s="1727"/>
      <c r="G145" s="1727"/>
      <c r="H145" s="1727"/>
      <c r="I145" s="1727"/>
      <c r="J145" s="1697"/>
      <c r="K145" s="1742"/>
      <c r="L145" s="1725"/>
      <c r="M145" s="1704"/>
    </row>
    <row r="146" spans="2:13">
      <c r="B146" s="1697">
        <v>12</v>
      </c>
      <c r="C146" s="1698" t="s">
        <v>1571</v>
      </c>
      <c r="D146" s="1698"/>
      <c r="E146" s="1699"/>
      <c r="F146" s="1700"/>
      <c r="G146" s="1700"/>
      <c r="H146" s="1700"/>
      <c r="I146" s="1700"/>
      <c r="J146" s="1700"/>
      <c r="K146" s="1700"/>
      <c r="L146" s="1701"/>
      <c r="M146" s="1702">
        <v>2</v>
      </c>
    </row>
    <row r="147" spans="2:13" ht="7.5" customHeight="1">
      <c r="C147" s="1697"/>
      <c r="D147" s="1697"/>
      <c r="E147" s="1703"/>
      <c r="F147" s="1697"/>
      <c r="G147" s="1697"/>
      <c r="H147" s="1697"/>
      <c r="I147" s="1697"/>
      <c r="J147" s="1697"/>
      <c r="K147" s="1697"/>
      <c r="L147" s="1725"/>
      <c r="M147" s="1704"/>
    </row>
    <row r="148" spans="2:13" ht="27" customHeight="1">
      <c r="C148" s="2254" t="s">
        <v>1572</v>
      </c>
      <c r="D148" s="2254"/>
      <c r="E148" s="2254"/>
      <c r="F148" s="2254"/>
      <c r="G148" s="2254"/>
      <c r="H148" s="2254"/>
      <c r="I148" s="2254"/>
      <c r="J148" s="2254"/>
      <c r="K148" s="2254"/>
      <c r="L148" s="2254"/>
      <c r="M148" s="2254"/>
    </row>
    <row r="149" spans="2:13" ht="4.5" customHeight="1">
      <c r="C149" s="1969"/>
      <c r="D149" s="1969"/>
      <c r="E149" s="1969"/>
      <c r="F149" s="1969"/>
      <c r="G149" s="1969"/>
      <c r="H149" s="1969"/>
      <c r="I149" s="1969"/>
      <c r="J149" s="1969"/>
      <c r="K149" s="1969"/>
      <c r="L149" s="1969"/>
      <c r="M149" s="1969"/>
    </row>
    <row r="150" spans="2:13">
      <c r="C150" s="1969"/>
      <c r="D150" s="1969"/>
      <c r="E150" s="1968" t="s">
        <v>1573</v>
      </c>
      <c r="F150" s="1969"/>
      <c r="G150" s="2252" t="s">
        <v>1574</v>
      </c>
      <c r="H150" s="2258"/>
      <c r="I150" s="2258"/>
      <c r="J150" s="2258"/>
      <c r="K150" s="2258"/>
      <c r="L150" s="2253"/>
      <c r="M150" s="1969"/>
    </row>
    <row r="151" spans="2:13">
      <c r="C151" s="1697"/>
      <c r="D151" s="1697"/>
      <c r="J151" s="1697"/>
      <c r="K151" s="1742"/>
      <c r="L151" s="1725"/>
      <c r="M151" s="1704"/>
    </row>
    <row r="152" spans="2:13">
      <c r="C152" s="1697"/>
      <c r="D152" s="1697"/>
      <c r="E152" s="1727"/>
      <c r="F152" s="1727"/>
      <c r="G152" s="1727"/>
      <c r="H152" s="1727"/>
      <c r="I152" s="1727"/>
      <c r="J152" s="1697"/>
      <c r="K152" s="1742"/>
      <c r="L152" s="1725"/>
      <c r="M152" s="1704"/>
    </row>
    <row r="153" spans="2:13">
      <c r="B153" s="1697">
        <v>13</v>
      </c>
      <c r="C153" s="1698" t="s">
        <v>1575</v>
      </c>
      <c r="D153" s="1698"/>
      <c r="E153" s="1699"/>
      <c r="F153" s="1700"/>
      <c r="G153" s="1700"/>
      <c r="H153" s="1700"/>
      <c r="I153" s="1700"/>
      <c r="J153" s="1700"/>
      <c r="K153" s="1700"/>
      <c r="L153" s="1701"/>
      <c r="M153" s="1702">
        <v>2</v>
      </c>
    </row>
    <row r="154" spans="2:13" ht="7.5" customHeight="1">
      <c r="C154" s="1697"/>
      <c r="D154" s="1697"/>
      <c r="E154" s="1703"/>
      <c r="F154" s="1697"/>
      <c r="G154" s="1697"/>
      <c r="H154" s="1697"/>
      <c r="I154" s="1697"/>
      <c r="J154" s="1697"/>
      <c r="K154" s="1697"/>
      <c r="L154" s="1725"/>
      <c r="M154" s="1704"/>
    </row>
    <row r="155" spans="2:13" ht="15" customHeight="1">
      <c r="C155" s="2254" t="s">
        <v>1576</v>
      </c>
      <c r="D155" s="2254"/>
      <c r="E155" s="2254"/>
      <c r="F155" s="2254"/>
      <c r="G155" s="2254"/>
      <c r="H155" s="2254"/>
      <c r="I155" s="2254"/>
      <c r="J155" s="2254"/>
      <c r="K155" s="2254"/>
      <c r="L155" s="2254"/>
      <c r="M155" s="2254"/>
    </row>
    <row r="156" spans="2:13">
      <c r="C156" s="2254"/>
      <c r="D156" s="2254"/>
      <c r="E156" s="2254"/>
      <c r="F156" s="2254"/>
      <c r="G156" s="2254"/>
      <c r="H156" s="2254"/>
      <c r="I156" s="2254"/>
      <c r="J156" s="2254"/>
      <c r="K156" s="2254"/>
      <c r="L156" s="2254"/>
      <c r="M156" s="2254"/>
    </row>
    <row r="157" spans="2:13" ht="4.5" customHeight="1">
      <c r="C157" s="1969"/>
      <c r="D157" s="1969"/>
      <c r="E157" s="1969"/>
      <c r="F157" s="1969"/>
      <c r="G157" s="1969"/>
      <c r="H157" s="1969"/>
      <c r="I157" s="1969"/>
      <c r="J157" s="1969"/>
      <c r="K157" s="1969"/>
      <c r="L157" s="1969"/>
      <c r="M157" s="1969"/>
    </row>
    <row r="158" spans="2:13">
      <c r="E158" s="1694" t="s">
        <v>1519</v>
      </c>
      <c r="G158" s="2252" t="s">
        <v>863</v>
      </c>
      <c r="H158" s="2258"/>
      <c r="I158" s="2258"/>
      <c r="J158" s="2258"/>
      <c r="K158" s="2258"/>
      <c r="L158" s="2253"/>
    </row>
    <row r="159" spans="2:13">
      <c r="G159" s="1727"/>
      <c r="H159" s="1727"/>
      <c r="I159" s="1727"/>
      <c r="J159" s="1727"/>
      <c r="K159" s="1727"/>
      <c r="L159" s="1727"/>
    </row>
    <row r="160" spans="2:13">
      <c r="C160" s="1969"/>
      <c r="D160" s="1969"/>
      <c r="E160" s="1969"/>
      <c r="F160" s="1969"/>
      <c r="G160" s="1969"/>
      <c r="H160" s="1969"/>
      <c r="I160" s="1969"/>
      <c r="J160" s="1969"/>
      <c r="K160" s="1969"/>
      <c r="L160" s="1969"/>
      <c r="M160" s="1969"/>
    </row>
    <row r="161" spans="2:13">
      <c r="B161" s="1697">
        <v>14</v>
      </c>
      <c r="C161" s="1698" t="s">
        <v>1577</v>
      </c>
      <c r="D161" s="1698"/>
      <c r="E161" s="1699"/>
      <c r="F161" s="1700"/>
      <c r="G161" s="1700"/>
      <c r="H161" s="1700"/>
      <c r="I161" s="1700"/>
      <c r="J161" s="1700"/>
      <c r="K161" s="1700"/>
      <c r="L161" s="1701"/>
      <c r="M161" s="1702">
        <v>0</v>
      </c>
    </row>
    <row r="162" spans="2:13" ht="7.5" customHeight="1">
      <c r="C162" s="1697"/>
      <c r="D162" s="1697"/>
      <c r="E162" s="1703"/>
      <c r="F162" s="1697"/>
      <c r="G162" s="1697"/>
      <c r="H162" s="1697"/>
      <c r="I162" s="1697"/>
      <c r="J162" s="1697"/>
      <c r="K162" s="1697"/>
      <c r="L162" s="1725"/>
      <c r="M162" s="1704"/>
    </row>
    <row r="163" spans="2:13" ht="15" customHeight="1">
      <c r="C163" s="2254" t="s">
        <v>1578</v>
      </c>
      <c r="D163" s="2254"/>
      <c r="E163" s="2254"/>
      <c r="F163" s="2254"/>
      <c r="G163" s="2254"/>
      <c r="H163" s="2254"/>
      <c r="I163" s="2254"/>
      <c r="J163" s="2254"/>
      <c r="K163" s="2254"/>
      <c r="L163" s="2254"/>
      <c r="M163" s="2254"/>
    </row>
    <row r="164" spans="2:13">
      <c r="C164" s="2254"/>
      <c r="D164" s="2254"/>
      <c r="E164" s="2254"/>
      <c r="F164" s="2254"/>
      <c r="G164" s="2254"/>
      <c r="H164" s="2254"/>
      <c r="I164" s="2254"/>
      <c r="J164" s="2254"/>
      <c r="K164" s="2254"/>
      <c r="L164" s="2254"/>
      <c r="M164" s="2254"/>
    </row>
    <row r="165" spans="2:13" ht="4.5" customHeight="1">
      <c r="C165" s="1969"/>
      <c r="D165" s="1969"/>
      <c r="E165" s="1969"/>
      <c r="F165" s="1969"/>
      <c r="G165" s="1969"/>
      <c r="H165" s="1969"/>
      <c r="I165" s="1969"/>
      <c r="J165" s="1969"/>
      <c r="K165" s="1969"/>
      <c r="L165" s="1969"/>
      <c r="M165" s="1969"/>
    </row>
    <row r="166" spans="2:13">
      <c r="E166" s="1694" t="s">
        <v>1519</v>
      </c>
      <c r="G166" s="2252" t="s">
        <v>863</v>
      </c>
      <c r="H166" s="2258"/>
      <c r="I166" s="2258"/>
      <c r="J166" s="2258"/>
      <c r="K166" s="2258"/>
      <c r="L166" s="2253"/>
    </row>
    <row r="167" spans="2:13">
      <c r="G167" s="1727"/>
      <c r="H167" s="1727"/>
      <c r="I167" s="1727"/>
      <c r="J167" s="1727"/>
      <c r="K167" s="1727"/>
      <c r="L167" s="1727"/>
    </row>
    <row r="168" spans="2:13">
      <c r="C168" s="1969"/>
      <c r="D168" s="1969"/>
      <c r="E168" s="1969"/>
      <c r="F168" s="1969"/>
      <c r="G168" s="1969"/>
      <c r="H168" s="1969"/>
      <c r="I168" s="1969"/>
      <c r="J168" s="1969"/>
      <c r="K168" s="1969"/>
      <c r="L168" s="1969"/>
      <c r="M168" s="1969"/>
    </row>
    <row r="169" spans="2:13">
      <c r="B169" s="1697">
        <v>15</v>
      </c>
      <c r="C169" s="1698" t="s">
        <v>1579</v>
      </c>
      <c r="D169" s="1698"/>
      <c r="E169" s="1699"/>
      <c r="F169" s="1700"/>
      <c r="G169" s="1700"/>
      <c r="H169" s="1700"/>
      <c r="I169" s="1700"/>
      <c r="J169" s="1700"/>
      <c r="K169" s="1700"/>
      <c r="L169" s="1701"/>
      <c r="M169" s="1702">
        <v>1</v>
      </c>
    </row>
    <row r="170" spans="2:13" ht="7.5" customHeight="1">
      <c r="C170" s="1697"/>
      <c r="D170" s="1697"/>
      <c r="E170" s="1703"/>
      <c r="F170" s="1697"/>
      <c r="G170" s="1697"/>
      <c r="H170" s="1697"/>
      <c r="I170" s="1697"/>
      <c r="J170" s="1697"/>
      <c r="K170" s="1697"/>
      <c r="L170" s="1725"/>
      <c r="M170" s="1704"/>
    </row>
    <row r="171" spans="2:13" ht="15" customHeight="1">
      <c r="C171" s="2254" t="s">
        <v>1580</v>
      </c>
      <c r="D171" s="2254"/>
      <c r="E171" s="2254"/>
      <c r="F171" s="2254"/>
      <c r="G171" s="2254"/>
      <c r="H171" s="2254"/>
      <c r="I171" s="2254"/>
      <c r="J171" s="2254"/>
      <c r="K171" s="2254"/>
      <c r="L171" s="2254"/>
      <c r="M171" s="2254"/>
    </row>
    <row r="172" spans="2:13">
      <c r="C172" s="2254"/>
      <c r="D172" s="2254"/>
      <c r="E172" s="2254"/>
      <c r="F172" s="2254"/>
      <c r="G172" s="2254"/>
      <c r="H172" s="2254"/>
      <c r="I172" s="2254"/>
      <c r="J172" s="2254"/>
      <c r="K172" s="2254"/>
      <c r="L172" s="2254"/>
      <c r="M172" s="2254"/>
    </row>
    <row r="173" spans="2:13">
      <c r="C173" s="1969"/>
      <c r="D173" s="1969"/>
      <c r="E173" s="1969"/>
      <c r="F173" s="1969"/>
      <c r="G173" s="1969"/>
      <c r="H173" s="1969"/>
      <c r="I173" s="1969"/>
      <c r="J173" s="1969"/>
      <c r="K173" s="1969"/>
      <c r="L173" s="1969"/>
      <c r="M173" s="1969"/>
    </row>
    <row r="174" spans="2:13">
      <c r="E174" s="1694" t="s">
        <v>1519</v>
      </c>
      <c r="G174" s="2252" t="s">
        <v>1581</v>
      </c>
      <c r="H174" s="2258"/>
      <c r="I174" s="2258"/>
      <c r="J174" s="2258"/>
      <c r="K174" s="2258"/>
      <c r="L174" s="2253"/>
    </row>
    <row r="175" spans="2:13">
      <c r="G175" s="1727"/>
      <c r="H175" s="1727"/>
      <c r="I175" s="1727"/>
      <c r="J175" s="1727"/>
      <c r="K175" s="1727"/>
      <c r="L175" s="1727"/>
    </row>
    <row r="176" spans="2:13">
      <c r="G176" s="1727"/>
      <c r="H176" s="1727"/>
      <c r="I176" s="1727"/>
      <c r="J176" s="1727"/>
      <c r="K176" s="1727"/>
      <c r="L176" s="1727"/>
    </row>
    <row r="177" spans="2:13">
      <c r="B177" s="1697">
        <v>16</v>
      </c>
      <c r="C177" s="1698" t="s">
        <v>1582</v>
      </c>
      <c r="D177" s="1698"/>
      <c r="E177" s="1699"/>
      <c r="F177" s="1700"/>
      <c r="G177" s="1700"/>
      <c r="H177" s="1700"/>
      <c r="I177" s="1700"/>
      <c r="J177" s="1700"/>
      <c r="K177" s="1700"/>
      <c r="L177" s="1701"/>
      <c r="M177" s="1702">
        <v>1</v>
      </c>
    </row>
    <row r="178" spans="2:13" ht="7.5" customHeight="1">
      <c r="C178" s="1697"/>
      <c r="D178" s="1697"/>
      <c r="E178" s="1703"/>
      <c r="F178" s="1697"/>
      <c r="G178" s="1697"/>
      <c r="H178" s="1697"/>
      <c r="I178" s="1697"/>
      <c r="J178" s="1697"/>
      <c r="K178" s="1697"/>
      <c r="L178" s="1725"/>
      <c r="M178" s="1704"/>
    </row>
    <row r="179" spans="2:13" ht="15" customHeight="1">
      <c r="C179" s="2254" t="s">
        <v>1583</v>
      </c>
      <c r="D179" s="2254"/>
      <c r="E179" s="2254"/>
      <c r="F179" s="2254"/>
      <c r="G179" s="2254"/>
      <c r="H179" s="2254"/>
      <c r="I179" s="2254"/>
      <c r="J179" s="2254"/>
      <c r="K179" s="2254"/>
      <c r="L179" s="2254"/>
      <c r="M179" s="2254"/>
    </row>
    <row r="180" spans="2:13">
      <c r="C180" s="2254"/>
      <c r="D180" s="2254"/>
      <c r="E180" s="2254"/>
      <c r="F180" s="2254"/>
      <c r="G180" s="2254"/>
      <c r="H180" s="2254"/>
      <c r="I180" s="2254"/>
      <c r="J180" s="2254"/>
      <c r="K180" s="2254"/>
      <c r="L180" s="2254"/>
      <c r="M180" s="2254"/>
    </row>
    <row r="181" spans="2:13">
      <c r="C181" s="1969"/>
      <c r="D181" s="1969"/>
      <c r="E181" s="1969"/>
      <c r="F181" s="1969"/>
      <c r="G181" s="1969"/>
      <c r="H181" s="1969"/>
      <c r="I181" s="1969"/>
      <c r="J181" s="1969"/>
      <c r="K181" s="1969"/>
      <c r="L181" s="1969"/>
      <c r="M181" s="1969"/>
    </row>
    <row r="182" spans="2:13">
      <c r="E182" s="1694" t="s">
        <v>1519</v>
      </c>
      <c r="G182" s="2252" t="s">
        <v>1584</v>
      </c>
      <c r="H182" s="2258"/>
      <c r="I182" s="2258"/>
      <c r="J182" s="2258"/>
      <c r="K182" s="2258"/>
      <c r="L182" s="2253"/>
    </row>
    <row r="183" spans="2:13">
      <c r="G183" s="1727"/>
      <c r="H183" s="1727"/>
      <c r="I183" s="1727"/>
      <c r="J183" s="1727"/>
      <c r="K183" s="1727"/>
      <c r="L183" s="1727"/>
    </row>
    <row r="184" spans="2:13">
      <c r="G184" s="1727"/>
      <c r="H184" s="1727"/>
      <c r="I184" s="1727"/>
      <c r="J184" s="1727"/>
      <c r="K184" s="1727"/>
      <c r="L184" s="1727"/>
    </row>
    <row r="185" spans="2:13">
      <c r="B185" s="1697">
        <v>17</v>
      </c>
      <c r="C185" s="1698" t="s">
        <v>1585</v>
      </c>
      <c r="D185" s="1698"/>
      <c r="E185" s="1699"/>
      <c r="F185" s="1700"/>
      <c r="G185" s="1700"/>
      <c r="H185" s="1700"/>
      <c r="I185" s="1700"/>
      <c r="J185" s="1700"/>
      <c r="K185" s="1700"/>
      <c r="L185" s="1701"/>
      <c r="M185" s="1702">
        <v>0</v>
      </c>
    </row>
    <row r="186" spans="2:13" ht="7.5" customHeight="1">
      <c r="C186" s="1697"/>
      <c r="D186" s="1697"/>
      <c r="E186" s="1703"/>
      <c r="F186" s="1697"/>
      <c r="G186" s="1697"/>
      <c r="H186" s="1697"/>
      <c r="I186" s="1697"/>
      <c r="J186" s="1697"/>
      <c r="K186" s="1697"/>
      <c r="L186" s="1725"/>
      <c r="M186" s="1704"/>
    </row>
    <row r="187" spans="2:13">
      <c r="C187" s="2296" t="s">
        <v>1586</v>
      </c>
      <c r="D187" s="2296"/>
      <c r="E187" s="2296"/>
      <c r="F187" s="2296"/>
      <c r="G187" s="2296"/>
      <c r="H187" s="2296"/>
      <c r="I187" s="2296"/>
      <c r="J187" s="2296"/>
      <c r="K187" s="2296"/>
      <c r="L187" s="2296"/>
      <c r="M187" s="2296"/>
    </row>
    <row r="188" spans="2:13">
      <c r="C188" s="1969"/>
      <c r="D188" s="1969"/>
      <c r="E188" s="1969"/>
      <c r="F188" s="1969"/>
      <c r="G188" s="1969"/>
      <c r="H188" s="1969"/>
      <c r="I188" s="1969"/>
      <c r="J188" s="1969"/>
      <c r="K188" s="1969"/>
      <c r="L188" s="1969"/>
      <c r="M188" s="1969"/>
    </row>
    <row r="189" spans="2:13">
      <c r="C189" s="1969"/>
      <c r="D189" s="1969"/>
      <c r="E189" s="1968" t="s">
        <v>1587</v>
      </c>
      <c r="F189" s="1969"/>
      <c r="G189" s="2297" t="s">
        <v>1588</v>
      </c>
      <c r="H189" s="2298"/>
      <c r="I189" s="2299"/>
      <c r="J189" s="1969"/>
      <c r="K189" s="2303" t="s">
        <v>1589</v>
      </c>
      <c r="L189" s="2304"/>
      <c r="M189" s="1969"/>
    </row>
    <row r="190" spans="2:13">
      <c r="C190" s="1969"/>
      <c r="D190" s="1969"/>
      <c r="E190" s="1969"/>
      <c r="F190" s="1969"/>
      <c r="G190" s="2300"/>
      <c r="H190" s="2301"/>
      <c r="I190" s="2302"/>
      <c r="J190" s="1969"/>
      <c r="K190" s="1969"/>
      <c r="L190" s="1969"/>
      <c r="M190" s="1969"/>
    </row>
    <row r="191" spans="2:13">
      <c r="G191" s="1727"/>
      <c r="H191" s="1727"/>
      <c r="I191" s="1727"/>
      <c r="J191" s="1727"/>
      <c r="K191" s="1727"/>
      <c r="L191" s="1727"/>
    </row>
    <row r="192" spans="2:13">
      <c r="B192" s="1697">
        <v>18</v>
      </c>
      <c r="C192" s="1698" t="s">
        <v>1590</v>
      </c>
      <c r="D192" s="1698"/>
      <c r="E192" s="1699"/>
      <c r="F192" s="1700"/>
      <c r="G192" s="1700"/>
      <c r="H192" s="1700"/>
      <c r="I192" s="1700"/>
      <c r="J192" s="1700"/>
      <c r="K192" s="1700"/>
      <c r="L192" s="1701"/>
      <c r="M192" s="1702">
        <v>5</v>
      </c>
    </row>
    <row r="193" spans="2:13" ht="7.15" customHeight="1">
      <c r="C193" s="1697"/>
      <c r="D193" s="1697"/>
      <c r="E193" s="1703"/>
      <c r="F193" s="1697"/>
      <c r="G193" s="1697"/>
      <c r="H193" s="1697"/>
      <c r="I193" s="1697"/>
      <c r="J193" s="1697"/>
      <c r="K193" s="1697"/>
      <c r="L193" s="1725"/>
      <c r="M193" s="1704"/>
    </row>
    <row r="194" spans="2:13">
      <c r="C194" s="2254" t="s">
        <v>1591</v>
      </c>
      <c r="D194" s="2254"/>
      <c r="E194" s="2254"/>
      <c r="F194" s="2254"/>
      <c r="G194" s="2254"/>
      <c r="H194" s="2254"/>
      <c r="I194" s="2254"/>
      <c r="J194" s="2254"/>
      <c r="K194" s="2254"/>
      <c r="L194" s="2254"/>
      <c r="M194" s="2254"/>
    </row>
    <row r="195" spans="2:13">
      <c r="C195" s="2254"/>
      <c r="D195" s="2254"/>
      <c r="E195" s="2254"/>
      <c r="F195" s="2254"/>
      <c r="G195" s="2254"/>
      <c r="H195" s="2254"/>
      <c r="I195" s="2254"/>
      <c r="J195" s="2254"/>
      <c r="K195" s="2254"/>
      <c r="L195" s="2254"/>
      <c r="M195" s="2254"/>
    </row>
    <row r="196" spans="2:13">
      <c r="C196" s="1969"/>
      <c r="D196" s="1969"/>
      <c r="E196" s="1969"/>
      <c r="F196" s="1969"/>
      <c r="G196" s="1969"/>
      <c r="H196" s="1969"/>
      <c r="I196" s="1969"/>
      <c r="J196" s="1969"/>
      <c r="K196" s="1969"/>
      <c r="L196" s="1969"/>
      <c r="M196" s="1969"/>
    </row>
    <row r="197" spans="2:13">
      <c r="C197" s="1697"/>
      <c r="D197" s="1697"/>
      <c r="E197" s="2252" t="s">
        <v>1592</v>
      </c>
      <c r="F197" s="2258"/>
      <c r="G197" s="2258"/>
      <c r="H197" s="2258"/>
      <c r="I197" s="2253"/>
      <c r="J197" s="1697"/>
      <c r="K197" s="1742"/>
      <c r="L197" s="1725"/>
      <c r="M197" s="1704"/>
    </row>
    <row r="198" spans="2:13">
      <c r="C198" s="1697"/>
      <c r="D198" s="1697"/>
      <c r="E198" s="1727"/>
      <c r="F198" s="1727"/>
      <c r="G198" s="1727"/>
      <c r="H198" s="1727"/>
      <c r="I198" s="1727"/>
      <c r="J198" s="1697"/>
      <c r="K198" s="1742"/>
      <c r="L198" s="1725"/>
      <c r="M198" s="1704"/>
    </row>
    <row r="199" spans="2:13">
      <c r="C199" s="1697"/>
      <c r="D199" s="1697"/>
      <c r="E199" s="1727"/>
      <c r="F199" s="1727"/>
      <c r="G199" s="1727"/>
      <c r="H199" s="1727"/>
      <c r="I199" s="1727"/>
      <c r="J199" s="1697"/>
      <c r="K199" s="1742"/>
      <c r="L199" s="1725"/>
      <c r="M199" s="1704"/>
    </row>
    <row r="200" spans="2:13">
      <c r="B200" s="1697">
        <v>19</v>
      </c>
      <c r="C200" s="1698" t="s">
        <v>1593</v>
      </c>
      <c r="D200" s="1698"/>
      <c r="E200" s="1699"/>
      <c r="F200" s="1700"/>
      <c r="G200" s="1700"/>
      <c r="H200" s="1700"/>
      <c r="I200" s="1700"/>
      <c r="J200" s="1700"/>
      <c r="K200" s="1700"/>
      <c r="L200" s="1701"/>
      <c r="M200" s="1702">
        <v>5</v>
      </c>
    </row>
    <row r="201" spans="2:13" ht="7.5" customHeight="1">
      <c r="C201" s="1697"/>
      <c r="D201" s="1697"/>
      <c r="E201" s="1703"/>
      <c r="F201" s="1697"/>
      <c r="G201" s="1697"/>
      <c r="H201" s="1697"/>
      <c r="I201" s="1697"/>
      <c r="J201" s="1697"/>
      <c r="K201" s="1697"/>
      <c r="L201" s="1725"/>
      <c r="M201" s="1704"/>
    </row>
    <row r="202" spans="2:13" ht="26.25" customHeight="1">
      <c r="C202" s="2254" t="s">
        <v>1594</v>
      </c>
      <c r="D202" s="2254"/>
      <c r="E202" s="2254"/>
      <c r="F202" s="2254"/>
      <c r="G202" s="2254"/>
      <c r="H202" s="2254"/>
      <c r="I202" s="2254"/>
      <c r="J202" s="2254"/>
      <c r="K202" s="2254"/>
      <c r="L202" s="2254"/>
      <c r="M202" s="2254"/>
    </row>
    <row r="203" spans="2:13">
      <c r="C203" s="1969"/>
      <c r="D203" s="1969"/>
      <c r="E203" s="1703" t="s">
        <v>1595</v>
      </c>
      <c r="F203" s="1969"/>
      <c r="G203" s="1969"/>
      <c r="H203" s="1969"/>
      <c r="I203" s="1969"/>
      <c r="J203" s="1969"/>
      <c r="K203" s="1969"/>
      <c r="L203" s="1969"/>
      <c r="M203" s="1969"/>
    </row>
    <row r="204" spans="2:13">
      <c r="E204" s="1743" t="s">
        <v>1596</v>
      </c>
    </row>
    <row r="205" spans="2:13">
      <c r="E205" s="1743"/>
    </row>
    <row r="206" spans="2:13">
      <c r="E206" s="1743"/>
    </row>
    <row r="207" spans="2:13">
      <c r="B207" s="1697">
        <v>20</v>
      </c>
      <c r="C207" s="1698" t="s">
        <v>1597</v>
      </c>
      <c r="D207" s="1698"/>
      <c r="E207" s="1699"/>
      <c r="F207" s="1700"/>
      <c r="G207" s="1700"/>
      <c r="H207" s="1700"/>
      <c r="I207" s="1700"/>
      <c r="J207" s="1700"/>
      <c r="K207" s="1700"/>
      <c r="L207" s="1701"/>
      <c r="M207" s="1702">
        <v>0</v>
      </c>
    </row>
    <row r="208" spans="2:13" ht="7.5" customHeight="1">
      <c r="C208" s="1697"/>
      <c r="D208" s="1697"/>
      <c r="E208" s="1703"/>
      <c r="F208" s="1697"/>
      <c r="G208" s="1697"/>
      <c r="H208" s="1697"/>
      <c r="I208" s="1697"/>
      <c r="J208" s="1697"/>
      <c r="K208" s="1697"/>
      <c r="L208" s="1725"/>
      <c r="M208" s="1704"/>
    </row>
    <row r="209" spans="2:13" ht="15" customHeight="1">
      <c r="C209" s="2254" t="s">
        <v>1598</v>
      </c>
      <c r="D209" s="2254"/>
      <c r="E209" s="2254"/>
      <c r="F209" s="2254"/>
      <c r="G209" s="2254"/>
      <c r="H209" s="2254"/>
      <c r="I209" s="2254"/>
      <c r="J209" s="2254"/>
      <c r="K209" s="2254"/>
      <c r="L209" s="2254"/>
      <c r="M209" s="2254"/>
    </row>
    <row r="210" spans="2:13">
      <c r="C210" s="2254"/>
      <c r="D210" s="2254"/>
      <c r="E210" s="2254"/>
      <c r="F210" s="2254"/>
      <c r="G210" s="2254"/>
      <c r="H210" s="2254"/>
      <c r="I210" s="2254"/>
      <c r="J210" s="2254"/>
      <c r="K210" s="2254"/>
      <c r="L210" s="2254"/>
      <c r="M210" s="2254"/>
    </row>
    <row r="211" spans="2:13">
      <c r="C211" s="1969"/>
      <c r="D211" s="1969"/>
      <c r="E211" s="1969"/>
      <c r="F211" s="1969"/>
      <c r="G211" s="1969"/>
      <c r="H211" s="1969"/>
      <c r="I211" s="1969"/>
      <c r="J211" s="1969"/>
      <c r="K211" s="1969"/>
      <c r="L211" s="1969"/>
      <c r="M211" s="1969"/>
    </row>
    <row r="212" spans="2:13">
      <c r="C212" s="1969"/>
      <c r="D212" s="1969"/>
      <c r="E212" s="1969"/>
      <c r="F212" s="1969"/>
      <c r="G212" s="1969"/>
      <c r="H212" s="1969"/>
      <c r="I212" s="1969"/>
      <c r="J212" s="1969"/>
      <c r="K212" s="1969"/>
      <c r="L212" s="1969"/>
      <c r="M212" s="1969"/>
    </row>
    <row r="213" spans="2:13">
      <c r="B213" s="1697">
        <v>21</v>
      </c>
      <c r="C213" s="1698" t="s">
        <v>1599</v>
      </c>
      <c r="D213" s="1698"/>
      <c r="E213" s="1699"/>
      <c r="F213" s="1700"/>
      <c r="G213" s="1700"/>
      <c r="H213" s="1700"/>
      <c r="I213" s="1700"/>
      <c r="J213" s="1700"/>
      <c r="K213" s="1700"/>
      <c r="L213" s="1701"/>
      <c r="M213" s="1702">
        <v>0</v>
      </c>
    </row>
    <row r="214" spans="2:13" ht="7.5" customHeight="1">
      <c r="C214" s="1697"/>
      <c r="D214" s="1697"/>
      <c r="E214" s="1703"/>
      <c r="F214" s="1697"/>
      <c r="G214" s="1697"/>
      <c r="H214" s="1697"/>
      <c r="I214" s="1697"/>
      <c r="J214" s="1697"/>
      <c r="K214" s="1697"/>
      <c r="L214" s="1725"/>
      <c r="M214" s="1704"/>
    </row>
    <row r="215" spans="2:13" ht="15" customHeight="1">
      <c r="C215" s="1703" t="s">
        <v>1600</v>
      </c>
      <c r="D215" s="1703"/>
      <c r="E215" s="1703"/>
      <c r="F215" s="1703"/>
      <c r="G215" s="1703"/>
      <c r="H215" s="1703"/>
      <c r="I215" s="1703"/>
      <c r="J215" s="1703"/>
      <c r="K215" s="1703"/>
      <c r="L215" s="1703"/>
      <c r="M215" s="1703"/>
    </row>
    <row r="216" spans="2:13">
      <c r="C216" s="1969"/>
      <c r="D216" s="1969"/>
      <c r="E216" s="1969"/>
      <c r="F216" s="1969"/>
      <c r="G216" s="1969"/>
      <c r="H216" s="1969"/>
      <c r="I216" s="1969"/>
      <c r="J216" s="1969"/>
      <c r="K216" s="1969"/>
      <c r="L216" s="1969"/>
      <c r="M216" s="1969"/>
    </row>
    <row r="217" spans="2:13">
      <c r="B217" s="1697">
        <v>22</v>
      </c>
      <c r="C217" s="1698" t="s">
        <v>1601</v>
      </c>
      <c r="D217" s="1698"/>
      <c r="E217" s="1699"/>
      <c r="F217" s="1700"/>
      <c r="G217" s="1700"/>
      <c r="H217" s="1700"/>
      <c r="I217" s="1700"/>
      <c r="J217" s="1700"/>
      <c r="K217" s="1700"/>
      <c r="L217" s="1701"/>
      <c r="M217" s="1702">
        <v>0</v>
      </c>
    </row>
    <row r="218" spans="2:13" ht="7.5" customHeight="1">
      <c r="C218" s="1697"/>
      <c r="D218" s="1697"/>
      <c r="E218" s="1703"/>
      <c r="F218" s="1697"/>
      <c r="G218" s="1697"/>
      <c r="H218" s="1697"/>
      <c r="I218" s="1697"/>
      <c r="J218" s="1697"/>
      <c r="K218" s="1697"/>
      <c r="L218" s="1725"/>
      <c r="M218" s="1704"/>
    </row>
    <row r="219" spans="2:13" ht="15" customHeight="1">
      <c r="C219" s="1703" t="s">
        <v>1602</v>
      </c>
      <c r="D219" s="1703"/>
      <c r="E219" s="1703"/>
      <c r="F219" s="1703"/>
      <c r="G219" s="1703"/>
      <c r="H219" s="1703"/>
      <c r="I219" s="1703"/>
      <c r="J219" s="1703"/>
      <c r="K219" s="1703"/>
      <c r="L219" s="1703"/>
      <c r="M219" s="1703"/>
    </row>
    <row r="220" spans="2:13" ht="4.5" customHeight="1">
      <c r="C220" s="1969"/>
      <c r="D220" s="1969"/>
      <c r="E220" s="1969"/>
      <c r="F220" s="1969"/>
      <c r="G220" s="1969"/>
      <c r="H220" s="1969"/>
      <c r="I220" s="1969"/>
      <c r="J220" s="1969"/>
      <c r="K220" s="1969"/>
      <c r="L220" s="1969"/>
      <c r="M220" s="1969"/>
    </row>
    <row r="221" spans="2:13">
      <c r="E221" s="1694" t="s">
        <v>1603</v>
      </c>
      <c r="I221" s="2278" t="s">
        <v>1604</v>
      </c>
      <c r="J221" s="2279"/>
      <c r="K221" s="2279"/>
      <c r="L221" s="2280"/>
    </row>
    <row r="222" spans="2:13">
      <c r="E222" s="1694" t="s">
        <v>1524</v>
      </c>
      <c r="H222" s="1734"/>
      <c r="I222" s="2305">
        <v>0</v>
      </c>
      <c r="J222" s="2306"/>
      <c r="K222" s="2306"/>
      <c r="L222" s="2307"/>
    </row>
    <row r="223" spans="2:13" ht="15" customHeight="1">
      <c r="E223" s="1696" t="s">
        <v>875</v>
      </c>
      <c r="F223" s="1696"/>
      <c r="G223" s="1696"/>
      <c r="H223" s="1761"/>
      <c r="I223" s="2305">
        <v>0</v>
      </c>
      <c r="J223" s="2306"/>
      <c r="K223" s="2306"/>
      <c r="L223" s="2307"/>
    </row>
    <row r="224" spans="2:13">
      <c r="E224" s="1694" t="s">
        <v>1532</v>
      </c>
      <c r="G224" s="1735"/>
      <c r="H224" s="1734"/>
      <c r="I224" s="2309" t="e">
        <f>I222/I223</f>
        <v>#DIV/0!</v>
      </c>
      <c r="J224" s="2310"/>
      <c r="K224" s="2310"/>
      <c r="L224" s="2311"/>
    </row>
    <row r="225" spans="2:13">
      <c r="C225" s="1969"/>
      <c r="D225" s="1969"/>
      <c r="E225" s="1969"/>
      <c r="F225" s="1969"/>
      <c r="G225" s="1969"/>
      <c r="H225" s="1969"/>
      <c r="I225" s="1969"/>
      <c r="J225" s="1969"/>
      <c r="K225" s="1969"/>
      <c r="L225" s="1969"/>
      <c r="M225" s="1969"/>
    </row>
    <row r="226" spans="2:13">
      <c r="B226" s="1697" t="s">
        <v>1605</v>
      </c>
      <c r="C226" s="1698" t="s">
        <v>1606</v>
      </c>
      <c r="D226" s="1698"/>
      <c r="E226" s="1699"/>
      <c r="F226" s="1700"/>
      <c r="G226" s="1700"/>
      <c r="H226" s="1700"/>
      <c r="I226" s="1700"/>
      <c r="J226" s="1700"/>
      <c r="K226" s="1700"/>
      <c r="L226" s="1701"/>
      <c r="M226" s="1702">
        <v>0</v>
      </c>
    </row>
    <row r="227" spans="2:13" ht="7.5" customHeight="1">
      <c r="C227" s="1697"/>
      <c r="D227" s="1697"/>
      <c r="E227" s="1703"/>
      <c r="F227" s="1697"/>
      <c r="G227" s="1697"/>
      <c r="H227" s="1697"/>
      <c r="I227" s="1697"/>
      <c r="J227" s="1697"/>
      <c r="K227" s="1697"/>
      <c r="L227" s="1725"/>
      <c r="M227" s="1704"/>
    </row>
    <row r="228" spans="2:13" ht="15" customHeight="1">
      <c r="C228" s="2312" t="s">
        <v>1607</v>
      </c>
      <c r="D228" s="2312"/>
      <c r="E228" s="2312"/>
      <c r="F228" s="2312"/>
      <c r="G228" s="2312"/>
      <c r="H228" s="2312"/>
      <c r="I228" s="2312"/>
      <c r="J228" s="2312"/>
      <c r="K228" s="2312"/>
      <c r="L228" s="2312"/>
      <c r="M228" s="2312"/>
    </row>
    <row r="229" spans="2:13">
      <c r="C229" s="1969"/>
      <c r="D229" s="1969"/>
      <c r="E229" s="1969"/>
      <c r="F229" s="1969"/>
      <c r="G229" s="1969"/>
      <c r="H229" s="1969"/>
      <c r="I229" s="1969"/>
      <c r="J229" s="1969"/>
      <c r="K229" s="1969"/>
      <c r="L229" s="1969"/>
      <c r="M229" s="1969"/>
    </row>
    <row r="230" spans="2:13">
      <c r="C230" s="1968" t="s">
        <v>1608</v>
      </c>
      <c r="D230" s="1969"/>
      <c r="E230" s="1969"/>
      <c r="F230" s="1969"/>
      <c r="G230" s="1969"/>
      <c r="H230" s="1969"/>
      <c r="I230" s="2313">
        <f>244635*'2A'!L8</f>
        <v>22017150</v>
      </c>
      <c r="J230" s="2314"/>
      <c r="K230" s="2315"/>
      <c r="L230" s="1969"/>
      <c r="M230" s="1969"/>
    </row>
    <row r="231" spans="2:13">
      <c r="C231" s="2308" t="s">
        <v>1609</v>
      </c>
      <c r="D231" s="2308"/>
      <c r="E231" s="2308"/>
      <c r="F231" s="2308"/>
      <c r="G231" s="2308"/>
      <c r="K231" s="1744">
        <f ca="1">'6A'!K120-'6A'!K28-'6A'!K93</f>
        <v>26300359.929132134</v>
      </c>
    </row>
    <row r="232" spans="2:13">
      <c r="C232" s="1968" t="s">
        <v>1610</v>
      </c>
      <c r="D232" s="1968"/>
      <c r="K232" s="1745">
        <f ca="1">1-K231/I230</f>
        <v>-0.19453970787009833</v>
      </c>
    </row>
    <row r="233" spans="2:13" ht="15" customHeight="1" thickBot="1"/>
    <row r="234" spans="2:13" ht="19.5" customHeight="1" thickTop="1" thickBot="1">
      <c r="B234" s="1746"/>
      <c r="C234" s="1747" t="s">
        <v>1611</v>
      </c>
      <c r="D234" s="1748"/>
      <c r="E234" s="1749"/>
      <c r="F234" s="1746"/>
      <c r="G234" s="1746"/>
      <c r="H234" s="1746"/>
      <c r="I234" s="1746"/>
      <c r="J234" s="1746"/>
      <c r="K234" s="1746"/>
      <c r="L234" s="1746"/>
      <c r="M234" s="1750">
        <f>M15+M33+M40+M63+M83+M93+M100+M108+M115+M126+M138+M146+M153+M161+M169+M177+M185+M192+M200+M207+M213+M217+M226</f>
        <v>175</v>
      </c>
    </row>
    <row r="235" spans="2:13" ht="15" thickTop="1"/>
    <row r="236" spans="2:13">
      <c r="B236" s="1697" t="s">
        <v>1612</v>
      </c>
      <c r="C236" s="1698" t="s">
        <v>1606</v>
      </c>
      <c r="D236" s="1698"/>
      <c r="E236" s="1699"/>
      <c r="F236" s="1700"/>
      <c r="G236" s="1700"/>
      <c r="H236" s="1700"/>
      <c r="I236" s="1700"/>
      <c r="J236" s="1700"/>
      <c r="K236" s="1700"/>
      <c r="L236" s="1701"/>
      <c r="M236" s="1702">
        <v>0</v>
      </c>
    </row>
    <row r="237" spans="2:13" ht="7.5" customHeight="1">
      <c r="C237" s="1697"/>
      <c r="D237" s="1697"/>
      <c r="E237" s="1703"/>
      <c r="F237" s="1697"/>
      <c r="G237" s="1697"/>
      <c r="H237" s="1697"/>
      <c r="I237" s="1697"/>
      <c r="J237" s="1697"/>
      <c r="K237" s="1697"/>
      <c r="L237" s="1725"/>
      <c r="M237" s="1704"/>
    </row>
    <row r="238" spans="2:13" ht="15" customHeight="1">
      <c r="C238" s="2312" t="s">
        <v>1613</v>
      </c>
      <c r="D238" s="2312"/>
      <c r="E238" s="2312"/>
      <c r="F238" s="2312"/>
      <c r="G238" s="2312"/>
      <c r="H238" s="2312"/>
      <c r="I238" s="2312"/>
      <c r="J238" s="2312"/>
      <c r="K238" s="2312"/>
      <c r="L238" s="2312"/>
      <c r="M238" s="2312"/>
    </row>
    <row r="239" spans="2:13">
      <c r="C239" s="1969"/>
      <c r="D239" s="1969"/>
      <c r="E239" s="1969"/>
      <c r="F239" s="1969"/>
      <c r="G239" s="1969"/>
      <c r="H239" s="1969"/>
      <c r="I239" s="1969"/>
      <c r="J239" s="1969"/>
      <c r="K239" s="1969"/>
      <c r="L239" s="1969"/>
      <c r="M239" s="1969"/>
    </row>
    <row r="240" spans="2:13">
      <c r="C240" s="2308" t="s">
        <v>1609</v>
      </c>
      <c r="D240" s="2308"/>
      <c r="E240" s="2308"/>
      <c r="F240" s="2308"/>
      <c r="G240" s="2308"/>
      <c r="H240" s="1968"/>
      <c r="K240" s="1744">
        <v>0</v>
      </c>
    </row>
    <row r="241" spans="2:13">
      <c r="C241" s="2308" t="s">
        <v>1614</v>
      </c>
      <c r="D241" s="2308"/>
      <c r="E241" s="2308"/>
      <c r="F241" s="2308"/>
      <c r="G241" s="2308"/>
      <c r="K241" s="1860">
        <v>0</v>
      </c>
    </row>
    <row r="242" spans="2:13">
      <c r="C242" s="1968" t="s">
        <v>1615</v>
      </c>
      <c r="D242" s="1968"/>
      <c r="K242" s="1751" t="e">
        <f>K240/K241</f>
        <v>#DIV/0!</v>
      </c>
    </row>
    <row r="243" spans="2:13" ht="15" thickBot="1"/>
    <row r="244" spans="2:13" ht="19.5" customHeight="1" thickTop="1" thickBot="1">
      <c r="B244" s="1746"/>
      <c r="C244" s="1747" t="s">
        <v>1616</v>
      </c>
      <c r="D244" s="1748"/>
      <c r="E244" s="1749"/>
      <c r="F244" s="1746"/>
      <c r="G244" s="1746"/>
      <c r="H244" s="1746"/>
      <c r="I244" s="1746"/>
      <c r="J244" s="1746"/>
      <c r="K244" s="1746"/>
      <c r="L244" s="1746"/>
      <c r="M244" s="1750"/>
    </row>
    <row r="245" spans="2:13" ht="15" thickTop="1"/>
  </sheetData>
  <mergeCells count="72">
    <mergeCell ref="C240:G240"/>
    <mergeCell ref="C241:G241"/>
    <mergeCell ref="I224:L224"/>
    <mergeCell ref="C228:M228"/>
    <mergeCell ref="I230:K230"/>
    <mergeCell ref="C231:G231"/>
    <mergeCell ref="C238:M238"/>
    <mergeCell ref="C202:M202"/>
    <mergeCell ref="C209:M210"/>
    <mergeCell ref="I221:L221"/>
    <mergeCell ref="I222:L222"/>
    <mergeCell ref="I223:L223"/>
    <mergeCell ref="C187:M187"/>
    <mergeCell ref="G189:I190"/>
    <mergeCell ref="K189:L189"/>
    <mergeCell ref="C194:M195"/>
    <mergeCell ref="E197:I197"/>
    <mergeCell ref="G166:L166"/>
    <mergeCell ref="C171:M172"/>
    <mergeCell ref="G174:L174"/>
    <mergeCell ref="C179:M180"/>
    <mergeCell ref="G182:L182"/>
    <mergeCell ref="C148:M148"/>
    <mergeCell ref="G150:L150"/>
    <mergeCell ref="C155:M156"/>
    <mergeCell ref="G158:L158"/>
    <mergeCell ref="C163:M164"/>
    <mergeCell ref="C128:M128"/>
    <mergeCell ref="F130:L130"/>
    <mergeCell ref="F133:K134"/>
    <mergeCell ref="C140:M140"/>
    <mergeCell ref="G142:J142"/>
    <mergeCell ref="C117:M117"/>
    <mergeCell ref="I120:L121"/>
    <mergeCell ref="I122:L122"/>
    <mergeCell ref="I123:L123"/>
    <mergeCell ref="I124:L124"/>
    <mergeCell ref="K98:L98"/>
    <mergeCell ref="I104:L104"/>
    <mergeCell ref="I105:L105"/>
    <mergeCell ref="I106:L106"/>
    <mergeCell ref="E112:F112"/>
    <mergeCell ref="H88:L88"/>
    <mergeCell ref="K89:L89"/>
    <mergeCell ref="K90:L90"/>
    <mergeCell ref="C95:M95"/>
    <mergeCell ref="H97:L97"/>
    <mergeCell ref="G74:L74"/>
    <mergeCell ref="G75:L75"/>
    <mergeCell ref="G76:L76"/>
    <mergeCell ref="G77:L77"/>
    <mergeCell ref="C85:M85"/>
    <mergeCell ref="G67:L67"/>
    <mergeCell ref="G69:L69"/>
    <mergeCell ref="G70:L70"/>
    <mergeCell ref="G71:L71"/>
    <mergeCell ref="G72:L72"/>
    <mergeCell ref="C42:M42"/>
    <mergeCell ref="E45:M45"/>
    <mergeCell ref="E51:M51"/>
    <mergeCell ref="E53:M53"/>
    <mergeCell ref="C65:M65"/>
    <mergeCell ref="H18:M18"/>
    <mergeCell ref="H19:M19"/>
    <mergeCell ref="H21:M21"/>
    <mergeCell ref="H22:M22"/>
    <mergeCell ref="E37:F37"/>
    <mergeCell ref="A1:M1"/>
    <mergeCell ref="B2:M2"/>
    <mergeCell ref="B4:M12"/>
    <mergeCell ref="L13:L14"/>
    <mergeCell ref="M13:M14"/>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count="27">
    <dataValidation type="list" allowBlank="1" showInputMessage="1" showErrorMessage="1" sqref="G182:L182" xr:uid="{00000000-0002-0000-2000-000000000000}">
      <formula1>nine_percent_kc_opp_area</formula1>
    </dataValidation>
    <dataValidation type="list" allowBlank="1" showInputMessage="1" showErrorMessage="1" sqref="H97" xr:uid="{00000000-0002-0000-2000-000001000000}">
      <formula1>nine_percent_KC_HTF</formula1>
    </dataValidation>
    <dataValidation type="decimal" operator="notBetween" allowBlank="1" showInputMessage="1" showErrorMessage="1" error="Award must be at least $750,000." sqref="K98" xr:uid="{00000000-0002-0000-2000-000002000000}">
      <formula1>1</formula1>
      <formula2>749999</formula2>
    </dataValidation>
    <dataValidation type="list" allowBlank="1" showErrorMessage="1" prompt="_x000a_" sqref="H19:M19" xr:uid="{00000000-0002-0000-2000-000003000000}">
      <formula1>nine_perc_lower_income_county_setasides</formula1>
    </dataValidation>
    <dataValidation type="list" allowBlank="1" showErrorMessage="1" prompt="Select Set-Aside Combination_x000a_" sqref="H18:M18" xr:uid="{00000000-0002-0000-2000-000004000000}">
      <formula1>nine_perc_lower_income_counties</formula1>
    </dataValidation>
    <dataValidation type="list" allowBlank="1" showInputMessage="1" showErrorMessage="1" sqref="K189:L189" xr:uid="{00000000-0002-0000-2000-000005000000}">
      <formula1>nine_percent_job_centers</formula1>
    </dataValidation>
    <dataValidation type="list" allowBlank="1" showInputMessage="1" showErrorMessage="1" sqref="G174:L174" xr:uid="{00000000-0002-0000-2000-000006000000}">
      <formula1>nine_percent_king_county_tod</formula1>
    </dataValidation>
    <dataValidation type="list" allowBlank="1" showInputMessage="1" showErrorMessage="1" sqref="G150:L150" xr:uid="{00000000-0002-0000-2000-000007000000}">
      <formula1>nine_percent_location_efficient_projects</formula1>
    </dataValidation>
    <dataValidation type="list" allowBlank="1" showInputMessage="1" showErrorMessage="1" sqref="G76:L76 G71:L71" xr:uid="{00000000-0002-0000-2000-000008000000}">
      <formula1>nine_percent_local_funding_types</formula1>
    </dataValidation>
    <dataValidation type="list" allowBlank="1" showInputMessage="1" showErrorMessage="1" sqref="G75:L75 G70:L70" xr:uid="{00000000-0002-0000-2000-000009000000}">
      <formula1>nine_percent_local_funding_sources</formula1>
    </dataValidation>
    <dataValidation type="list" allowBlank="1" showInputMessage="1" showErrorMessage="1" sqref="G68:L68" xr:uid="{00000000-0002-0000-2000-00000A000000}">
      <formula1>local_funding_counties</formula1>
    </dataValidation>
    <dataValidation type="list" allowBlank="1" showInputMessage="1" showErrorMessage="1" sqref="H21:M21" xr:uid="{00000000-0002-0000-2000-00000B000000}">
      <formula1>nine_perc_higher_income_counties</formula1>
    </dataValidation>
    <dataValidation type="list" allowBlank="1" showInputMessage="1" showErrorMessage="1" sqref="E53:M53 E51:M51" xr:uid="{00000000-0002-0000-2000-00000C000000}">
      <formula1>nine_percent_special_needs</formula1>
    </dataValidation>
    <dataValidation type="list" allowBlank="1" showInputMessage="1" showErrorMessage="1" sqref="E45:M45" xr:uid="{00000000-0002-0000-2000-00000D000000}">
      <formula1>nine_percent_homeless</formula1>
    </dataValidation>
    <dataValidation type="list" allowBlank="1" showInputMessage="1" showErrorMessage="1" sqref="H22:M22" xr:uid="{00000000-0002-0000-2000-00000E000000}">
      <formula1>nine_perc_higher_income_county_setasides</formula1>
    </dataValidation>
    <dataValidation type="list" allowBlank="1" showInputMessage="1" showErrorMessage="1" sqref="H20" xr:uid="{00000000-0002-0000-2000-00000F000000}">
      <formula1>Inc_Lower</formula1>
    </dataValidation>
    <dataValidation type="list" allowBlank="1" showInputMessage="1" showErrorMessage="1" sqref="F130" xr:uid="{00000000-0002-0000-2000-000010000000}">
      <formula1>nine_percent_historic</formula1>
    </dataValidation>
    <dataValidation type="list" allowBlank="1" showInputMessage="1" showErrorMessage="1" sqref="E113:F113" xr:uid="{00000000-0002-0000-2000-000011000000}">
      <formula1>DevFees</formula1>
    </dataValidation>
    <dataValidation type="list" allowBlank="1" showInputMessage="1" sqref="E37:F37" xr:uid="{00000000-0002-0000-2000-000012000000}">
      <formula1>nine_percent_years</formula1>
    </dataValidation>
    <dataValidation type="list" allowBlank="1" showInputMessage="1" showErrorMessage="1" sqref="E26:E29" xr:uid="{00000000-0002-0000-2000-000013000000}">
      <formula1>nine_pecent_inc_percent</formula1>
    </dataValidation>
    <dataValidation type="list" allowBlank="1" showInputMessage="1" showErrorMessage="1" sqref="G67:L67 G166:L166 G158:L158" xr:uid="{00000000-0002-0000-2000-000014000000}">
      <formula1>nine_percent_local_funding_counties</formula1>
    </dataValidation>
    <dataValidation type="list" allowBlank="1" showInputMessage="1" showErrorMessage="1" sqref="H88" xr:uid="{00000000-0002-0000-2000-000015000000}">
      <formula1>nine_percent_federal_funding_sources</formula1>
    </dataValidation>
    <dataValidation type="list" allowBlank="1" showInputMessage="1" showErrorMessage="1" sqref="E112:F112" xr:uid="{00000000-0002-0000-2000-000016000000}">
      <formula1>nine_percent_dev_fees</formula1>
    </dataValidation>
    <dataValidation type="list" allowBlank="1" showInputMessage="1" showErrorMessage="1" sqref="I120:L121" xr:uid="{00000000-0002-0000-2000-000017000000}">
      <formula1>nine_percent_at_risk</formula1>
    </dataValidation>
    <dataValidation type="list" allowBlank="1" showInputMessage="1" showErrorMessage="1" sqref="G142" xr:uid="{00000000-0002-0000-2000-000018000000}">
      <formula1>nine_percent_eligible_tribes</formula1>
    </dataValidation>
    <dataValidation type="list" allowBlank="1" showInputMessage="1" showErrorMessage="1" sqref="G189" xr:uid="{00000000-0002-0000-2000-000019000000}">
      <formula1>nine_percent_in_within</formula1>
    </dataValidation>
    <dataValidation type="list" allowBlank="1" showInputMessage="1" showErrorMessage="1" sqref="E197:I197" xr:uid="{00000000-0002-0000-2000-00001A000000}">
      <formula1>nine_percent_np_sponsor</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235"/>
  <sheetViews>
    <sheetView zoomScaleNormal="100" workbookViewId="0" xr3:uid="{62E455AB-44C1-5DAA-A80F-CFF2989D01C0}">
      <selection activeCell="P18" sqref="P18"/>
    </sheetView>
  </sheetViews>
  <sheetFormatPr defaultColWidth="8.85546875" defaultRowHeight="14.45"/>
  <cols>
    <col min="1" max="1" width="1.5703125" style="1602" customWidth="1"/>
    <col min="2" max="2" width="3.42578125" style="1602" customWidth="1"/>
    <col min="3" max="3" width="2.140625" style="1602" customWidth="1"/>
    <col min="4" max="4" width="2.85546875" style="1602" customWidth="1"/>
    <col min="5" max="5" width="10.5703125" style="1602" customWidth="1"/>
    <col min="6" max="6" width="9.140625" style="1602" customWidth="1"/>
    <col min="7" max="7" width="10.85546875" style="1602" customWidth="1"/>
    <col min="8" max="8" width="11.5703125" style="1602" customWidth="1"/>
    <col min="9" max="9" width="9.85546875" style="1602" customWidth="1"/>
    <col min="10" max="10" width="7.42578125" style="1602" customWidth="1"/>
    <col min="11" max="11" width="15.42578125" style="1602" customWidth="1"/>
    <col min="12" max="12" width="12" style="1602" bestFit="1" customWidth="1"/>
    <col min="13" max="13" width="9.140625" style="1602" customWidth="1"/>
    <col min="14" max="14" width="3.28515625" style="1602" customWidth="1"/>
    <col min="15" max="16384" width="8.85546875" style="1602"/>
  </cols>
  <sheetData>
    <row r="1" spans="1:13" s="1601" customFormat="1" ht="18.75" customHeight="1">
      <c r="A1" s="2238" t="s">
        <v>1617</v>
      </c>
      <c r="B1" s="2238"/>
      <c r="C1" s="2238"/>
      <c r="D1" s="2238"/>
      <c r="E1" s="2238"/>
      <c r="F1" s="2238"/>
      <c r="G1" s="2238"/>
      <c r="H1" s="2238"/>
      <c r="I1" s="2238"/>
      <c r="J1" s="2238"/>
      <c r="K1" s="2238"/>
      <c r="L1" s="2238"/>
      <c r="M1" s="2238"/>
    </row>
    <row r="2" spans="1:13" ht="18.600000000000001">
      <c r="B2" s="2316" t="s">
        <v>1618</v>
      </c>
      <c r="C2" s="2316"/>
      <c r="D2" s="2316"/>
      <c r="E2" s="2316"/>
      <c r="F2" s="2316"/>
      <c r="G2" s="2316"/>
      <c r="H2" s="2316"/>
      <c r="I2" s="2316"/>
      <c r="J2" s="2316"/>
      <c r="K2" s="2316"/>
      <c r="L2" s="2316"/>
      <c r="M2" s="2316"/>
    </row>
    <row r="3" spans="1:13">
      <c r="B3" s="1603"/>
      <c r="C3" s="1603"/>
      <c r="D3" s="1603"/>
      <c r="E3" s="1603"/>
      <c r="F3" s="1603"/>
      <c r="G3" s="1603"/>
      <c r="H3" s="1603"/>
      <c r="I3" s="1603"/>
      <c r="J3" s="1603"/>
      <c r="K3" s="1603"/>
      <c r="L3" s="1603"/>
      <c r="M3" s="1603"/>
    </row>
    <row r="4" spans="1:13" ht="4.5" customHeight="1">
      <c r="B4" s="1604"/>
      <c r="C4" s="1605"/>
      <c r="D4" s="1605"/>
      <c r="E4" s="1605"/>
      <c r="F4" s="1605"/>
      <c r="G4" s="1605"/>
      <c r="H4" s="1605"/>
      <c r="I4" s="1605"/>
      <c r="J4" s="1605"/>
      <c r="K4" s="1605"/>
      <c r="L4" s="1605"/>
      <c r="M4" s="1606"/>
    </row>
    <row r="5" spans="1:13" s="1607" customFormat="1">
      <c r="B5" s="2317" t="s">
        <v>1619</v>
      </c>
      <c r="C5" s="2318"/>
      <c r="D5" s="2318"/>
      <c r="E5" s="2318"/>
      <c r="F5" s="2318"/>
      <c r="G5" s="2318"/>
      <c r="H5" s="2318"/>
      <c r="I5" s="2318"/>
      <c r="J5" s="2318"/>
      <c r="K5" s="2318"/>
      <c r="L5" s="2318"/>
      <c r="M5" s="2319"/>
    </row>
    <row r="6" spans="1:13" s="1607" customFormat="1">
      <c r="B6" s="2317" t="s">
        <v>1620</v>
      </c>
      <c r="C6" s="2318"/>
      <c r="D6" s="2318"/>
      <c r="E6" s="2318"/>
      <c r="F6" s="2320" t="s">
        <v>1621</v>
      </c>
      <c r="G6" s="2320"/>
      <c r="H6" s="2320"/>
      <c r="I6" s="1975"/>
      <c r="J6" s="1975"/>
      <c r="K6" s="1975"/>
      <c r="L6" s="1975"/>
      <c r="M6" s="1976"/>
    </row>
    <row r="7" spans="1:13" s="1607" customFormat="1" ht="6.75" customHeight="1">
      <c r="B7" s="1974"/>
      <c r="C7" s="1975"/>
      <c r="D7" s="1975"/>
      <c r="E7" s="1975"/>
      <c r="F7" s="1977"/>
      <c r="G7" s="1977"/>
      <c r="H7" s="1977"/>
      <c r="I7" s="1975"/>
      <c r="J7" s="1975"/>
      <c r="K7" s="1975"/>
      <c r="L7" s="1975"/>
      <c r="M7" s="1976"/>
    </row>
    <row r="8" spans="1:13">
      <c r="B8" s="2321" t="s">
        <v>1622</v>
      </c>
      <c r="C8" s="2322"/>
      <c r="D8" s="2322"/>
      <c r="E8" s="2322"/>
      <c r="F8" s="2322"/>
      <c r="G8" s="2322"/>
      <c r="H8" s="2322"/>
      <c r="I8" s="2322"/>
      <c r="J8" s="2322"/>
      <c r="K8" s="2322"/>
      <c r="L8" s="2322"/>
      <c r="M8" s="2323"/>
    </row>
    <row r="9" spans="1:13" ht="15" thickBot="1">
      <c r="B9" s="1608"/>
      <c r="C9" s="1609" t="s">
        <v>1623</v>
      </c>
      <c r="D9" s="1608"/>
      <c r="E9" s="1608"/>
      <c r="F9" s="1608"/>
      <c r="G9" s="1608"/>
      <c r="H9" s="1608"/>
      <c r="I9" s="1608"/>
      <c r="J9" s="1608"/>
      <c r="K9" s="1608"/>
      <c r="L9" s="1608"/>
      <c r="M9" s="1608"/>
    </row>
    <row r="10" spans="1:13" ht="15" customHeight="1">
      <c r="L10" s="2324"/>
      <c r="M10" s="2325" t="s">
        <v>1478</v>
      </c>
    </row>
    <row r="11" spans="1:13">
      <c r="E11" s="1610"/>
      <c r="L11" s="2621"/>
      <c r="M11" s="2325"/>
    </row>
    <row r="12" spans="1:13">
      <c r="B12" s="1611" t="s">
        <v>1624</v>
      </c>
      <c r="C12" s="1612" t="s">
        <v>1625</v>
      </c>
      <c r="D12" s="1612"/>
      <c r="F12" s="1613"/>
      <c r="G12" s="1613"/>
      <c r="H12" s="1613"/>
      <c r="I12" s="1613"/>
      <c r="J12" s="1613"/>
      <c r="K12" s="1613"/>
      <c r="L12" s="1614" t="s">
        <v>1626</v>
      </c>
      <c r="M12" s="1615"/>
    </row>
    <row r="13" spans="1:13" ht="7.5" customHeight="1">
      <c r="C13" s="1613"/>
      <c r="D13" s="1613"/>
      <c r="E13" s="1612"/>
      <c r="F13" s="1613"/>
      <c r="G13" s="1613"/>
      <c r="H13" s="1613"/>
      <c r="I13" s="1613"/>
      <c r="J13" s="1613"/>
      <c r="K13" s="1613"/>
      <c r="L13" s="1616"/>
      <c r="M13" s="1613"/>
    </row>
    <row r="14" spans="1:13">
      <c r="C14" s="1613" t="s">
        <v>1480</v>
      </c>
      <c r="E14" s="1612"/>
      <c r="F14" s="1613"/>
      <c r="G14" s="1613"/>
      <c r="H14" s="1613"/>
      <c r="I14" s="1613"/>
      <c r="J14" s="1613"/>
      <c r="K14" s="1613"/>
      <c r="L14" s="1616"/>
      <c r="M14" s="1613"/>
    </row>
    <row r="15" spans="1:13" ht="6.75" customHeight="1">
      <c r="C15" s="1613"/>
      <c r="E15" s="1612"/>
      <c r="F15" s="1613"/>
      <c r="G15" s="1613"/>
      <c r="H15" s="1613"/>
      <c r="I15" s="1613"/>
      <c r="J15" s="1613"/>
      <c r="K15" s="1613"/>
      <c r="L15" s="1616"/>
      <c r="M15" s="1613"/>
    </row>
    <row r="16" spans="1:13">
      <c r="C16" s="1613"/>
      <c r="D16" s="1617"/>
      <c r="E16" s="2622" t="s">
        <v>1627</v>
      </c>
      <c r="F16" s="2623"/>
      <c r="G16" s="2623"/>
      <c r="H16" s="2623"/>
      <c r="I16" s="2623"/>
      <c r="J16" s="2623"/>
      <c r="K16" s="2623"/>
      <c r="L16" s="2624"/>
      <c r="M16" s="1618"/>
    </row>
    <row r="17" spans="2:13">
      <c r="C17" s="1613"/>
      <c r="D17" s="1617"/>
    </row>
    <row r="18" spans="2:13">
      <c r="E18" s="1619" t="s">
        <v>1487</v>
      </c>
      <c r="F18" s="1620"/>
      <c r="G18" s="1620"/>
      <c r="H18" s="1620"/>
      <c r="I18" s="1620"/>
      <c r="J18" s="1620"/>
      <c r="K18" s="1620"/>
      <c r="L18" s="1621"/>
      <c r="M18" s="1622"/>
    </row>
    <row r="19" spans="2:13" ht="28.5" customHeight="1">
      <c r="E19" s="1623" t="s">
        <v>1488</v>
      </c>
      <c r="F19" s="1972"/>
      <c r="G19" s="1624" t="s">
        <v>1489</v>
      </c>
      <c r="H19" s="1972"/>
      <c r="I19" s="1624" t="s">
        <v>1490</v>
      </c>
      <c r="L19" s="1625"/>
      <c r="M19" s="1622"/>
    </row>
    <row r="20" spans="2:13">
      <c r="E20" s="1626">
        <v>0</v>
      </c>
      <c r="F20" s="1627" t="s">
        <v>1491</v>
      </c>
      <c r="G20" s="1686" t="s">
        <v>1493</v>
      </c>
      <c r="H20" s="1628" t="s">
        <v>1243</v>
      </c>
      <c r="I20" s="1629">
        <v>0</v>
      </c>
      <c r="L20" s="1625"/>
      <c r="M20" s="1622"/>
    </row>
    <row r="21" spans="2:13">
      <c r="E21" s="1626">
        <v>0</v>
      </c>
      <c r="F21" s="1627" t="s">
        <v>1491</v>
      </c>
      <c r="G21" s="1686" t="s">
        <v>1494</v>
      </c>
      <c r="H21" s="1628" t="s">
        <v>1243</v>
      </c>
      <c r="I21" s="1629">
        <v>0</v>
      </c>
      <c r="L21" s="1625"/>
      <c r="M21" s="1622"/>
    </row>
    <row r="22" spans="2:13">
      <c r="E22" s="1626">
        <v>0</v>
      </c>
      <c r="F22" s="1630" t="s">
        <v>1491</v>
      </c>
      <c r="G22" s="1686" t="s">
        <v>1495</v>
      </c>
      <c r="H22" s="1628" t="s">
        <v>1243</v>
      </c>
      <c r="I22" s="1629">
        <v>0</v>
      </c>
      <c r="L22" s="1625"/>
      <c r="M22" s="1622"/>
    </row>
    <row r="23" spans="2:13">
      <c r="E23" s="1631"/>
      <c r="F23" s="2326" t="s">
        <v>1628</v>
      </c>
      <c r="G23" s="2327"/>
      <c r="H23" s="2328"/>
      <c r="I23" s="1632">
        <f>SUM(I20:I22)</f>
        <v>0</v>
      </c>
      <c r="J23" s="1633" t="s">
        <v>1496</v>
      </c>
      <c r="K23" s="1634"/>
      <c r="L23" s="1635"/>
      <c r="M23" s="1622"/>
    </row>
    <row r="24" spans="2:13" ht="15" thickBot="1">
      <c r="B24" s="2625"/>
      <c r="C24" s="2625"/>
      <c r="D24" s="2625"/>
      <c r="E24" s="2625"/>
      <c r="F24" s="2625"/>
      <c r="G24" s="2625"/>
      <c r="H24" s="2625"/>
      <c r="I24" s="2626"/>
      <c r="J24" s="2627"/>
      <c r="K24" s="2625"/>
      <c r="L24" s="2625"/>
      <c r="M24" s="2625"/>
    </row>
    <row r="25" spans="2:13">
      <c r="I25" s="1636"/>
      <c r="J25" s="1612"/>
    </row>
    <row r="26" spans="2:13">
      <c r="B26" s="1611" t="s">
        <v>1629</v>
      </c>
      <c r="C26" s="1612" t="s">
        <v>1630</v>
      </c>
      <c r="D26" s="1612"/>
      <c r="F26" s="1613"/>
      <c r="G26" s="1613"/>
      <c r="H26" s="1613"/>
      <c r="I26" s="1613"/>
      <c r="J26" s="1613"/>
      <c r="K26" s="1613"/>
      <c r="L26" s="1614" t="s">
        <v>1631</v>
      </c>
      <c r="M26" s="1637">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c r="C27" s="1613"/>
      <c r="D27" s="1613"/>
      <c r="E27" s="1612"/>
      <c r="F27" s="1613"/>
      <c r="G27" s="1613"/>
      <c r="H27" s="1613"/>
      <c r="I27" s="1613"/>
      <c r="J27" s="1613"/>
      <c r="K27" s="1613"/>
      <c r="L27" s="1638"/>
      <c r="M27" s="1616"/>
    </row>
    <row r="28" spans="2:13">
      <c r="C28" s="1612" t="s">
        <v>1632</v>
      </c>
      <c r="D28" s="1612"/>
    </row>
    <row r="29" spans="2:13" ht="4.5" customHeight="1">
      <c r="C29" s="1612"/>
      <c r="D29" s="1612"/>
    </row>
    <row r="30" spans="2:13">
      <c r="E30" s="2329" t="s">
        <v>1510</v>
      </c>
      <c r="F30" s="2330"/>
      <c r="G30" s="1639" t="s">
        <v>1626</v>
      </c>
      <c r="H30" s="1610"/>
      <c r="I30" s="1640"/>
      <c r="J30" s="1628"/>
    </row>
    <row r="31" spans="2:13" ht="15" thickBot="1">
      <c r="B31" s="2625"/>
      <c r="C31" s="2625"/>
      <c r="D31" s="2625"/>
      <c r="E31" s="2628"/>
      <c r="F31" s="2628"/>
      <c r="G31" s="2629"/>
      <c r="H31" s="2630"/>
      <c r="I31" s="2631"/>
      <c r="J31" s="2632"/>
      <c r="K31" s="2625"/>
      <c r="L31" s="2625"/>
      <c r="M31" s="2625"/>
    </row>
    <row r="33" spans="2:14">
      <c r="B33" s="1611" t="s">
        <v>1633</v>
      </c>
      <c r="C33" s="1612" t="s">
        <v>1634</v>
      </c>
      <c r="D33" s="1612"/>
      <c r="F33" s="1613"/>
      <c r="G33" s="1613"/>
      <c r="H33" s="1613"/>
      <c r="I33" s="1613"/>
      <c r="J33" s="1613"/>
      <c r="K33" s="1613"/>
      <c r="L33" s="1614" t="s">
        <v>1631</v>
      </c>
      <c r="M33" s="1637">
        <f>SUM(L42,L43,L48,L49,L54,L55,)</f>
        <v>0</v>
      </c>
    </row>
    <row r="34" spans="2:14" ht="7.5" customHeight="1">
      <c r="C34" s="1613"/>
      <c r="D34" s="1613"/>
      <c r="E34" s="1612"/>
      <c r="F34" s="1613"/>
      <c r="G34" s="1613"/>
      <c r="H34" s="1613"/>
      <c r="I34" s="1613"/>
      <c r="J34" s="1613"/>
      <c r="K34" s="1613"/>
      <c r="L34" s="1613"/>
      <c r="M34" s="1613"/>
    </row>
    <row r="35" spans="2:14" ht="10.5" customHeight="1">
      <c r="C35" s="2331" t="s">
        <v>1635</v>
      </c>
      <c r="D35" s="2331"/>
      <c r="E35" s="2331"/>
      <c r="F35" s="2331"/>
      <c r="G35" s="2331"/>
      <c r="H35" s="2331"/>
      <c r="I35" s="2331"/>
      <c r="J35" s="2331"/>
      <c r="K35" s="2331"/>
      <c r="L35" s="2331"/>
      <c r="M35" s="2331"/>
    </row>
    <row r="36" spans="2:14" ht="15" customHeight="1">
      <c r="C36" s="2331"/>
      <c r="D36" s="2331"/>
      <c r="E36" s="2331"/>
      <c r="F36" s="2331"/>
      <c r="G36" s="2331"/>
      <c r="H36" s="2331"/>
      <c r="I36" s="2331"/>
      <c r="J36" s="2331"/>
      <c r="K36" s="2331"/>
      <c r="L36" s="2331"/>
      <c r="M36" s="2331"/>
      <c r="N36" s="1972"/>
    </row>
    <row r="37" spans="2:14" ht="4.5" customHeight="1">
      <c r="E37" s="1972"/>
      <c r="F37" s="1972"/>
      <c r="G37" s="1972"/>
      <c r="H37" s="1972"/>
      <c r="I37" s="1612" t="s">
        <v>1502</v>
      </c>
      <c r="J37" s="1972"/>
      <c r="K37" s="1972"/>
      <c r="L37" s="1972"/>
      <c r="M37" s="1972"/>
      <c r="N37" s="1972"/>
    </row>
    <row r="38" spans="2:14" ht="17.25" customHeight="1">
      <c r="E38" s="1972"/>
      <c r="F38" s="1972"/>
      <c r="G38" s="1972"/>
      <c r="H38" s="1972"/>
      <c r="I38" s="1641" t="s">
        <v>1636</v>
      </c>
      <c r="J38" s="1972"/>
      <c r="K38" s="1972"/>
      <c r="L38" s="1972"/>
      <c r="M38" s="1972"/>
      <c r="N38" s="1972"/>
    </row>
    <row r="39" spans="2:14" ht="16.149999999999999" customHeight="1">
      <c r="C39" s="1612" t="s">
        <v>1637</v>
      </c>
      <c r="D39" s="1612"/>
      <c r="F39" s="1610"/>
      <c r="G39" s="1610"/>
      <c r="H39" s="1610"/>
      <c r="I39" s="1610"/>
      <c r="J39" s="1610"/>
    </row>
    <row r="40" spans="2:14" ht="6.75" customHeight="1">
      <c r="C40" s="1612"/>
      <c r="D40" s="1612"/>
      <c r="F40" s="1610"/>
      <c r="G40" s="1610"/>
      <c r="H40" s="1610"/>
      <c r="I40" s="1610"/>
      <c r="J40" s="1610"/>
    </row>
    <row r="41" spans="2:14" ht="5.25" customHeight="1">
      <c r="E41" s="1642"/>
      <c r="F41" s="1642"/>
      <c r="G41" s="1642"/>
      <c r="H41" s="1642"/>
      <c r="I41" s="1642"/>
      <c r="J41" s="1642"/>
      <c r="K41" s="1642"/>
      <c r="L41" s="1642"/>
      <c r="M41" s="1642"/>
    </row>
    <row r="42" spans="2:14" ht="16.149999999999999" customHeight="1">
      <c r="E42" s="1642" t="s">
        <v>1638</v>
      </c>
      <c r="G42" s="1642"/>
      <c r="H42" s="1642"/>
      <c r="J42" s="1642" t="s">
        <v>1506</v>
      </c>
      <c r="K42" s="1643">
        <v>0</v>
      </c>
      <c r="L42" s="1644"/>
      <c r="M42" s="1642" t="s">
        <v>1639</v>
      </c>
    </row>
    <row r="43" spans="2:14" ht="16.149999999999999" customHeight="1">
      <c r="E43" s="1642" t="s">
        <v>1640</v>
      </c>
      <c r="G43" s="1642"/>
      <c r="H43" s="1642"/>
      <c r="J43" s="1642" t="s">
        <v>1506</v>
      </c>
      <c r="K43" s="1643">
        <v>0</v>
      </c>
      <c r="L43" s="1644"/>
      <c r="M43" s="1642" t="s">
        <v>1639</v>
      </c>
    </row>
    <row r="44" spans="2:14" ht="16.149999999999999" customHeight="1">
      <c r="E44" s="1642"/>
      <c r="F44" s="1642"/>
      <c r="G44" s="1642"/>
      <c r="H44" s="1642"/>
      <c r="I44" s="1642"/>
      <c r="J44" s="1642"/>
      <c r="K44" s="1642"/>
      <c r="L44" s="1642"/>
      <c r="M44" s="1642"/>
    </row>
    <row r="45" spans="2:14" ht="16.149999999999999" customHeight="1">
      <c r="C45" s="1612" t="s">
        <v>1641</v>
      </c>
      <c r="D45" s="1612"/>
      <c r="F45" s="1610"/>
      <c r="G45" s="1610"/>
      <c r="H45" s="1610"/>
      <c r="I45" s="1610"/>
      <c r="J45" s="1610"/>
    </row>
    <row r="46" spans="2:14" ht="7.5" customHeight="1">
      <c r="C46" s="1612"/>
      <c r="D46" s="1612"/>
      <c r="F46" s="1610"/>
      <c r="G46" s="1610"/>
      <c r="H46" s="1610"/>
      <c r="I46" s="1610"/>
      <c r="J46" s="1610"/>
    </row>
    <row r="47" spans="2:14" ht="6" customHeight="1">
      <c r="E47" s="1645"/>
      <c r="F47" s="1646"/>
      <c r="G47" s="1646"/>
      <c r="H47" s="1646"/>
      <c r="I47" s="1646"/>
      <c r="J47" s="1646"/>
      <c r="K47" s="1645"/>
      <c r="L47" s="1645"/>
      <c r="M47" s="1645"/>
    </row>
    <row r="48" spans="2:14" ht="16.149999999999999" customHeight="1">
      <c r="E48" s="1642" t="s">
        <v>1642</v>
      </c>
      <c r="G48" s="1642"/>
      <c r="H48" s="1642"/>
      <c r="I48" s="1642"/>
      <c r="J48" s="1642" t="s">
        <v>1506</v>
      </c>
      <c r="K48" s="1643">
        <v>0</v>
      </c>
      <c r="L48" s="1644"/>
      <c r="M48" s="1642" t="s">
        <v>1639</v>
      </c>
    </row>
    <row r="49" spans="1:29" ht="16.149999999999999" customHeight="1">
      <c r="E49" s="1647" t="s">
        <v>1514</v>
      </c>
      <c r="H49" s="1647"/>
      <c r="I49" s="1647"/>
      <c r="J49" s="1647" t="s">
        <v>1506</v>
      </c>
      <c r="K49" s="1643">
        <v>0</v>
      </c>
      <c r="L49" s="1644"/>
      <c r="M49" s="1642" t="s">
        <v>1639</v>
      </c>
    </row>
    <row r="50" spans="1:29" s="1648" customFormat="1" ht="16.149999999999999" customHeight="1">
      <c r="A50" s="1602"/>
      <c r="B50" s="1602"/>
      <c r="C50" s="1602"/>
      <c r="D50" s="1642"/>
      <c r="E50" s="1642"/>
      <c r="F50" s="1642"/>
      <c r="G50" s="1642"/>
      <c r="H50" s="1642"/>
      <c r="I50" s="1642"/>
      <c r="J50" s="1642"/>
      <c r="K50" s="1642"/>
      <c r="L50" s="1642"/>
      <c r="M50" s="1602"/>
      <c r="N50" s="1602"/>
      <c r="O50" s="1602"/>
      <c r="P50" s="1602"/>
      <c r="Q50" s="1602"/>
      <c r="R50" s="1602"/>
      <c r="S50" s="1642"/>
      <c r="T50" s="1642"/>
      <c r="U50" s="1642"/>
      <c r="V50" s="1642"/>
      <c r="W50" s="1642"/>
      <c r="X50" s="1642"/>
      <c r="Y50" s="1642"/>
      <c r="Z50" s="1642"/>
      <c r="AA50" s="1642"/>
      <c r="AB50" s="1602"/>
      <c r="AC50" s="1602"/>
    </row>
    <row r="51" spans="1:29" ht="16.149999999999999" customHeight="1">
      <c r="C51" s="1602" t="s">
        <v>1643</v>
      </c>
      <c r="D51" s="1642"/>
      <c r="E51" s="1642"/>
      <c r="F51" s="1642"/>
      <c r="G51" s="1642"/>
      <c r="H51" s="1642"/>
      <c r="I51" s="1642"/>
      <c r="J51" s="1642"/>
      <c r="K51" s="1642"/>
      <c r="L51" s="1642"/>
      <c r="S51" s="1642"/>
      <c r="T51" s="1642"/>
      <c r="U51" s="1642"/>
      <c r="V51" s="1642"/>
      <c r="W51" s="1642"/>
      <c r="X51" s="1642"/>
      <c r="Y51" s="1642"/>
      <c r="Z51" s="1642"/>
      <c r="AA51" s="1642"/>
    </row>
    <row r="52" spans="1:29" ht="6.75" customHeight="1">
      <c r="C52" s="1649"/>
      <c r="D52" s="1649"/>
      <c r="E52" s="1642"/>
      <c r="F52" s="1642"/>
      <c r="H52" s="1642"/>
      <c r="I52" s="1642"/>
      <c r="J52" s="1642"/>
      <c r="K52" s="1642"/>
      <c r="L52" s="1650"/>
      <c r="M52" s="1642"/>
    </row>
    <row r="53" spans="1:29" s="1648" customFormat="1" ht="6" customHeight="1">
      <c r="D53" s="1642"/>
      <c r="E53" s="1642"/>
      <c r="F53" s="1642"/>
      <c r="G53" s="1642"/>
      <c r="H53" s="1642"/>
      <c r="I53" s="1642"/>
      <c r="J53" s="1642"/>
      <c r="K53" s="1642"/>
      <c r="L53" s="1642"/>
      <c r="M53" s="1642"/>
      <c r="N53" s="1642"/>
      <c r="O53" s="1642"/>
    </row>
    <row r="54" spans="1:29" ht="16.149999999999999" customHeight="1">
      <c r="E54" s="1642"/>
      <c r="F54" s="1642" t="s">
        <v>1644</v>
      </c>
      <c r="G54" s="1642"/>
      <c r="H54" s="1642"/>
      <c r="I54" s="1642"/>
      <c r="J54" s="1642"/>
      <c r="K54" s="1642"/>
      <c r="L54" s="1644"/>
      <c r="M54" s="1642" t="s">
        <v>1639</v>
      </c>
      <c r="N54" s="1642"/>
      <c r="O54" s="1642"/>
      <c r="P54" s="1642"/>
      <c r="Q54" s="1642"/>
      <c r="R54" s="1642"/>
      <c r="S54" s="1642"/>
    </row>
    <row r="55" spans="1:29" ht="16.149999999999999" customHeight="1">
      <c r="E55" s="1642"/>
      <c r="F55" s="1642" t="s">
        <v>1645</v>
      </c>
      <c r="G55" s="1642"/>
      <c r="H55" s="1642"/>
      <c r="I55" s="1642"/>
      <c r="J55" s="1642"/>
      <c r="K55" s="1642"/>
      <c r="L55" s="1644"/>
      <c r="M55" s="1642" t="s">
        <v>1639</v>
      </c>
      <c r="N55" s="1642"/>
      <c r="O55" s="1642"/>
      <c r="P55" s="1642"/>
      <c r="Q55" s="1642"/>
      <c r="R55" s="1642"/>
      <c r="S55" s="1642"/>
    </row>
    <row r="56" spans="1:29" ht="16.149999999999999" customHeight="1">
      <c r="E56" s="1642"/>
      <c r="F56" s="1651" t="s">
        <v>1646</v>
      </c>
      <c r="G56" s="1642"/>
      <c r="H56" s="1642"/>
      <c r="I56" s="1642"/>
      <c r="J56" s="1642"/>
      <c r="K56" s="1642"/>
      <c r="L56" s="1642"/>
      <c r="M56" s="1642"/>
      <c r="N56" s="1642"/>
      <c r="O56" s="1642"/>
      <c r="P56" s="1642"/>
      <c r="Q56" s="1642"/>
      <c r="R56" s="1642"/>
      <c r="S56" s="1642"/>
    </row>
    <row r="57" spans="1:29" ht="16.149999999999999" customHeight="1" thickBot="1">
      <c r="C57" s="2625"/>
      <c r="D57" s="2625"/>
      <c r="E57" s="2628"/>
      <c r="F57" s="2628"/>
      <c r="G57" s="2628"/>
      <c r="H57" s="2628"/>
      <c r="I57" s="2628"/>
      <c r="J57" s="2628"/>
      <c r="K57" s="2628"/>
      <c r="L57" s="2628"/>
      <c r="M57" s="2628"/>
      <c r="N57" s="1642"/>
      <c r="O57" s="1642"/>
      <c r="P57" s="1642"/>
      <c r="Q57" s="1642"/>
      <c r="R57" s="1642"/>
      <c r="S57" s="1642"/>
    </row>
    <row r="58" spans="1:29" ht="16.149999999999999" customHeight="1">
      <c r="E58" s="1642"/>
      <c r="F58" s="1652"/>
      <c r="H58" s="1642"/>
      <c r="I58" s="1642" t="s">
        <v>1647</v>
      </c>
      <c r="J58" s="1642"/>
      <c r="K58" s="1642"/>
      <c r="L58" s="1650"/>
      <c r="M58" s="1642"/>
    </row>
    <row r="59" spans="1:29">
      <c r="B59" s="1611" t="s">
        <v>1648</v>
      </c>
      <c r="C59" s="1612" t="s">
        <v>1649</v>
      </c>
      <c r="D59" s="1612"/>
      <c r="F59" s="1613"/>
      <c r="G59" s="1613"/>
      <c r="H59" s="1613"/>
      <c r="I59" s="1613"/>
      <c r="J59" s="1613"/>
      <c r="K59" s="1613"/>
      <c r="L59" s="1614" t="s">
        <v>1631</v>
      </c>
      <c r="M59" s="1653">
        <f>IF(J67&gt;=0.7599,10,IF(J67&gt;0.5099,8,IF(J67&gt;0.2599,6,IF(J67&gt;0.1599,4,IF(J67&gt;0.0002,2,IF(J67&gt;=0,0))))))</f>
        <v>0</v>
      </c>
    </row>
    <row r="60" spans="1:29" ht="10.5" customHeight="1">
      <c r="C60" s="1613"/>
      <c r="D60" s="1613"/>
      <c r="E60" s="1612"/>
      <c r="F60" s="1613"/>
      <c r="G60" s="1613"/>
      <c r="H60" s="1613"/>
      <c r="I60" s="1613"/>
      <c r="J60" s="1613"/>
      <c r="K60" s="1613"/>
      <c r="L60" s="1638"/>
      <c r="M60" s="1616"/>
    </row>
    <row r="61" spans="1:29" ht="6.75" customHeight="1">
      <c r="C61" s="1612"/>
      <c r="D61" s="1612"/>
      <c r="E61" s="1649"/>
    </row>
    <row r="62" spans="1:29">
      <c r="E62" s="2329" t="s">
        <v>1510</v>
      </c>
      <c r="F62" s="2332"/>
      <c r="G62" s="2332"/>
      <c r="H62" s="2332"/>
      <c r="I62" s="2332"/>
      <c r="J62" s="2332"/>
      <c r="K62" s="2332"/>
      <c r="L62" s="2330"/>
      <c r="M62" s="1654"/>
    </row>
    <row r="63" spans="1:29">
      <c r="E63" s="1655"/>
      <c r="H63" s="1655"/>
      <c r="K63" s="1655"/>
    </row>
    <row r="64" spans="1:29">
      <c r="F64" s="1649" t="s">
        <v>1650</v>
      </c>
    </row>
    <row r="65" spans="1:13">
      <c r="F65" s="1602" t="s">
        <v>1651</v>
      </c>
      <c r="H65" s="1656"/>
      <c r="J65" s="1657">
        <v>0</v>
      </c>
      <c r="K65" s="1655"/>
    </row>
    <row r="66" spans="1:13">
      <c r="F66" s="1602" t="s">
        <v>1652</v>
      </c>
      <c r="G66" s="1658"/>
      <c r="H66" s="1656"/>
      <c r="J66" s="1659">
        <v>0</v>
      </c>
      <c r="K66" s="1655"/>
    </row>
    <row r="67" spans="1:13">
      <c r="F67" s="1602" t="s">
        <v>1653</v>
      </c>
      <c r="G67" s="1658"/>
      <c r="H67" s="1656"/>
      <c r="J67" s="1660">
        <f>IFERROR(J65/J66,0)</f>
        <v>0</v>
      </c>
      <c r="K67" s="1661"/>
      <c r="L67" s="1662"/>
      <c r="M67" s="1663"/>
    </row>
    <row r="68" spans="1:13" ht="17.25" customHeight="1" thickBot="1">
      <c r="C68" s="2625"/>
      <c r="D68" s="2625"/>
      <c r="E68" s="2633"/>
      <c r="F68" s="2625"/>
      <c r="G68" s="2625"/>
      <c r="H68" s="2634"/>
      <c r="I68" s="2635"/>
      <c r="J68" s="2636"/>
      <c r="K68" s="2636"/>
      <c r="L68" s="2636"/>
      <c r="M68" s="2636"/>
    </row>
    <row r="69" spans="1:13" ht="17.25" customHeight="1">
      <c r="E69" s="1655"/>
      <c r="H69" s="1658"/>
      <c r="I69" s="1656"/>
      <c r="J69" s="1662"/>
      <c r="K69" s="1662"/>
      <c r="L69" s="1662"/>
      <c r="M69" s="1662"/>
    </row>
    <row r="70" spans="1:13">
      <c r="B70" s="1611" t="s">
        <v>1654</v>
      </c>
      <c r="C70" s="1612" t="s">
        <v>1655</v>
      </c>
      <c r="D70" s="1612"/>
      <c r="F70" s="1613"/>
      <c r="G70" s="1613"/>
      <c r="H70" s="1613"/>
      <c r="I70" s="1613"/>
      <c r="J70" s="1613"/>
      <c r="K70" s="1613"/>
      <c r="L70" s="1614" t="s">
        <v>1631</v>
      </c>
      <c r="M70" s="1637">
        <f>IF(E72="Yes",1,0)</f>
        <v>0</v>
      </c>
    </row>
    <row r="71" spans="1:13" ht="13.5" customHeight="1">
      <c r="C71" s="1664"/>
      <c r="D71" s="1664"/>
      <c r="E71" s="1664"/>
      <c r="F71" s="1664"/>
      <c r="G71" s="1664"/>
      <c r="H71" s="1664"/>
      <c r="I71" s="1664"/>
      <c r="J71" s="1664"/>
      <c r="K71" s="1664"/>
    </row>
    <row r="72" spans="1:13">
      <c r="C72" s="1612"/>
      <c r="D72" s="1649"/>
      <c r="E72" s="2329"/>
      <c r="F72" s="2332"/>
      <c r="G72" s="2332"/>
      <c r="H72" s="2332"/>
      <c r="I72" s="2332"/>
      <c r="J72" s="2332"/>
      <c r="K72" s="2332"/>
      <c r="L72" s="2330"/>
      <c r="M72" s="1665"/>
    </row>
    <row r="73" spans="1:13">
      <c r="G73" s="1655"/>
      <c r="J73" s="1655"/>
      <c r="M73" s="1665"/>
    </row>
    <row r="74" spans="1:13">
      <c r="E74" s="2333" t="s">
        <v>1656</v>
      </c>
      <c r="F74" s="2334"/>
      <c r="G74" s="2334"/>
      <c r="H74" s="2334"/>
      <c r="I74" s="2334"/>
      <c r="J74" s="2334"/>
      <c r="K74" s="2334"/>
      <c r="L74" s="1607"/>
    </row>
    <row r="75" spans="1:13">
      <c r="E75" s="2334"/>
      <c r="F75" s="2334"/>
      <c r="G75" s="2334"/>
      <c r="H75" s="2334"/>
      <c r="I75" s="2334"/>
      <c r="J75" s="2334"/>
      <c r="K75" s="2334"/>
      <c r="L75" s="1607"/>
    </row>
    <row r="76" spans="1:13">
      <c r="E76" s="2334"/>
      <c r="F76" s="2334"/>
      <c r="G76" s="2334"/>
      <c r="H76" s="2334"/>
      <c r="I76" s="2334"/>
      <c r="J76" s="2334"/>
      <c r="K76" s="2334"/>
      <c r="L76" s="1607"/>
    </row>
    <row r="77" spans="1:13">
      <c r="B77" s="1613"/>
      <c r="E77" s="2334"/>
      <c r="F77" s="2334"/>
      <c r="G77" s="2334"/>
      <c r="H77" s="2334"/>
      <c r="I77" s="2334"/>
      <c r="J77" s="2334"/>
      <c r="K77" s="2334"/>
      <c r="L77" s="1607"/>
    </row>
    <row r="78" spans="1:13" s="1665" customFormat="1" ht="15" thickBot="1">
      <c r="A78" s="1602"/>
      <c r="B78" s="1602"/>
      <c r="C78" s="2625"/>
      <c r="D78" s="2633"/>
      <c r="E78" s="2625"/>
      <c r="F78" s="2625"/>
      <c r="G78" s="2634"/>
      <c r="H78" s="2635"/>
      <c r="I78" s="2636"/>
      <c r="J78" s="2636"/>
      <c r="K78" s="2636"/>
      <c r="L78" s="2636"/>
      <c r="M78" s="2637"/>
    </row>
    <row r="79" spans="1:13">
      <c r="E79" s="1655"/>
      <c r="H79" s="1658"/>
      <c r="I79" s="1656"/>
      <c r="J79" s="1662"/>
      <c r="K79" s="1662"/>
      <c r="L79" s="1662"/>
      <c r="M79" s="1662"/>
    </row>
    <row r="80" spans="1:13">
      <c r="B80" s="1613" t="s">
        <v>1657</v>
      </c>
      <c r="C80" s="1612" t="s">
        <v>1658</v>
      </c>
      <c r="D80" s="1612"/>
      <c r="F80" s="1613"/>
      <c r="G80" s="1613"/>
      <c r="H80" s="1613"/>
      <c r="I80" s="1613"/>
      <c r="J80" s="1613"/>
      <c r="K80" s="1613"/>
      <c r="L80" s="1614" t="s">
        <v>1631</v>
      </c>
      <c r="M80" s="1653">
        <f>IF(I89&gt;0.1499,10,IF(I89&gt;0.0999,5,IF(I89&gt;0.0499,3,IF(I89&gt;=0,0))))</f>
        <v>0</v>
      </c>
    </row>
    <row r="81" spans="1:16" ht="7.5" customHeight="1">
      <c r="C81" s="1613"/>
      <c r="D81" s="1613"/>
      <c r="E81" s="1612"/>
      <c r="F81" s="1613"/>
      <c r="G81" s="1613"/>
      <c r="H81" s="1613"/>
      <c r="I81" s="1613"/>
      <c r="J81" s="1613"/>
      <c r="K81" s="1613"/>
      <c r="L81" s="1638"/>
      <c r="M81" s="1616"/>
    </row>
    <row r="82" spans="1:16" ht="25.5" customHeight="1">
      <c r="C82" s="2335" t="s">
        <v>1659</v>
      </c>
      <c r="D82" s="2335"/>
      <c r="E82" s="2335"/>
      <c r="F82" s="2335"/>
      <c r="G82" s="2335"/>
      <c r="H82" s="2335"/>
      <c r="I82" s="2335"/>
      <c r="J82" s="2335"/>
      <c r="K82" s="2335"/>
      <c r="L82" s="2335"/>
      <c r="M82" s="2335"/>
    </row>
    <row r="83" spans="1:16" ht="9" customHeight="1">
      <c r="C83" s="1612"/>
      <c r="D83" s="1612"/>
    </row>
    <row r="84" spans="1:16" ht="15" customHeight="1">
      <c r="C84" s="1612"/>
      <c r="D84" s="1612"/>
      <c r="E84" s="2329" t="s">
        <v>1510</v>
      </c>
      <c r="F84" s="2332"/>
      <c r="G84" s="2332"/>
      <c r="H84" s="2332"/>
      <c r="I84" s="2332"/>
      <c r="J84" s="2332"/>
      <c r="K84" s="2332"/>
      <c r="L84" s="2330"/>
      <c r="M84" s="1666"/>
    </row>
    <row r="85" spans="1:16" ht="13.5" customHeight="1">
      <c r="C85" s="1612"/>
      <c r="D85" s="1612"/>
      <c r="E85" s="1665"/>
      <c r="F85" s="1665"/>
      <c r="G85" s="1665"/>
      <c r="H85" s="1665"/>
      <c r="I85" s="1665"/>
      <c r="J85" s="1665"/>
      <c r="K85" s="1665"/>
      <c r="L85" s="1665"/>
      <c r="M85" s="1665"/>
    </row>
    <row r="86" spans="1:16">
      <c r="F86" s="1649" t="s">
        <v>1660</v>
      </c>
    </row>
    <row r="87" spans="1:16">
      <c r="F87" s="1602" t="s">
        <v>1661</v>
      </c>
      <c r="H87" s="1656"/>
      <c r="I87" s="2336"/>
      <c r="J87" s="2337"/>
      <c r="K87" s="1665"/>
      <c r="L87" s="1665"/>
    </row>
    <row r="88" spans="1:16">
      <c r="F88" s="1602" t="s">
        <v>875</v>
      </c>
      <c r="G88" s="1658"/>
      <c r="H88" s="1667"/>
      <c r="I88" s="2338">
        <v>0</v>
      </c>
      <c r="J88" s="2339"/>
      <c r="K88" s="1655"/>
      <c r="L88" s="1665"/>
    </row>
    <row r="89" spans="1:16">
      <c r="F89" s="1602" t="s">
        <v>1532</v>
      </c>
      <c r="G89" s="1658"/>
      <c r="H89" s="1656"/>
      <c r="I89" s="2340">
        <f>IFERROR(I87/I88,0)</f>
        <v>0</v>
      </c>
      <c r="J89" s="2341"/>
      <c r="K89" s="1665"/>
      <c r="L89" s="1665"/>
    </row>
    <row r="90" spans="1:16" ht="15" thickBot="1">
      <c r="D90" s="2625"/>
      <c r="E90" s="2625"/>
      <c r="F90" s="2625"/>
      <c r="G90" s="2634"/>
      <c r="H90" s="2635"/>
      <c r="I90" s="2638"/>
      <c r="J90" s="2638"/>
      <c r="K90" s="2637"/>
      <c r="L90" s="2637"/>
      <c r="M90" s="2625"/>
    </row>
    <row r="91" spans="1:16" ht="15" customHeight="1"/>
    <row r="92" spans="1:16" s="1665" customFormat="1">
      <c r="A92" s="1613"/>
      <c r="B92" s="1613" t="s">
        <v>1662</v>
      </c>
      <c r="C92" s="1612" t="s">
        <v>1663</v>
      </c>
      <c r="D92" s="1602"/>
      <c r="E92" s="1613"/>
      <c r="F92" s="1613"/>
      <c r="G92" s="1613"/>
      <c r="H92" s="1613"/>
      <c r="I92" s="1613"/>
      <c r="J92" s="1613"/>
      <c r="K92" s="1668"/>
      <c r="L92" s="1614" t="s">
        <v>1631</v>
      </c>
      <c r="M92" s="1653">
        <f>IF(I103&gt;=0.14,7,IF(I103&gt;=0.12,6,IF(I103&gt;=0.1,5,IF(I103&gt;=0.08,4,IF(I103&gt;=0.06,3,IF(I103&gt;=0.04,2,IF(I103&gt;=0.02,1,IF(I103&lt;=0.0199,0))))))))</f>
        <v>0</v>
      </c>
      <c r="P92" s="1665" t="s">
        <v>1502</v>
      </c>
    </row>
    <row r="93" spans="1:16" s="1665" customFormat="1">
      <c r="A93" s="1602"/>
      <c r="B93" s="1613"/>
      <c r="C93" s="1613"/>
      <c r="D93" s="1612"/>
      <c r="E93" s="1613"/>
      <c r="F93" s="1613"/>
      <c r="G93" s="1613"/>
      <c r="H93" s="1613"/>
      <c r="I93" s="1613"/>
      <c r="J93" s="1613"/>
      <c r="K93" s="1638"/>
      <c r="L93" s="1616"/>
    </row>
    <row r="94" spans="1:16" s="1665" customFormat="1" ht="27.75" customHeight="1">
      <c r="A94" s="1602"/>
      <c r="B94" s="1972"/>
      <c r="C94" s="2335" t="s">
        <v>1664</v>
      </c>
      <c r="D94" s="2335"/>
      <c r="E94" s="2335"/>
      <c r="F94" s="2335"/>
      <c r="G94" s="2335"/>
      <c r="H94" s="2335"/>
      <c r="I94" s="2335"/>
      <c r="J94" s="2335"/>
      <c r="K94" s="2335"/>
      <c r="L94" s="2335"/>
      <c r="M94" s="2335"/>
    </row>
    <row r="95" spans="1:16" s="1665" customFormat="1">
      <c r="A95" s="1602"/>
      <c r="B95" s="1612"/>
      <c r="C95" s="1612"/>
      <c r="D95" s="1602"/>
      <c r="E95" s="1602"/>
      <c r="F95" s="1602"/>
      <c r="G95" s="1602"/>
      <c r="H95" s="1602"/>
      <c r="I95" s="1669" t="s">
        <v>1665</v>
      </c>
      <c r="J95" s="1602"/>
      <c r="K95" s="1602"/>
      <c r="L95" s="1602"/>
      <c r="M95" s="1972"/>
    </row>
    <row r="96" spans="1:16" s="1665" customFormat="1">
      <c r="A96" s="1602"/>
      <c r="B96" s="1602"/>
      <c r="C96" s="1602"/>
      <c r="D96" s="1602"/>
      <c r="E96" s="2329" t="s">
        <v>1510</v>
      </c>
      <c r="F96" s="2332"/>
      <c r="G96" s="2332"/>
      <c r="H96" s="2332"/>
      <c r="I96" s="2332"/>
      <c r="J96" s="2332"/>
      <c r="K96" s="2332"/>
      <c r="L96" s="2330"/>
      <c r="M96" s="1616"/>
    </row>
    <row r="97" spans="1:13">
      <c r="M97" s="1612"/>
    </row>
    <row r="98" spans="1:13">
      <c r="E98" s="1649" t="s">
        <v>1666</v>
      </c>
      <c r="M98" s="1972"/>
    </row>
    <row r="99" spans="1:13">
      <c r="E99" s="1602" t="s">
        <v>1667</v>
      </c>
      <c r="G99" s="1656"/>
      <c r="I99" s="2338"/>
      <c r="J99" s="2339"/>
      <c r="K99" s="1655"/>
      <c r="M99" s="1670"/>
    </row>
    <row r="100" spans="1:13" ht="12.75" customHeight="1">
      <c r="E100" s="1602" t="s">
        <v>1668</v>
      </c>
      <c r="F100" s="1658"/>
      <c r="G100" s="1656"/>
      <c r="I100" s="2338"/>
      <c r="J100" s="2339"/>
      <c r="K100" s="1655"/>
    </row>
    <row r="101" spans="1:13" ht="12.75" customHeight="1">
      <c r="E101" s="1602" t="s">
        <v>1669</v>
      </c>
      <c r="F101" s="1658"/>
      <c r="G101" s="1656"/>
      <c r="I101" s="2338">
        <f>I99+I100</f>
        <v>0</v>
      </c>
      <c r="J101" s="2339"/>
    </row>
    <row r="102" spans="1:13">
      <c r="F102" s="1658"/>
      <c r="G102" s="1656"/>
      <c r="H102" s="1662"/>
      <c r="I102" s="1662"/>
      <c r="J102" s="1671" t="s">
        <v>1502</v>
      </c>
      <c r="K102" s="1671"/>
      <c r="M102" s="1670"/>
    </row>
    <row r="103" spans="1:13">
      <c r="A103" s="1665"/>
      <c r="B103" s="1665"/>
      <c r="C103" s="1665"/>
      <c r="D103" s="1665"/>
      <c r="E103" s="1665" t="s">
        <v>1670</v>
      </c>
      <c r="F103" s="1658"/>
      <c r="G103" s="1656"/>
      <c r="H103" s="1662"/>
      <c r="I103" s="2342">
        <f>IFERROR(I100/I101,0)</f>
        <v>0</v>
      </c>
      <c r="J103" s="2343"/>
      <c r="K103" s="1662"/>
      <c r="L103" s="1665"/>
      <c r="M103" s="1616"/>
    </row>
    <row r="104" spans="1:13" ht="15" thickBot="1">
      <c r="C104" s="2625"/>
      <c r="D104" s="2625"/>
      <c r="E104" s="2625"/>
      <c r="F104" s="2625"/>
      <c r="G104" s="2625"/>
      <c r="H104" s="2625"/>
      <c r="I104" s="2625"/>
      <c r="J104" s="2625"/>
      <c r="K104" s="2625"/>
      <c r="L104" s="2625"/>
      <c r="M104" s="2625"/>
    </row>
    <row r="106" spans="1:13">
      <c r="B106" s="1672" t="s">
        <v>1671</v>
      </c>
      <c r="C106" s="1612" t="s">
        <v>1672</v>
      </c>
      <c r="L106" s="1614" t="s">
        <v>1631</v>
      </c>
      <c r="M106" s="1653">
        <f>IF(I113&lt;=-0.25,5,IF(I113&lt;=-0.2,4,IF(I113&lt;=-0.15,3,IF(I113&lt;=-0.1,2,IF(I113&lt;=-0.05,1,IF(I113&gt;=0,0))))))</f>
        <v>0</v>
      </c>
    </row>
    <row r="108" spans="1:13" s="1665" customFormat="1" ht="27.75" customHeight="1">
      <c r="A108" s="1602"/>
      <c r="B108" s="1972"/>
      <c r="C108" s="2335" t="s">
        <v>1673</v>
      </c>
      <c r="D108" s="2335"/>
      <c r="E108" s="2335"/>
      <c r="F108" s="2335"/>
      <c r="G108" s="2335"/>
      <c r="H108" s="2335"/>
      <c r="I108" s="2335"/>
      <c r="J108" s="2335"/>
      <c r="K108" s="2335"/>
      <c r="L108" s="2335"/>
      <c r="M108" s="2335"/>
    </row>
    <row r="110" spans="1:13">
      <c r="F110" s="1649"/>
    </row>
    <row r="111" spans="1:13">
      <c r="F111" s="1602" t="s">
        <v>1674</v>
      </c>
      <c r="H111" s="1656"/>
      <c r="I111" s="2338"/>
      <c r="J111" s="2339"/>
      <c r="K111" s="1655" t="s">
        <v>1675</v>
      </c>
    </row>
    <row r="112" spans="1:13">
      <c r="F112" s="1602" t="s">
        <v>875</v>
      </c>
      <c r="G112" s="1658"/>
      <c r="H112" s="1667"/>
      <c r="I112" s="2338">
        <v>0</v>
      </c>
      <c r="J112" s="2339"/>
      <c r="K112" s="1655"/>
    </row>
    <row r="113" spans="2:14">
      <c r="F113" s="1602" t="s">
        <v>1676</v>
      </c>
      <c r="G113" s="1658"/>
      <c r="H113" s="1656"/>
      <c r="I113" s="2342">
        <f>IFERROR(I112/I111-1,0)</f>
        <v>0</v>
      </c>
      <c r="J113" s="2343"/>
      <c r="K113" s="1665"/>
    </row>
    <row r="114" spans="2:14">
      <c r="G114" s="1658"/>
      <c r="H114" s="1656"/>
      <c r="I114" s="1656"/>
      <c r="J114" s="1656"/>
      <c r="K114" s="1665"/>
    </row>
    <row r="115" spans="2:14" ht="15" thickBot="1">
      <c r="C115" s="2625"/>
      <c r="D115" s="2625"/>
      <c r="E115" s="2625"/>
      <c r="F115" s="2625"/>
      <c r="G115" s="2634"/>
      <c r="H115" s="2635"/>
      <c r="I115" s="2635"/>
      <c r="J115" s="2635"/>
      <c r="K115" s="2637"/>
      <c r="L115" s="2625"/>
      <c r="M115" s="2625"/>
    </row>
    <row r="116" spans="2:14">
      <c r="G116" s="1658"/>
      <c r="H116" s="1656"/>
      <c r="I116" s="1656"/>
      <c r="J116" s="1656"/>
      <c r="K116" s="1665"/>
    </row>
    <row r="117" spans="2:14">
      <c r="B117" s="1672" t="s">
        <v>1677</v>
      </c>
      <c r="C117" s="1612" t="s">
        <v>1678</v>
      </c>
      <c r="D117" s="1612"/>
      <c r="F117" s="1613"/>
      <c r="G117" s="1613"/>
      <c r="H117" s="1613"/>
      <c r="I117" s="1613"/>
      <c r="J117" s="1613"/>
      <c r="K117" s="1613"/>
      <c r="L117" s="1614" t="s">
        <v>1631</v>
      </c>
      <c r="M117" s="1637">
        <f>IF(E121="15% - 0 Points",0,0)+IF(E121="14% - 1 point",1,0)+IF(E121="13% - 2 points",2,0)+IF(E121="12% - 3 points",3,0)+IF(E121="11% - 4 points",4,0)+IF(E121="10% - 5 Points",5,0)</f>
        <v>0</v>
      </c>
    </row>
    <row r="118" spans="2:14" ht="7.5" customHeight="1">
      <c r="C118" s="1613"/>
      <c r="D118" s="1613"/>
      <c r="E118" s="1612"/>
      <c r="F118" s="1613"/>
      <c r="G118" s="1613"/>
      <c r="H118" s="1613"/>
      <c r="I118" s="1613"/>
      <c r="J118" s="1613"/>
      <c r="K118" s="1613"/>
      <c r="L118" s="1638"/>
      <c r="M118" s="1616"/>
    </row>
    <row r="119" spans="2:14">
      <c r="C119" s="1612" t="s">
        <v>1547</v>
      </c>
      <c r="D119" s="1612"/>
      <c r="E119" s="1612"/>
      <c r="F119" s="1612"/>
      <c r="G119" s="1612"/>
      <c r="H119" s="1612"/>
      <c r="I119" s="1612"/>
      <c r="J119" s="1612"/>
      <c r="K119" s="1612"/>
      <c r="L119" s="1612"/>
      <c r="M119" s="1612"/>
    </row>
    <row r="120" spans="2:14" ht="14.25" customHeight="1">
      <c r="D120" s="1972"/>
      <c r="E120" s="1972"/>
      <c r="F120" s="1972"/>
      <c r="G120" s="1972"/>
      <c r="H120" s="1972"/>
      <c r="I120" s="1972"/>
      <c r="J120" s="1972"/>
      <c r="K120" s="1972"/>
      <c r="L120" s="1972"/>
      <c r="M120" s="1972"/>
      <c r="N120" s="1972"/>
    </row>
    <row r="121" spans="2:14" ht="18" customHeight="1">
      <c r="E121" s="2344"/>
      <c r="F121" s="2345"/>
      <c r="G121" s="1612"/>
      <c r="H121" s="1612"/>
      <c r="I121" s="1612"/>
      <c r="J121" s="1612"/>
      <c r="K121" s="1612"/>
      <c r="L121" s="1612"/>
      <c r="M121" s="1612"/>
    </row>
    <row r="122" spans="2:14" ht="15" customHeight="1">
      <c r="E122" s="1612"/>
      <c r="F122" s="1612"/>
      <c r="G122" s="1612"/>
      <c r="H122" s="1612"/>
      <c r="I122" s="1612"/>
      <c r="J122" s="1612"/>
      <c r="K122" s="1612"/>
      <c r="L122" s="1612"/>
      <c r="M122" s="1612"/>
    </row>
    <row r="123" spans="2:14" ht="15" customHeight="1" thickBot="1">
      <c r="C123" s="2625"/>
      <c r="D123" s="2625"/>
      <c r="E123" s="2627"/>
      <c r="F123" s="2627"/>
      <c r="G123" s="2627"/>
      <c r="H123" s="2627"/>
      <c r="I123" s="2627"/>
      <c r="J123" s="2627"/>
      <c r="K123" s="2627"/>
      <c r="L123" s="2627"/>
      <c r="M123" s="2627"/>
    </row>
    <row r="124" spans="2:14" ht="15" customHeight="1">
      <c r="E124" s="1612"/>
      <c r="F124" s="1612"/>
      <c r="G124" s="1612"/>
      <c r="H124" s="1612"/>
      <c r="I124" s="1612"/>
      <c r="J124" s="1612"/>
      <c r="K124" s="1612"/>
      <c r="L124" s="1612"/>
      <c r="M124" s="1612"/>
    </row>
    <row r="125" spans="2:14">
      <c r="B125" s="1611" t="s">
        <v>1679</v>
      </c>
      <c r="C125" s="1612" t="s">
        <v>1680</v>
      </c>
      <c r="D125" s="1612"/>
      <c r="F125" s="1613"/>
      <c r="G125" s="1613"/>
      <c r="H125" s="1613"/>
      <c r="I125" s="1613"/>
      <c r="J125" s="1613"/>
      <c r="K125" s="1613"/>
      <c r="L125" s="1614" t="s">
        <v>1626</v>
      </c>
      <c r="M125" s="1615"/>
    </row>
    <row r="126" spans="2:14" ht="7.5" customHeight="1">
      <c r="C126" s="1613"/>
      <c r="D126" s="1613"/>
      <c r="F126" s="1613"/>
      <c r="G126" s="1613"/>
      <c r="H126" s="1613"/>
      <c r="I126" s="1613"/>
      <c r="J126" s="1613"/>
      <c r="K126" s="1613"/>
      <c r="L126" s="1638"/>
      <c r="M126" s="1616"/>
    </row>
    <row r="127" spans="2:14">
      <c r="C127" s="1612" t="s">
        <v>1681</v>
      </c>
      <c r="D127" s="1612"/>
      <c r="E127" s="1612"/>
      <c r="F127" s="1612"/>
      <c r="G127" s="1612"/>
      <c r="H127" s="1612"/>
      <c r="I127" s="1612"/>
      <c r="J127" s="1612"/>
      <c r="K127" s="1612"/>
      <c r="L127" s="1612"/>
      <c r="M127" s="1612"/>
    </row>
    <row r="128" spans="2:14" ht="18.75" customHeight="1"/>
    <row r="129" spans="1:14" ht="14.25" customHeight="1">
      <c r="F129" s="1642" t="s">
        <v>1682</v>
      </c>
      <c r="H129" s="1642"/>
      <c r="I129" s="1642"/>
      <c r="J129" s="1642"/>
      <c r="K129" s="1643">
        <v>0</v>
      </c>
      <c r="L129" s="1602" t="s">
        <v>1506</v>
      </c>
    </row>
    <row r="130" spans="1:14" ht="14.25" customHeight="1">
      <c r="F130" s="1642" t="s">
        <v>1683</v>
      </c>
      <c r="H130" s="1642"/>
      <c r="I130" s="1642"/>
      <c r="J130" s="1642"/>
      <c r="K130" s="1643">
        <v>0</v>
      </c>
      <c r="L130" s="1602" t="s">
        <v>1506</v>
      </c>
    </row>
    <row r="131" spans="1:14" ht="14.25" customHeight="1">
      <c r="G131" s="1673" t="s">
        <v>1684</v>
      </c>
      <c r="K131" s="1674">
        <v>0</v>
      </c>
      <c r="M131" s="1602" t="s">
        <v>1502</v>
      </c>
    </row>
    <row r="132" spans="1:14">
      <c r="C132" s="1612"/>
      <c r="D132" s="1612"/>
      <c r="E132" s="1642"/>
      <c r="F132" s="1647" t="s">
        <v>1685</v>
      </c>
      <c r="H132" s="1647"/>
      <c r="I132" s="1647"/>
      <c r="J132" s="1647"/>
      <c r="K132" s="1643">
        <v>0</v>
      </c>
      <c r="L132" s="1642" t="s">
        <v>1506</v>
      </c>
    </row>
    <row r="133" spans="1:14" s="1665" customFormat="1">
      <c r="C133" s="1612"/>
      <c r="D133" s="1612"/>
      <c r="E133" s="1642"/>
      <c r="F133" s="1647" t="s">
        <v>1686</v>
      </c>
      <c r="G133" s="1610"/>
      <c r="H133" s="1647"/>
      <c r="I133" s="1647"/>
      <c r="J133" s="1642"/>
      <c r="K133" s="1637">
        <v>0</v>
      </c>
      <c r="L133" s="1655"/>
    </row>
    <row r="134" spans="1:14" s="1665" customFormat="1">
      <c r="C134" s="1612"/>
      <c r="D134" s="1612"/>
      <c r="E134" s="1642"/>
      <c r="F134" s="1642" t="s">
        <v>1687</v>
      </c>
      <c r="I134" s="1642"/>
      <c r="J134" s="1642"/>
      <c r="K134" s="1675">
        <f>IFERROR(K132/K129,0)</f>
        <v>0</v>
      </c>
      <c r="L134" s="1642"/>
    </row>
    <row r="135" spans="1:14">
      <c r="C135" s="1612"/>
      <c r="D135" s="1612"/>
      <c r="E135" s="1642"/>
      <c r="F135" s="1642"/>
      <c r="H135" s="1642"/>
      <c r="I135" s="1642"/>
      <c r="J135" s="1642"/>
      <c r="K135" s="1642"/>
      <c r="L135" s="1650"/>
      <c r="M135" s="1665"/>
      <c r="N135" s="1665"/>
    </row>
    <row r="136" spans="1:14" ht="15" thickBot="1">
      <c r="C136" s="2627"/>
      <c r="D136" s="2627"/>
      <c r="E136" s="2628"/>
      <c r="F136" s="2628"/>
      <c r="G136" s="2625"/>
      <c r="H136" s="2628"/>
      <c r="I136" s="2628"/>
      <c r="J136" s="2628"/>
      <c r="K136" s="2628"/>
      <c r="L136" s="2639"/>
      <c r="M136" s="2628"/>
    </row>
    <row r="137" spans="1:14">
      <c r="C137" s="1612"/>
      <c r="D137" s="1612"/>
      <c r="E137" s="1642"/>
      <c r="F137" s="1642"/>
      <c r="H137" s="1642"/>
      <c r="I137" s="1642"/>
      <c r="J137" s="1642"/>
      <c r="K137" s="1642"/>
      <c r="L137" s="1650"/>
      <c r="M137" s="1642"/>
    </row>
    <row r="138" spans="1:14">
      <c r="B138" s="1611" t="s">
        <v>1688</v>
      </c>
      <c r="C138" s="1612" t="s">
        <v>1689</v>
      </c>
      <c r="D138" s="1612"/>
      <c r="F138" s="1613"/>
      <c r="G138" s="1613"/>
      <c r="H138" s="1613"/>
      <c r="I138" s="1613"/>
      <c r="J138" s="1613"/>
      <c r="K138" s="1613"/>
      <c r="L138" s="1614" t="s">
        <v>1626</v>
      </c>
      <c r="M138" s="1615"/>
    </row>
    <row r="139" spans="1:14" ht="7.5" customHeight="1"/>
    <row r="140" spans="1:14" s="1665" customFormat="1" ht="27.75" customHeight="1">
      <c r="A140" s="1602"/>
      <c r="B140" s="1972"/>
      <c r="C140" s="2335" t="s">
        <v>1690</v>
      </c>
      <c r="D140" s="2335"/>
      <c r="E140" s="2335"/>
      <c r="F140" s="2335"/>
      <c r="G140" s="2335"/>
      <c r="H140" s="2335"/>
      <c r="I140" s="2335"/>
      <c r="J140" s="2335"/>
      <c r="K140" s="2335"/>
      <c r="L140" s="2335"/>
      <c r="M140" s="2335"/>
    </row>
    <row r="141" spans="1:14" s="1665" customFormat="1" ht="12" customHeight="1">
      <c r="A141" s="1602"/>
      <c r="B141" s="1972"/>
      <c r="C141" s="1972"/>
      <c r="D141" s="1972"/>
      <c r="E141" s="1972"/>
      <c r="F141" s="1972"/>
      <c r="G141" s="1972"/>
      <c r="H141" s="1972"/>
      <c r="I141" s="1972"/>
      <c r="J141" s="1972"/>
      <c r="K141" s="1972"/>
      <c r="L141" s="1972"/>
      <c r="M141" s="1972"/>
    </row>
    <row r="142" spans="1:14" ht="15" thickBot="1">
      <c r="C142" s="2627"/>
      <c r="D142" s="2627"/>
      <c r="E142" s="2627"/>
      <c r="F142" s="2627"/>
      <c r="G142" s="2627"/>
      <c r="H142" s="2627"/>
      <c r="I142" s="2627"/>
      <c r="J142" s="2627"/>
      <c r="K142" s="2627"/>
      <c r="L142" s="2627"/>
      <c r="M142" s="2627"/>
    </row>
    <row r="143" spans="1:14">
      <c r="C143" s="1612"/>
      <c r="D143" s="1612"/>
      <c r="E143" s="1612"/>
      <c r="F143" s="1612"/>
      <c r="G143" s="1612"/>
      <c r="H143" s="1612"/>
      <c r="I143" s="1612"/>
      <c r="J143" s="1612"/>
      <c r="K143" s="1612"/>
      <c r="L143" s="1612"/>
      <c r="M143" s="1612"/>
    </row>
    <row r="144" spans="1:14">
      <c r="B144" s="1611" t="s">
        <v>1691</v>
      </c>
      <c r="C144" s="1612" t="s">
        <v>1692</v>
      </c>
      <c r="D144" s="1612"/>
      <c r="F144" s="1613"/>
      <c r="G144" s="1613"/>
      <c r="H144" s="1613"/>
      <c r="I144" s="1613"/>
      <c r="J144" s="1613"/>
      <c r="K144" s="1613"/>
      <c r="L144" s="1614" t="s">
        <v>1626</v>
      </c>
      <c r="M144" s="1615"/>
    </row>
    <row r="145" spans="1:13" ht="7.5" customHeight="1"/>
    <row r="146" spans="1:13" s="1665" customFormat="1" ht="27.75" customHeight="1">
      <c r="A146" s="1602"/>
      <c r="B146" s="1972"/>
      <c r="C146" s="2335" t="s">
        <v>1693</v>
      </c>
      <c r="D146" s="2335"/>
      <c r="E146" s="2335"/>
      <c r="F146" s="2335"/>
      <c r="G146" s="2335"/>
      <c r="H146" s="2335"/>
      <c r="I146" s="2335"/>
      <c r="J146" s="2335"/>
      <c r="K146" s="2335"/>
      <c r="L146" s="2335"/>
      <c r="M146" s="2335"/>
    </row>
    <row r="147" spans="1:13" s="1665" customFormat="1" ht="12" customHeight="1">
      <c r="A147" s="1602"/>
      <c r="B147" s="1972"/>
      <c r="C147" s="1972"/>
      <c r="D147" s="1972"/>
      <c r="E147" s="1972"/>
      <c r="F147" s="1972"/>
      <c r="G147" s="1972"/>
      <c r="H147" s="1972"/>
      <c r="I147" s="1972"/>
      <c r="J147" s="1972"/>
      <c r="K147" s="1972"/>
      <c r="L147" s="1972"/>
      <c r="M147" s="1972"/>
    </row>
    <row r="148" spans="1:13" s="1665" customFormat="1" ht="94.5" customHeight="1">
      <c r="A148" s="1602"/>
      <c r="B148" s="1972"/>
      <c r="C148" s="1972"/>
      <c r="D148" s="1972"/>
      <c r="E148" s="2346" t="s">
        <v>1694</v>
      </c>
      <c r="F148" s="2347"/>
      <c r="G148" s="2347"/>
      <c r="H148" s="2347"/>
      <c r="I148" s="2347"/>
      <c r="J148" s="2347"/>
      <c r="K148" s="2347"/>
      <c r="L148" s="2348"/>
      <c r="M148" s="1972"/>
    </row>
    <row r="149" spans="1:13" s="1665" customFormat="1" ht="12" customHeight="1">
      <c r="A149" s="1602"/>
      <c r="B149" s="1972"/>
      <c r="C149" s="1972"/>
      <c r="D149" s="1972"/>
      <c r="E149" s="1972"/>
      <c r="F149" s="1972"/>
      <c r="G149" s="1972"/>
      <c r="H149" s="1972"/>
      <c r="I149" s="1972"/>
      <c r="J149" s="1972"/>
      <c r="K149" s="1972"/>
      <c r="L149" s="1972"/>
      <c r="M149" s="1972"/>
    </row>
    <row r="150" spans="1:13" ht="15" thickBot="1">
      <c r="C150" s="2627"/>
      <c r="D150" s="2627"/>
      <c r="E150" s="2627"/>
      <c r="F150" s="2627"/>
      <c r="G150" s="2627"/>
      <c r="H150" s="2627"/>
      <c r="I150" s="2627"/>
      <c r="J150" s="2627"/>
      <c r="K150" s="2627"/>
      <c r="L150" s="2627"/>
      <c r="M150" s="2627"/>
    </row>
    <row r="151" spans="1:13">
      <c r="C151" s="1612"/>
      <c r="D151" s="1612"/>
      <c r="E151" s="1612"/>
      <c r="F151" s="1612"/>
      <c r="G151" s="1612"/>
      <c r="H151" s="1612"/>
      <c r="I151" s="1612"/>
      <c r="J151" s="1612"/>
      <c r="K151" s="1612"/>
      <c r="L151" s="1612"/>
      <c r="M151" s="1612"/>
    </row>
    <row r="152" spans="1:13">
      <c r="B152" s="1611" t="s">
        <v>1695</v>
      </c>
      <c r="C152" s="1612" t="s">
        <v>1696</v>
      </c>
      <c r="D152" s="1612"/>
      <c r="F152" s="1613"/>
      <c r="G152" s="1613"/>
      <c r="H152" s="1613"/>
      <c r="I152" s="1613"/>
      <c r="J152" s="1613"/>
      <c r="K152" s="1613"/>
      <c r="L152" s="1614" t="s">
        <v>1631</v>
      </c>
      <c r="M152" s="1637">
        <f>IF(E156="Option 1: Grayfield Site - 3 points",3)+IF(E156="Option 2: Adaptive Reuse Site - 3 points",3)+IF(E156="Option 3: Historic Property being financed by the federal Historic Tax Credit (RTC) - 3 points",3)+IF(E156="Option 4: Brownfield site - 6 points",6)</f>
        <v>0</v>
      </c>
    </row>
    <row r="153" spans="1:13" ht="7.5" customHeight="1"/>
    <row r="154" spans="1:13" s="1665" customFormat="1" ht="27.75" customHeight="1">
      <c r="A154" s="1602"/>
      <c r="B154" s="1972"/>
      <c r="C154" s="2335" t="s">
        <v>1697</v>
      </c>
      <c r="D154" s="2335"/>
      <c r="E154" s="2335"/>
      <c r="F154" s="2335"/>
      <c r="G154" s="2335"/>
      <c r="H154" s="2335"/>
      <c r="I154" s="2335"/>
      <c r="J154" s="2335"/>
      <c r="K154" s="2335"/>
      <c r="L154" s="2335"/>
      <c r="M154" s="2335"/>
    </row>
    <row r="155" spans="1:13" s="1665" customFormat="1" ht="12" customHeight="1">
      <c r="A155" s="1602"/>
      <c r="B155" s="1972"/>
      <c r="C155" s="1972"/>
      <c r="D155" s="1972"/>
      <c r="E155" s="1972"/>
      <c r="F155" s="1972"/>
      <c r="G155" s="1972"/>
      <c r="H155" s="1972"/>
      <c r="I155" s="1972"/>
      <c r="J155" s="1972"/>
      <c r="K155" s="1972"/>
      <c r="L155" s="1972"/>
      <c r="M155" s="1972"/>
    </row>
    <row r="156" spans="1:13" s="1665" customFormat="1" ht="12" customHeight="1">
      <c r="A156" s="1602"/>
      <c r="B156" s="1972"/>
      <c r="C156" s="1972"/>
      <c r="D156" s="1972"/>
      <c r="E156" s="2329" t="s">
        <v>1510</v>
      </c>
      <c r="F156" s="2332"/>
      <c r="G156" s="2332"/>
      <c r="H156" s="2332"/>
      <c r="I156" s="2332"/>
      <c r="J156" s="2332"/>
      <c r="K156" s="2332"/>
      <c r="L156" s="2330"/>
      <c r="M156" s="1972"/>
    </row>
    <row r="157" spans="1:13" s="1665" customFormat="1" ht="12" customHeight="1">
      <c r="A157" s="1602"/>
      <c r="B157" s="1972"/>
      <c r="C157" s="1972"/>
      <c r="D157" s="1972"/>
      <c r="E157" s="1972"/>
      <c r="F157" s="1972"/>
      <c r="G157" s="1972"/>
      <c r="H157" s="1972"/>
      <c r="I157" s="1972"/>
      <c r="J157" s="1972"/>
      <c r="K157" s="1972"/>
      <c r="L157" s="1972"/>
      <c r="M157" s="1972"/>
    </row>
    <row r="158" spans="1:13" s="1665" customFormat="1" ht="12" customHeight="1" thickBot="1">
      <c r="A158" s="1602"/>
      <c r="B158" s="1972"/>
      <c r="C158" s="2640"/>
      <c r="D158" s="2640"/>
      <c r="E158" s="2640"/>
      <c r="F158" s="2640"/>
      <c r="G158" s="2640"/>
      <c r="H158" s="2640"/>
      <c r="I158" s="2640"/>
      <c r="J158" s="2640"/>
      <c r="K158" s="2640"/>
      <c r="L158" s="2640"/>
      <c r="M158" s="2640"/>
    </row>
    <row r="159" spans="1:13" s="1665" customFormat="1" ht="12" customHeight="1">
      <c r="A159" s="1602"/>
      <c r="B159" s="1972"/>
      <c r="C159" s="1972"/>
      <c r="D159" s="1972"/>
      <c r="E159" s="1972"/>
      <c r="F159" s="1972"/>
      <c r="G159" s="1972"/>
      <c r="H159" s="1972"/>
      <c r="I159" s="1972"/>
      <c r="J159" s="1972"/>
      <c r="K159" s="1972"/>
      <c r="L159" s="1972"/>
      <c r="M159" s="1972"/>
    </row>
    <row r="160" spans="1:13">
      <c r="A160" s="1611"/>
      <c r="B160" s="1611" t="s">
        <v>1698</v>
      </c>
      <c r="C160" s="1676" t="s">
        <v>1699</v>
      </c>
      <c r="E160" s="1613"/>
      <c r="F160" s="1613"/>
      <c r="G160" s="1613"/>
      <c r="H160" s="1613"/>
      <c r="I160" s="1613"/>
      <c r="J160" s="1613"/>
      <c r="K160" s="1668"/>
      <c r="L160" s="1614" t="s">
        <v>1626</v>
      </c>
      <c r="M160" s="1615"/>
    </row>
    <row r="161" spans="2:13" ht="14.25" customHeight="1">
      <c r="M161" s="1972"/>
    </row>
    <row r="162" spans="2:13" ht="24.75" customHeight="1">
      <c r="B162" s="1972"/>
      <c r="C162" s="2335" t="s">
        <v>1700</v>
      </c>
      <c r="D162" s="2334"/>
      <c r="E162" s="2334"/>
      <c r="F162" s="2334"/>
      <c r="G162" s="2334"/>
      <c r="H162" s="2334"/>
      <c r="I162" s="2334"/>
      <c r="J162" s="2334"/>
      <c r="K162" s="2334"/>
      <c r="L162" s="1972"/>
    </row>
    <row r="163" spans="2:13">
      <c r="B163" s="1612"/>
    </row>
    <row r="164" spans="2:13">
      <c r="E164" s="2329" t="s">
        <v>1510</v>
      </c>
      <c r="F164" s="2332"/>
      <c r="G164" s="2332"/>
      <c r="H164" s="2332"/>
      <c r="I164" s="2332"/>
      <c r="J164" s="2332"/>
      <c r="K164" s="2332"/>
      <c r="L164" s="2330"/>
      <c r="M164" s="1642"/>
    </row>
    <row r="165" spans="2:13">
      <c r="E165" s="1760"/>
      <c r="F165" s="1760"/>
      <c r="G165" s="1760"/>
      <c r="H165" s="1760"/>
      <c r="I165" s="1760"/>
      <c r="J165" s="1760"/>
      <c r="K165" s="1760"/>
      <c r="L165" s="1760"/>
      <c r="M165" s="1642"/>
    </row>
    <row r="166" spans="2:13" ht="15" thickBot="1">
      <c r="C166" s="2625"/>
      <c r="D166" s="2625"/>
      <c r="E166" s="2625"/>
      <c r="F166" s="2625"/>
      <c r="G166" s="2625"/>
      <c r="H166" s="2625"/>
      <c r="I166" s="2625"/>
      <c r="J166" s="2625"/>
      <c r="K166" s="2639"/>
      <c r="L166" s="2628"/>
      <c r="M166" s="1642"/>
    </row>
    <row r="167" spans="2:13">
      <c r="K167" s="1650"/>
      <c r="L167" s="1642"/>
      <c r="M167" s="1642"/>
    </row>
    <row r="168" spans="2:13">
      <c r="B168" s="1611" t="s">
        <v>1701</v>
      </c>
      <c r="C168" s="1612" t="s">
        <v>1702</v>
      </c>
      <c r="D168" s="1612"/>
      <c r="E168" s="1612"/>
      <c r="F168" s="1612"/>
      <c r="G168" s="1612"/>
      <c r="H168" s="1612"/>
      <c r="I168" s="1612"/>
      <c r="J168" s="1612"/>
      <c r="K168" s="1612"/>
      <c r="L168" s="1614" t="s">
        <v>1626</v>
      </c>
      <c r="M168" s="1615"/>
    </row>
    <row r="169" spans="2:13" ht="9.75" customHeight="1"/>
    <row r="170" spans="2:13" ht="29.25" customHeight="1">
      <c r="C170" s="2335" t="s">
        <v>1703</v>
      </c>
      <c r="D170" s="2334"/>
      <c r="E170" s="2334"/>
      <c r="F170" s="2334"/>
      <c r="G170" s="2334"/>
      <c r="H170" s="2334"/>
      <c r="I170" s="2334"/>
      <c r="J170" s="2334"/>
      <c r="K170" s="2334"/>
      <c r="L170" s="1972"/>
      <c r="M170" s="1616"/>
    </row>
    <row r="171" spans="2:13" ht="12" customHeight="1" thickBot="1">
      <c r="C171" s="2627"/>
      <c r="D171" s="2625"/>
      <c r="E171" s="2625"/>
      <c r="F171" s="2625"/>
      <c r="G171" s="2625"/>
      <c r="H171" s="2625"/>
      <c r="I171" s="2625"/>
      <c r="J171" s="2625"/>
      <c r="K171" s="2625"/>
      <c r="L171" s="2625"/>
      <c r="M171" s="1972"/>
    </row>
    <row r="172" spans="2:13">
      <c r="L172" s="1650"/>
      <c r="M172" s="1616"/>
    </row>
    <row r="173" spans="2:13">
      <c r="B173" s="1611" t="s">
        <v>1704</v>
      </c>
      <c r="C173" s="1612" t="s">
        <v>1705</v>
      </c>
      <c r="D173" s="1612"/>
      <c r="F173" s="1613"/>
      <c r="G173" s="1613"/>
      <c r="L173" s="1614" t="s">
        <v>1626</v>
      </c>
      <c r="M173" s="1615"/>
    </row>
    <row r="174" spans="2:13" ht="7.5" customHeight="1">
      <c r="B174" s="1611"/>
      <c r="C174" s="1612"/>
      <c r="D174" s="1612"/>
      <c r="F174" s="1613"/>
      <c r="G174" s="1613"/>
      <c r="H174" s="1613"/>
      <c r="I174" s="1613"/>
      <c r="J174" s="1613"/>
      <c r="K174" s="1613"/>
      <c r="L174" s="1668"/>
      <c r="M174" s="1616"/>
    </row>
    <row r="175" spans="2:13" ht="27" customHeight="1">
      <c r="C175" s="2335" t="s">
        <v>1706</v>
      </c>
      <c r="D175" s="2334"/>
      <c r="E175" s="2334"/>
      <c r="F175" s="2334"/>
      <c r="G175" s="2334"/>
      <c r="H175" s="2334"/>
      <c r="I175" s="2334"/>
      <c r="J175" s="2334"/>
      <c r="K175" s="2334"/>
      <c r="L175" s="1638"/>
      <c r="M175" s="1972"/>
    </row>
    <row r="176" spans="2:13" ht="8.25" customHeight="1">
      <c r="C176" s="1972"/>
      <c r="D176" s="1972"/>
      <c r="E176" s="1972"/>
      <c r="F176" s="1972"/>
      <c r="G176" s="1972"/>
      <c r="H176" s="1972"/>
      <c r="I176" s="1972"/>
      <c r="J176" s="1972"/>
      <c r="K176" s="1972"/>
      <c r="L176" s="1972"/>
      <c r="M176" s="1972"/>
    </row>
    <row r="177" spans="2:13" ht="9.75" customHeight="1" thickBot="1">
      <c r="C177" s="2640"/>
      <c r="D177" s="2640"/>
      <c r="E177" s="2640"/>
      <c r="F177" s="2640"/>
      <c r="G177" s="2640"/>
      <c r="H177" s="2640"/>
      <c r="I177" s="2640"/>
      <c r="J177" s="2640"/>
      <c r="K177" s="2640"/>
      <c r="L177" s="2640"/>
      <c r="M177" s="1616"/>
    </row>
    <row r="178" spans="2:13" ht="9.75" customHeight="1">
      <c r="C178" s="1972"/>
      <c r="D178" s="1972"/>
      <c r="E178" s="1972"/>
      <c r="F178" s="1972"/>
      <c r="G178" s="1972"/>
      <c r="H178" s="1972"/>
      <c r="I178" s="1972"/>
      <c r="J178" s="1972"/>
      <c r="K178" s="1972"/>
      <c r="L178" s="1972"/>
      <c r="M178" s="1616"/>
    </row>
    <row r="179" spans="2:13" ht="15.75" customHeight="1">
      <c r="B179" s="1611" t="s">
        <v>1707</v>
      </c>
      <c r="C179" s="1612" t="s">
        <v>1708</v>
      </c>
      <c r="D179" s="1612"/>
      <c r="F179" s="1613"/>
      <c r="G179" s="1613"/>
      <c r="H179" s="1613"/>
      <c r="I179" s="1613"/>
      <c r="J179" s="1613"/>
      <c r="K179" s="1613"/>
      <c r="L179" s="1614" t="s">
        <v>1626</v>
      </c>
      <c r="M179" s="1615"/>
    </row>
    <row r="180" spans="2:13" ht="10.5" customHeight="1">
      <c r="B180" s="1611"/>
      <c r="C180" s="1612"/>
      <c r="D180" s="1612"/>
      <c r="F180" s="1613"/>
      <c r="G180" s="1613"/>
      <c r="H180" s="1613"/>
      <c r="I180" s="1613"/>
      <c r="J180" s="1613"/>
      <c r="K180" s="1613"/>
      <c r="L180" s="1668"/>
      <c r="M180" s="1972"/>
    </row>
    <row r="181" spans="2:13" ht="27" customHeight="1">
      <c r="B181" s="1611"/>
      <c r="C181" s="2335" t="s">
        <v>1709</v>
      </c>
      <c r="D181" s="2334"/>
      <c r="E181" s="2334"/>
      <c r="F181" s="2334"/>
      <c r="G181" s="2334"/>
      <c r="H181" s="2334"/>
      <c r="I181" s="2334"/>
      <c r="J181" s="2334"/>
      <c r="K181" s="2334"/>
      <c r="L181" s="1668"/>
      <c r="M181" s="1972"/>
    </row>
    <row r="182" spans="2:13" ht="8.25" customHeight="1" thickBot="1">
      <c r="B182" s="1611"/>
      <c r="C182" s="2627"/>
      <c r="D182" s="2627"/>
      <c r="E182" s="2625"/>
      <c r="F182" s="2641"/>
      <c r="G182" s="2641"/>
      <c r="H182" s="2641"/>
      <c r="I182" s="2641"/>
      <c r="J182" s="2641"/>
      <c r="K182" s="2641"/>
      <c r="L182" s="2642"/>
      <c r="M182" s="1972"/>
    </row>
    <row r="183" spans="2:13" ht="9.75" customHeight="1">
      <c r="C183" s="1972"/>
      <c r="D183" s="1972"/>
      <c r="E183" s="1972"/>
      <c r="F183" s="1972"/>
      <c r="G183" s="1972"/>
      <c r="H183" s="1972"/>
      <c r="I183" s="1972"/>
      <c r="J183" s="1972"/>
      <c r="K183" s="1972"/>
      <c r="L183" s="1972"/>
      <c r="M183" s="1616"/>
    </row>
    <row r="184" spans="2:13" ht="15.75" customHeight="1">
      <c r="B184" s="1611" t="s">
        <v>1710</v>
      </c>
      <c r="C184" s="1612" t="s">
        <v>1711</v>
      </c>
      <c r="D184" s="1612"/>
      <c r="F184" s="1613"/>
      <c r="G184" s="1613"/>
      <c r="H184" s="1613"/>
      <c r="I184" s="1613"/>
      <c r="J184" s="1613"/>
      <c r="K184" s="1613"/>
      <c r="L184" s="1614" t="s">
        <v>1626</v>
      </c>
      <c r="M184" s="1615"/>
    </row>
    <row r="185" spans="2:13" ht="10.5" customHeight="1">
      <c r="B185" s="1611"/>
      <c r="C185" s="1612"/>
      <c r="D185" s="1612"/>
      <c r="F185" s="1613"/>
      <c r="G185" s="1613"/>
      <c r="H185" s="1613"/>
      <c r="I185" s="1613"/>
      <c r="J185" s="1613"/>
      <c r="K185" s="1613"/>
      <c r="L185" s="1668"/>
      <c r="M185" s="1972"/>
    </row>
    <row r="186" spans="2:13" ht="27" customHeight="1">
      <c r="B186" s="1611"/>
      <c r="C186" s="2335" t="s">
        <v>1712</v>
      </c>
      <c r="D186" s="2334"/>
      <c r="E186" s="2334"/>
      <c r="F186" s="2334"/>
      <c r="G186" s="2334"/>
      <c r="H186" s="2334"/>
      <c r="I186" s="2334"/>
      <c r="J186" s="2334"/>
      <c r="K186" s="2334"/>
      <c r="L186" s="1668"/>
      <c r="M186" s="1972"/>
    </row>
    <row r="187" spans="2:13" ht="8.25" customHeight="1" thickBot="1">
      <c r="B187" s="1611"/>
      <c r="C187" s="2627"/>
      <c r="D187" s="2627"/>
      <c r="E187" s="2625"/>
      <c r="F187" s="2641"/>
      <c r="G187" s="2641"/>
      <c r="H187" s="2641"/>
      <c r="I187" s="2641"/>
      <c r="J187" s="2641"/>
      <c r="K187" s="2641"/>
      <c r="L187" s="2642"/>
      <c r="M187" s="1972"/>
    </row>
    <row r="188" spans="2:13">
      <c r="C188" s="1613"/>
      <c r="D188" s="1613"/>
      <c r="E188" s="1642"/>
      <c r="F188" s="1642"/>
      <c r="G188" s="1642"/>
      <c r="H188" s="1642"/>
      <c r="I188" s="1642"/>
      <c r="J188" s="1613"/>
      <c r="K188" s="1668"/>
      <c r="L188" s="1638"/>
    </row>
    <row r="189" spans="2:13">
      <c r="B189" s="1611" t="s">
        <v>1713</v>
      </c>
      <c r="C189" s="1612" t="s">
        <v>1714</v>
      </c>
      <c r="D189" s="1612"/>
      <c r="F189" s="1613"/>
      <c r="G189" s="1613"/>
      <c r="H189" s="1613"/>
      <c r="I189" s="1613"/>
      <c r="J189" s="1613"/>
      <c r="K189" s="1613"/>
      <c r="L189" s="1614" t="s">
        <v>1631</v>
      </c>
      <c r="M189" s="1637">
        <f>IF(E193="No Points Taken",0,3)</f>
        <v>0</v>
      </c>
    </row>
    <row r="190" spans="2:13" ht="5.25" customHeight="1">
      <c r="C190" s="1613"/>
      <c r="D190" s="1613"/>
      <c r="E190" s="1612"/>
      <c r="F190" s="1613"/>
      <c r="G190" s="1613"/>
      <c r="H190" s="1613"/>
      <c r="I190" s="1613"/>
      <c r="J190" s="1613"/>
      <c r="K190" s="1613"/>
      <c r="L190" s="1638"/>
      <c r="M190" s="1638"/>
    </row>
    <row r="191" spans="2:13" ht="21" customHeight="1">
      <c r="C191" s="1612" t="s">
        <v>1715</v>
      </c>
      <c r="D191" s="1612"/>
      <c r="E191" s="1612"/>
      <c r="F191" s="1612"/>
      <c r="G191" s="1612"/>
      <c r="H191" s="1612"/>
      <c r="I191" s="1612"/>
      <c r="J191" s="1612"/>
      <c r="K191" s="1612"/>
      <c r="L191" s="1612"/>
      <c r="M191" s="1616"/>
    </row>
    <row r="192" spans="2:13" ht="15" customHeight="1">
      <c r="C192" s="1972"/>
      <c r="D192" s="1972"/>
      <c r="E192" s="1972"/>
      <c r="F192" s="1972"/>
      <c r="G192" s="1972"/>
      <c r="H192" s="1972"/>
      <c r="I192" s="1972"/>
      <c r="J192" s="1972"/>
      <c r="K192" s="1972"/>
      <c r="L192" s="1972"/>
      <c r="M192" s="1972"/>
    </row>
    <row r="193" spans="1:13">
      <c r="E193" s="2329" t="s">
        <v>1510</v>
      </c>
      <c r="F193" s="2332"/>
      <c r="G193" s="2332"/>
      <c r="H193" s="2332"/>
      <c r="I193" s="2332"/>
      <c r="J193" s="2332"/>
      <c r="K193" s="2332"/>
      <c r="L193" s="2330"/>
      <c r="M193" s="1972"/>
    </row>
    <row r="194" spans="1:13" ht="15" thickBot="1">
      <c r="C194" s="2625"/>
      <c r="D194" s="2625"/>
      <c r="E194" s="2625"/>
      <c r="F194" s="2625"/>
      <c r="G194" s="2628"/>
      <c r="H194" s="2628"/>
      <c r="I194" s="2628"/>
      <c r="J194" s="2628"/>
      <c r="K194" s="2628"/>
      <c r="L194" s="2628"/>
    </row>
    <row r="195" spans="1:13" ht="15" customHeight="1">
      <c r="G195" s="1642"/>
      <c r="H195" s="1642"/>
      <c r="I195" s="1642"/>
      <c r="J195" s="1642"/>
      <c r="K195" s="1642"/>
      <c r="L195" s="1642"/>
      <c r="M195" s="1616"/>
    </row>
    <row r="196" spans="1:13" ht="12" customHeight="1">
      <c r="B196" s="1611" t="s">
        <v>1716</v>
      </c>
      <c r="C196" s="1612" t="s">
        <v>1717</v>
      </c>
      <c r="D196" s="1612"/>
      <c r="F196" s="1613"/>
      <c r="G196" s="1613"/>
      <c r="H196" s="1613"/>
      <c r="I196" s="1613"/>
      <c r="J196" s="1613"/>
      <c r="K196" s="1613"/>
      <c r="L196" s="1614" t="s">
        <v>1626</v>
      </c>
      <c r="M196" s="1615"/>
    </row>
    <row r="197" spans="1:13" ht="15.75" customHeight="1">
      <c r="C197" s="1677" t="s">
        <v>1718</v>
      </c>
      <c r="D197" s="1613"/>
      <c r="E197" s="1612"/>
      <c r="F197" s="1613"/>
      <c r="G197" s="1613"/>
      <c r="H197" s="1613"/>
      <c r="I197" s="1613"/>
      <c r="J197" s="1613"/>
      <c r="K197" s="1613"/>
      <c r="L197" s="1638"/>
      <c r="M197" s="1972"/>
    </row>
    <row r="198" spans="1:13" ht="12.75" customHeight="1">
      <c r="C198" s="1613"/>
      <c r="F198" s="1678" t="s">
        <v>1719</v>
      </c>
      <c r="G198" s="1613"/>
      <c r="H198" s="1613"/>
      <c r="I198" s="1613"/>
      <c r="J198" s="1613"/>
      <c r="K198" s="1613"/>
      <c r="L198" s="1638"/>
      <c r="M198" s="1972"/>
    </row>
    <row r="199" spans="1:13" ht="12.75" customHeight="1">
      <c r="C199" s="1613"/>
      <c r="F199" s="1678" t="s">
        <v>1720</v>
      </c>
      <c r="G199" s="1613"/>
      <c r="H199" s="1613"/>
      <c r="I199" s="1613"/>
      <c r="J199" s="1613"/>
      <c r="K199" s="1613"/>
      <c r="L199" s="1638"/>
      <c r="M199" s="1972"/>
    </row>
    <row r="200" spans="1:13" ht="15" thickBot="1">
      <c r="C200" s="2625"/>
      <c r="D200" s="2625"/>
      <c r="E200" s="2640"/>
      <c r="F200" s="2625"/>
      <c r="G200" s="2625"/>
      <c r="H200" s="2625"/>
      <c r="I200" s="2625"/>
      <c r="J200" s="2625"/>
      <c r="K200" s="2625"/>
      <c r="L200" s="2625"/>
    </row>
    <row r="201" spans="1:13" ht="16.149999999999999" customHeight="1">
      <c r="C201" s="1972"/>
      <c r="D201" s="1972"/>
      <c r="F201" s="1972"/>
      <c r="G201" s="1972"/>
      <c r="H201" s="1972"/>
      <c r="I201" s="1972"/>
      <c r="J201" s="1972"/>
      <c r="K201" s="1972"/>
      <c r="L201" s="1972"/>
      <c r="M201" s="1642"/>
    </row>
    <row r="202" spans="1:13" ht="16.149999999999999" customHeight="1">
      <c r="B202" s="1611" t="s">
        <v>1721</v>
      </c>
      <c r="C202" s="1612" t="s">
        <v>1722</v>
      </c>
      <c r="D202" s="1612"/>
      <c r="E202" s="1612"/>
      <c r="F202" s="1613"/>
      <c r="G202" s="1613"/>
      <c r="H202" s="1613"/>
      <c r="I202" s="1613"/>
      <c r="J202" s="1613"/>
      <c r="K202" s="1613"/>
      <c r="L202" s="1614" t="s">
        <v>1626</v>
      </c>
      <c r="M202" s="1615"/>
    </row>
    <row r="203" spans="1:13" ht="9.75" customHeight="1">
      <c r="A203" s="2335"/>
      <c r="B203" s="2335"/>
      <c r="C203" s="2335"/>
      <c r="D203" s="2335"/>
      <c r="E203" s="2335"/>
      <c r="F203" s="2335"/>
      <c r="G203" s="2335"/>
      <c r="H203" s="2335"/>
      <c r="I203" s="2335"/>
      <c r="J203" s="2335"/>
      <c r="K203" s="2335"/>
      <c r="L203" s="1638"/>
      <c r="M203" s="1642"/>
    </row>
    <row r="204" spans="1:13" ht="39" customHeight="1">
      <c r="C204" s="1642"/>
      <c r="D204" s="2335" t="s">
        <v>1723</v>
      </c>
      <c r="E204" s="2334"/>
      <c r="F204" s="2334"/>
      <c r="G204" s="2334"/>
      <c r="H204" s="2334"/>
      <c r="I204" s="2334"/>
      <c r="J204" s="2334"/>
      <c r="K204" s="2334"/>
      <c r="L204" s="1642"/>
    </row>
    <row r="205" spans="1:13">
      <c r="C205" s="1642"/>
      <c r="F205" s="1679" t="s">
        <v>76</v>
      </c>
      <c r="G205" s="1642" t="s">
        <v>1724</v>
      </c>
      <c r="H205" s="1642"/>
      <c r="I205" s="1642"/>
      <c r="J205" s="1642"/>
      <c r="K205" s="1642"/>
      <c r="L205" s="1642"/>
    </row>
    <row r="206" spans="1:13">
      <c r="C206" s="1642"/>
      <c r="F206" s="1679"/>
      <c r="G206" s="1642" t="s">
        <v>1725</v>
      </c>
      <c r="H206" s="1642"/>
      <c r="I206" s="1642"/>
      <c r="J206" s="1642"/>
      <c r="K206" s="1642"/>
      <c r="L206" s="1642"/>
    </row>
    <row r="207" spans="1:13">
      <c r="C207" s="1642"/>
      <c r="F207" s="1679"/>
      <c r="G207" s="1642" t="s">
        <v>1726</v>
      </c>
      <c r="H207" s="1642"/>
      <c r="I207" s="1642"/>
      <c r="J207" s="1642"/>
      <c r="K207" s="1642"/>
      <c r="L207" s="1642"/>
    </row>
    <row r="208" spans="1:13">
      <c r="C208" s="1642"/>
      <c r="F208" s="1679"/>
      <c r="G208" s="1642" t="s">
        <v>1727</v>
      </c>
      <c r="H208" s="1642"/>
      <c r="I208" s="1642"/>
      <c r="J208" s="1642"/>
      <c r="K208" s="1642"/>
      <c r="L208" s="1642"/>
    </row>
    <row r="209" spans="1:13">
      <c r="C209" s="1642"/>
      <c r="F209" s="1679"/>
      <c r="G209" s="1642" t="s">
        <v>1728</v>
      </c>
      <c r="H209" s="1642"/>
      <c r="I209" s="1642"/>
      <c r="J209" s="1642"/>
      <c r="K209" s="1642"/>
    </row>
    <row r="210" spans="1:13">
      <c r="C210" s="1613"/>
      <c r="F210" s="1679"/>
      <c r="G210" s="1602" t="s">
        <v>1729</v>
      </c>
      <c r="H210" s="1642"/>
      <c r="I210" s="1642"/>
      <c r="J210" s="1642"/>
      <c r="K210" s="1613"/>
    </row>
    <row r="211" spans="1:13" ht="15" thickBot="1">
      <c r="C211" s="2641"/>
      <c r="D211" s="2625"/>
      <c r="E211" s="2625"/>
      <c r="F211" s="2625"/>
      <c r="G211" s="2625"/>
      <c r="H211" s="2628"/>
      <c r="I211" s="2628"/>
      <c r="J211" s="2628"/>
      <c r="K211" s="2641"/>
      <c r="L211" s="2625"/>
    </row>
    <row r="212" spans="1:13" ht="16.149999999999999" customHeight="1">
      <c r="C212" s="1972"/>
      <c r="D212" s="1972"/>
      <c r="F212" s="1972"/>
      <c r="G212" s="1972"/>
      <c r="H212" s="1972"/>
      <c r="I212" s="1972"/>
      <c r="J212" s="1972"/>
      <c r="K212" s="1972"/>
      <c r="L212" s="1972"/>
      <c r="M212" s="1642"/>
    </row>
    <row r="213" spans="1:13" ht="16.149999999999999" customHeight="1">
      <c r="B213" s="1611" t="s">
        <v>1730</v>
      </c>
      <c r="C213" s="1612" t="s">
        <v>1731</v>
      </c>
      <c r="D213" s="1612"/>
      <c r="E213" s="1612"/>
      <c r="F213" s="1613"/>
      <c r="G213" s="1613"/>
      <c r="H213" s="1613"/>
      <c r="I213" s="1613"/>
      <c r="J213" s="1613"/>
      <c r="K213" s="1613"/>
      <c r="L213" s="1614" t="s">
        <v>1626</v>
      </c>
      <c r="M213" s="1680"/>
    </row>
    <row r="214" spans="1:13" ht="9.75" customHeight="1">
      <c r="A214" s="2335"/>
      <c r="B214" s="2335"/>
      <c r="C214" s="2335"/>
      <c r="D214" s="2335"/>
      <c r="E214" s="2335"/>
      <c r="F214" s="2335"/>
      <c r="G214" s="2335"/>
      <c r="H214" s="2335"/>
      <c r="I214" s="2335"/>
      <c r="J214" s="2335"/>
      <c r="K214" s="2335"/>
      <c r="L214" s="1638"/>
      <c r="M214" s="1681"/>
    </row>
    <row r="215" spans="1:13" ht="39" customHeight="1">
      <c r="C215" s="1642"/>
      <c r="D215" s="2335" t="s">
        <v>1732</v>
      </c>
      <c r="E215" s="2334"/>
      <c r="F215" s="2334"/>
      <c r="G215" s="2334"/>
      <c r="H215" s="2334"/>
      <c r="I215" s="2334"/>
      <c r="J215" s="2334"/>
      <c r="K215" s="2334"/>
      <c r="L215" s="1642"/>
      <c r="M215" s="1682"/>
    </row>
    <row r="216" spans="1:13" ht="13.5" customHeight="1">
      <c r="C216" s="1642"/>
      <c r="D216" s="1677" t="s">
        <v>1718</v>
      </c>
      <c r="L216" s="1642"/>
      <c r="M216" s="1682"/>
    </row>
    <row r="217" spans="1:13" ht="8.25" customHeight="1">
      <c r="C217" s="1642"/>
      <c r="D217" s="1677"/>
      <c r="L217" s="1642"/>
      <c r="M217" s="1682"/>
    </row>
    <row r="218" spans="1:13">
      <c r="C218" s="1642"/>
      <c r="F218" s="1679" t="s">
        <v>76</v>
      </c>
      <c r="G218" s="1602" t="s">
        <v>1733</v>
      </c>
      <c r="H218" s="1642"/>
      <c r="I218" s="1642"/>
      <c r="J218" s="1642"/>
      <c r="K218" s="1642"/>
      <c r="L218" s="1642"/>
      <c r="M218" s="1682"/>
    </row>
    <row r="219" spans="1:13">
      <c r="C219" s="1642"/>
      <c r="F219" s="1679"/>
      <c r="G219" s="1642" t="s">
        <v>1734</v>
      </c>
      <c r="H219" s="1642"/>
      <c r="I219" s="1642"/>
      <c r="J219" s="1642"/>
      <c r="K219" s="1642"/>
      <c r="L219" s="1642"/>
      <c r="M219" s="1682"/>
    </row>
    <row r="220" spans="1:13" ht="15" thickBot="1">
      <c r="C220" s="2628"/>
      <c r="D220" s="2625"/>
      <c r="E220" s="2625"/>
      <c r="F220" s="2628"/>
      <c r="G220" s="2628"/>
      <c r="H220" s="2628"/>
      <c r="I220" s="2628"/>
      <c r="J220" s="2628"/>
      <c r="K220" s="2628"/>
      <c r="L220" s="2628"/>
      <c r="M220" s="1682"/>
    </row>
    <row r="221" spans="1:13">
      <c r="C221" s="1972"/>
      <c r="D221" s="1613"/>
      <c r="E221" s="1972"/>
      <c r="F221" s="1972"/>
      <c r="G221" s="1972"/>
      <c r="H221" s="1972"/>
      <c r="I221" s="1972"/>
      <c r="J221" s="1972"/>
      <c r="K221" s="1972"/>
      <c r="M221" s="1682"/>
    </row>
    <row r="222" spans="1:13" ht="16.149999999999999" customHeight="1">
      <c r="B222" s="1611" t="s">
        <v>1735</v>
      </c>
      <c r="C222" s="1612" t="s">
        <v>1736</v>
      </c>
      <c r="D222" s="1612"/>
      <c r="E222" s="1612"/>
      <c r="F222" s="1613"/>
      <c r="G222" s="1613"/>
      <c r="H222" s="1613"/>
      <c r="I222" s="1613"/>
      <c r="J222" s="1613"/>
      <c r="K222" s="1613"/>
      <c r="L222" s="1614" t="s">
        <v>1626</v>
      </c>
      <c r="M222" s="1680"/>
    </row>
    <row r="223" spans="1:13" ht="9.75" customHeight="1">
      <c r="A223" s="2335"/>
      <c r="B223" s="2335"/>
      <c r="C223" s="2335"/>
      <c r="D223" s="2335"/>
      <c r="E223" s="2335"/>
      <c r="F223" s="2335"/>
      <c r="G223" s="2335"/>
      <c r="H223" s="2335"/>
      <c r="I223" s="2335"/>
      <c r="J223" s="2335"/>
      <c r="K223" s="2335"/>
      <c r="L223" s="1638"/>
      <c r="M223" s="1642"/>
    </row>
    <row r="224" spans="1:13" ht="14.25" customHeight="1">
      <c r="C224" s="1642"/>
      <c r="D224" s="2335" t="s">
        <v>1737</v>
      </c>
      <c r="E224" s="2334"/>
      <c r="F224" s="2334"/>
      <c r="G224" s="2334"/>
      <c r="H224" s="2334"/>
      <c r="I224" s="2334"/>
      <c r="J224" s="2334"/>
      <c r="K224" s="2334"/>
      <c r="L224" s="1642"/>
    </row>
    <row r="225" spans="1:13" ht="13.5" customHeight="1">
      <c r="C225" s="1642"/>
      <c r="D225" s="1677"/>
      <c r="L225" s="1642"/>
    </row>
    <row r="226" spans="1:13" s="1665" customFormat="1" ht="12" customHeight="1">
      <c r="A226" s="1602"/>
      <c r="B226" s="1972"/>
      <c r="C226" s="1972"/>
      <c r="D226" s="1972"/>
      <c r="E226" s="2329" t="s">
        <v>1510</v>
      </c>
      <c r="F226" s="2332"/>
      <c r="G226" s="2332"/>
      <c r="H226" s="2332"/>
      <c r="I226" s="2332"/>
      <c r="J226" s="2332"/>
      <c r="K226" s="2332"/>
      <c r="L226" s="2330"/>
      <c r="M226" s="1972"/>
    </row>
    <row r="227" spans="1:13" s="1665" customFormat="1" ht="12" customHeight="1">
      <c r="A227" s="1602"/>
      <c r="B227" s="1972"/>
      <c r="C227" s="1972"/>
      <c r="D227" s="1972"/>
      <c r="E227" s="2329" t="s">
        <v>1510</v>
      </c>
      <c r="F227" s="2332"/>
      <c r="G227" s="2332"/>
      <c r="H227" s="2332"/>
      <c r="I227" s="2332"/>
      <c r="J227" s="2332"/>
      <c r="K227" s="2332"/>
      <c r="L227" s="2330"/>
      <c r="M227" s="1972"/>
    </row>
    <row r="228" spans="1:13" ht="15" thickBot="1">
      <c r="C228" s="2628"/>
      <c r="D228" s="2625"/>
      <c r="E228" s="2625"/>
      <c r="F228" s="2625"/>
      <c r="G228" s="2628"/>
      <c r="H228" s="2628"/>
      <c r="I228" s="2628"/>
      <c r="J228" s="2628"/>
      <c r="K228" s="2628"/>
      <c r="L228" s="2628"/>
    </row>
    <row r="229" spans="1:13">
      <c r="C229" s="1642"/>
      <c r="G229" s="1642"/>
      <c r="H229" s="1642"/>
      <c r="I229" s="1642"/>
      <c r="J229" s="1642"/>
      <c r="K229" s="1642"/>
      <c r="L229" s="1642"/>
    </row>
    <row r="230" spans="1:13">
      <c r="B230" s="1611" t="s">
        <v>1738</v>
      </c>
      <c r="C230" s="1612" t="s">
        <v>1739</v>
      </c>
      <c r="D230" s="1612"/>
      <c r="F230" s="1613"/>
      <c r="G230" s="1613"/>
      <c r="L230" s="1614" t="s">
        <v>1626</v>
      </c>
      <c r="M230" s="1615"/>
    </row>
    <row r="231" spans="1:13" ht="7.5" customHeight="1">
      <c r="B231" s="1611"/>
      <c r="C231" s="1612"/>
      <c r="D231" s="1612"/>
      <c r="F231" s="1613"/>
      <c r="G231" s="1613"/>
      <c r="H231" s="1613"/>
      <c r="I231" s="1613"/>
      <c r="J231" s="1613"/>
      <c r="K231" s="1613"/>
      <c r="L231" s="1668"/>
      <c r="M231" s="1616"/>
    </row>
    <row r="232" spans="1:13" ht="27" customHeight="1">
      <c r="C232" s="2335" t="s">
        <v>1740</v>
      </c>
      <c r="D232" s="2334"/>
      <c r="E232" s="2334"/>
      <c r="F232" s="2334"/>
      <c r="G232" s="2334"/>
      <c r="H232" s="2334"/>
      <c r="I232" s="2334"/>
      <c r="J232" s="2334"/>
      <c r="K232" s="2334"/>
      <c r="L232" s="1638"/>
      <c r="M232" s="1972"/>
    </row>
    <row r="233" spans="1:13" ht="15" thickBot="1"/>
    <row r="234" spans="1:13" ht="28.5" customHeight="1" thickTop="1" thickBot="1">
      <c r="B234" s="1683"/>
      <c r="C234" s="1684" t="s">
        <v>1741</v>
      </c>
      <c r="D234" s="1684"/>
      <c r="E234" s="1683"/>
      <c r="F234" s="1683"/>
      <c r="G234" s="1683"/>
      <c r="H234" s="1683"/>
      <c r="I234" s="1683"/>
      <c r="J234" s="1683"/>
      <c r="K234" s="1683"/>
      <c r="L234" s="1683"/>
      <c r="M234" s="1685">
        <f>SUM(M230,M222,M213,M202,M196,M189,M184,M179,M168,M173,M160,M152,M144,M138,M125,M117,M106,M92,M80,M70,M59,M33,M26,M12,)</f>
        <v>0</v>
      </c>
    </row>
    <row r="235" spans="1:13" ht="15" thickTop="1"/>
  </sheetData>
  <sheetProtection formatCells="0" formatColumns="0" formatRows="0"/>
  <mergeCells count="52">
    <mergeCell ref="C232:K232"/>
    <mergeCell ref="E193:L193"/>
    <mergeCell ref="A203:K203"/>
    <mergeCell ref="D204:K204"/>
    <mergeCell ref="A214:K214"/>
    <mergeCell ref="D215:K215"/>
    <mergeCell ref="A223:K223"/>
    <mergeCell ref="C181:K181"/>
    <mergeCell ref="C186:K186"/>
    <mergeCell ref="D224:K224"/>
    <mergeCell ref="E226:L226"/>
    <mergeCell ref="E227:L227"/>
    <mergeCell ref="E156:L156"/>
    <mergeCell ref="C162:K162"/>
    <mergeCell ref="E164:L164"/>
    <mergeCell ref="C170:K170"/>
    <mergeCell ref="C175:K175"/>
    <mergeCell ref="E121:F121"/>
    <mergeCell ref="C140:M140"/>
    <mergeCell ref="C146:M146"/>
    <mergeCell ref="E148:L148"/>
    <mergeCell ref="C154:M154"/>
    <mergeCell ref="I103:J103"/>
    <mergeCell ref="C108:M108"/>
    <mergeCell ref="I111:J111"/>
    <mergeCell ref="I112:J112"/>
    <mergeCell ref="I113:J113"/>
    <mergeCell ref="C94:M94"/>
    <mergeCell ref="E96:L96"/>
    <mergeCell ref="I99:J99"/>
    <mergeCell ref="I100:J100"/>
    <mergeCell ref="I101:J101"/>
    <mergeCell ref="C82:M82"/>
    <mergeCell ref="E84:L84"/>
    <mergeCell ref="I87:J87"/>
    <mergeCell ref="I88:J88"/>
    <mergeCell ref="I89:J89"/>
    <mergeCell ref="E30:F30"/>
    <mergeCell ref="C35:M36"/>
    <mergeCell ref="E62:L62"/>
    <mergeCell ref="E72:L72"/>
    <mergeCell ref="E74:K77"/>
    <mergeCell ref="B8:M8"/>
    <mergeCell ref="L10:L11"/>
    <mergeCell ref="M10:M11"/>
    <mergeCell ref="E16:L16"/>
    <mergeCell ref="F23:H23"/>
    <mergeCell ref="A1:M1"/>
    <mergeCell ref="B2:M2"/>
    <mergeCell ref="B5:M5"/>
    <mergeCell ref="B6:E6"/>
    <mergeCell ref="F6:H6"/>
  </mergeCells>
  <dataValidations count="14">
    <dataValidation type="list" allowBlank="1" showInputMessage="1" showErrorMessage="1" sqref="F228:F229" xr:uid="{00000000-0002-0000-2100-000000000000}">
      <formula1>$D$28:$D$29</formula1>
    </dataValidation>
    <dataValidation type="list" allowBlank="1" showInputMessage="1" showErrorMessage="1" sqref="L56" xr:uid="{00000000-0002-0000-2100-000001000000}">
      <formula1>$D$16:$D$17</formula1>
    </dataValidation>
    <dataValidation type="list" allowBlank="1" showInputMessage="1" showErrorMessage="1" sqref="D164:D165" xr:uid="{00000000-0002-0000-2100-000002000000}">
      <formula1>location_eff</formula1>
    </dataValidation>
    <dataValidation allowBlank="1" showErrorMessage="1" sqref="M16" xr:uid="{00000000-0002-0000-2100-000003000000}"/>
    <dataValidation type="list" allowBlank="1" showInputMessage="1" showErrorMessage="1" sqref="E84:L84" xr:uid="{00000000-0002-0000-2100-000004000000}">
      <formula1>four_perc_leveraging_public_resources</formula1>
    </dataValidation>
    <dataValidation type="list" allowBlank="1" showInputMessage="1" showErrorMessage="1" sqref="E164" xr:uid="{00000000-0002-0000-2100-000005000000}">
      <formula1>four_perc_efficient_location</formula1>
    </dataValidation>
    <dataValidation type="list" allowBlank="1" showInputMessage="1" showErrorMessage="1" sqref="E193:L193" xr:uid="{00000000-0002-0000-2100-000006000000}">
      <formula1>four_perc_np_sponsor</formula1>
    </dataValidation>
    <dataValidation type="list" allowBlank="1" showInputMessage="1" showErrorMessage="1" sqref="E121:F121" xr:uid="{00000000-0002-0000-2100-000007000000}">
      <formula1>four_perc_dev_fees</formula1>
    </dataValidation>
    <dataValidation type="list" allowBlank="1" showInputMessage="1" showErrorMessage="1" sqref="E62:L62" xr:uid="{00000000-0002-0000-2100-000008000000}">
      <formula1>four_perc_project_based_rental_assistance</formula1>
    </dataValidation>
    <dataValidation type="list" allowBlank="1" showErrorMessage="1" sqref="E16:L16" xr:uid="{00000000-0002-0000-2100-000009000000}">
      <formula1>four_perc_lih_commit</formula1>
    </dataValidation>
    <dataValidation type="list" allowBlank="1" showInputMessage="1" sqref="E30:F30" xr:uid="{00000000-0002-0000-2100-00000A000000}">
      <formula1>four_perc_Years</formula1>
    </dataValidation>
    <dataValidation type="list" allowBlank="1" showInputMessage="1" showErrorMessage="1" sqref="E96:L96" xr:uid="{00000000-0002-0000-2100-00000B000000}">
      <formula1>four_perc_leveraging_taxable_bonds</formula1>
    </dataValidation>
    <dataValidation type="list" allowBlank="1" showInputMessage="1" showErrorMessage="1" sqref="E156:L156" xr:uid="{00000000-0002-0000-2100-00000C000000}">
      <formula1>four_perc_property_type</formula1>
    </dataValidation>
    <dataValidation type="list" allowBlank="1" showInputMessage="1" showErrorMessage="1" sqref="F205:F210 F218:F219" xr:uid="{00000000-0002-0000-2100-00000D000000}">
      <formula1>Enable</formula1>
    </dataValidation>
  </dataValidations>
  <hyperlinks>
    <hyperlink ref="F6" r:id="rId1" display="2016 Bond/Tax Credit Polices" xr:uid="{00000000-0004-0000-2100-000000000000}"/>
    <hyperlink ref="F6:H6" r:id="rId2" display="2017 Bond/Tax Credit Polices" xr:uid="{00000000-0004-0000-2100-00000100000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2100-00000E000000}">
          <x14:formula1>
            <xm:f>'4% LIHTC ScoringLists'!$D$46:$D$48</xm:f>
          </x14:formula1>
          <xm:sqref>M222</xm:sqref>
        </x14:dataValidation>
        <x14:dataValidation type="list" allowBlank="1" showInputMessage="1" showErrorMessage="1" xr:uid="{00000000-0002-0000-2100-00000F000000}">
          <x14:formula1>
            <xm:f>'4% LIHTC ScoringLists'!$B$112:$B$113</xm:f>
          </x14:formula1>
          <xm:sqref>E226:L226</xm:sqref>
        </x14:dataValidation>
        <x14:dataValidation type="list" allowBlank="1" showInputMessage="1" showErrorMessage="1" xr:uid="{00000000-0002-0000-2100-000010000000}">
          <x14:formula1>
            <xm:f>'4% LIHTC ScoringLists'!$B$114:$B$115</xm:f>
          </x14:formula1>
          <xm:sqref>E227:L227</xm:sqref>
        </x14:dataValidation>
        <x14:dataValidation type="list" allowBlank="1" showInputMessage="1" showErrorMessage="1" xr:uid="{00000000-0002-0000-2100-000011000000}">
          <x14:formula1>
            <xm:f>'4% LIHTC ScoringLists'!$D$34:$D$41</xm:f>
          </x14:formula1>
          <xm:sqref>M202</xm:sqref>
        </x14:dataValidation>
        <x14:dataValidation type="list" allowBlank="1" showInputMessage="1" showErrorMessage="1" xr:uid="{00000000-0002-0000-2100-000012000000}">
          <x14:formula1>
            <xm:f>'4% LIHTC ScoringLists'!$D$30:$D$32</xm:f>
          </x14:formula1>
          <xm:sqref>M196</xm:sqref>
        </x14:dataValidation>
        <x14:dataValidation type="list" allowBlank="1" showInputMessage="1" showErrorMessage="1" xr:uid="{00000000-0002-0000-2100-000013000000}">
          <x14:formula1>
            <xm:f>'4% LIHTC ScoringLists'!$D$22:$D$23</xm:f>
          </x14:formula1>
          <xm:sqref>M184</xm:sqref>
        </x14:dataValidation>
        <x14:dataValidation type="list" allowBlank="1" showInputMessage="1" showErrorMessage="1" xr:uid="{00000000-0002-0000-2100-000014000000}">
          <x14:formula1>
            <xm:f>'4% LIHTC ScoringLists'!$D$28:$D$29</xm:f>
          </x14:formula1>
          <xm:sqref>M168 M213</xm:sqref>
        </x14:dataValidation>
        <x14:dataValidation type="list" allowBlank="1" showInputMessage="1" showErrorMessage="1" xr:uid="{00000000-0002-0000-2100-000015000000}">
          <x14:formula1>
            <xm:f>'4% LIHTC ScoringLists'!$D$25:$D$26</xm:f>
          </x14:formula1>
          <xm:sqref>M160 M179 M173</xm:sqref>
        </x14:dataValidation>
        <x14:dataValidation type="list" allowBlank="1" showInputMessage="1" showErrorMessage="1" xr:uid="{00000000-0002-0000-2100-000016000000}">
          <x14:formula1>
            <xm:f>'4% LIHTC ScoringLists'!$B$68:$B$72</xm:f>
          </x14:formula1>
          <xm:sqref>E157:L158</xm:sqref>
        </x14:dataValidation>
        <x14:dataValidation type="list" allowBlank="1" showInputMessage="1" showErrorMessage="1" xr:uid="{00000000-0002-0000-2100-000017000000}">
          <x14:formula1>
            <xm:f>'4% LIHTC ScoringLists'!$B$50:$B$57</xm:f>
          </x14:formula1>
          <xm:sqref>D96</xm:sqref>
        </x14:dataValidation>
        <x14:dataValidation type="list" allowBlank="1" showInputMessage="1" showErrorMessage="1" xr:uid="{00000000-0002-0000-2100-000018000000}">
          <x14:formula1>
            <xm:f>'4% LIHTC ScoringLists'!#REF!</xm:f>
          </x14:formula1>
          <xm:sqref>E122:E124</xm:sqref>
        </x14:dataValidation>
        <x14:dataValidation type="list" allowBlank="1" showInputMessage="1" showErrorMessage="1" xr:uid="{00000000-0002-0000-2100-000019000000}">
          <x14:formula1>
            <xm:f>'4% LIHTC ScoringLists'!$D$16:$D$17</xm:f>
          </x14:formula1>
          <xm:sqref>L48:L49 L55</xm:sqref>
        </x14:dataValidation>
        <x14:dataValidation type="list" allowBlank="1" showInputMessage="1" showErrorMessage="1" xr:uid="{00000000-0002-0000-2100-00001A000000}">
          <x14:formula1>
            <xm:f>'4% LIHTC ScoringLists'!$D$12:$D$13</xm:f>
          </x14:formula1>
          <xm:sqref>L42:L43 L54 M138 M144 M230 M125</xm:sqref>
        </x14:dataValidation>
        <x14:dataValidation type="list" allowBlank="1" showInputMessage="1" showErrorMessage="1" xr:uid="{00000000-0002-0000-2100-00001B000000}">
          <x14:formula1>
            <xm:f>'4% LIHTC ScoringLists'!$D$1:$D$6</xm:f>
          </x14:formula1>
          <xm:sqref>M12</xm:sqref>
        </x14:dataValidation>
        <x14:dataValidation type="list" allowBlank="1" showInputMessage="1" showErrorMessage="1" xr:uid="{00000000-0002-0000-2100-00001C000000}">
          <x14:formula1>
            <xm:f>'4% LIHTC ScoringLists'!$D$19:$D$20</xm:f>
          </x14:formula1>
          <xm:sqref>E72:L72</xm:sqref>
        </x14:dataValidation>
        <x14:dataValidation type="list" allowBlank="1" showInputMessage="1" showErrorMessage="1" xr:uid="{00000000-0002-0000-2100-00001D000000}">
          <x14:formula1>
            <xm:f>'4% LIHTC ScoringLists'!$B$14:$B$19</xm:f>
          </x14:formula1>
          <xm:sqref>E21:E22</xm:sqref>
        </x14:dataValidation>
        <x14:dataValidation type="list" allowBlank="1" showInputMessage="1" showErrorMessage="1" xr:uid="{00000000-0002-0000-2100-00001E000000}">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pageSetUpPr fitToPage="1"/>
  </sheetPr>
  <dimension ref="A1:D115"/>
  <sheetViews>
    <sheetView topLeftCell="A25" workbookViewId="0" xr3:uid="{E6B2BAC2-667D-5CCD-8069-8C8F7D962337}">
      <selection activeCell="B217" sqref="B217"/>
    </sheetView>
  </sheetViews>
  <sheetFormatPr defaultColWidth="9.140625" defaultRowHeight="14.45"/>
  <cols>
    <col min="1" max="1" width="36.7109375" style="1678" bestFit="1" customWidth="1"/>
    <col min="2" max="2" width="115" style="1678" bestFit="1" customWidth="1"/>
    <col min="3" max="16384" width="9.140625" style="1678"/>
  </cols>
  <sheetData>
    <row r="1" spans="1:4">
      <c r="A1" s="1687"/>
      <c r="D1" s="1678">
        <v>0</v>
      </c>
    </row>
    <row r="2" spans="1:4">
      <c r="D2" s="1678">
        <v>2</v>
      </c>
    </row>
    <row r="3" spans="1:4">
      <c r="A3" s="1678" t="s">
        <v>1742</v>
      </c>
      <c r="B3" s="1678" t="s">
        <v>1627</v>
      </c>
      <c r="D3" s="1678">
        <v>4</v>
      </c>
    </row>
    <row r="4" spans="1:4">
      <c r="B4" s="1678" t="s">
        <v>1743</v>
      </c>
      <c r="D4" s="1678">
        <v>6</v>
      </c>
    </row>
    <row r="5" spans="1:4">
      <c r="B5" s="1678" t="s">
        <v>1744</v>
      </c>
      <c r="D5" s="1678">
        <v>8</v>
      </c>
    </row>
    <row r="6" spans="1:4">
      <c r="B6" s="1678" t="s">
        <v>1745</v>
      </c>
      <c r="D6" s="1678">
        <v>10</v>
      </c>
    </row>
    <row r="7" spans="1:4">
      <c r="B7" s="1678" t="s">
        <v>1746</v>
      </c>
    </row>
    <row r="8" spans="1:4">
      <c r="B8" s="1678" t="s">
        <v>1747</v>
      </c>
    </row>
    <row r="9" spans="1:4">
      <c r="B9" s="1678" t="s">
        <v>1748</v>
      </c>
    </row>
    <row r="12" spans="1:4">
      <c r="A12" s="1678" t="s">
        <v>1749</v>
      </c>
      <c r="B12" s="1688">
        <v>0</v>
      </c>
      <c r="D12" s="1678">
        <v>0</v>
      </c>
    </row>
    <row r="13" spans="1:4">
      <c r="B13" s="1688">
        <v>0.1</v>
      </c>
      <c r="D13" s="1678">
        <v>5</v>
      </c>
    </row>
    <row r="14" spans="1:4">
      <c r="B14" s="1688">
        <v>0</v>
      </c>
    </row>
    <row r="15" spans="1:4">
      <c r="B15" s="1688">
        <v>0.3</v>
      </c>
    </row>
    <row r="16" spans="1:4">
      <c r="B16" s="1688">
        <v>0.5</v>
      </c>
      <c r="D16" s="1678">
        <v>0</v>
      </c>
    </row>
    <row r="17" spans="1:4">
      <c r="B17" s="1688">
        <v>0.7</v>
      </c>
      <c r="D17" s="1678">
        <v>10</v>
      </c>
    </row>
    <row r="18" spans="1:4">
      <c r="B18" s="1688">
        <v>0.9</v>
      </c>
      <c r="D18" s="1678" t="s">
        <v>1510</v>
      </c>
    </row>
    <row r="19" spans="1:4">
      <c r="B19" s="1688">
        <v>1</v>
      </c>
      <c r="D19" s="1689" t="s">
        <v>22</v>
      </c>
    </row>
    <row r="20" spans="1:4">
      <c r="D20" s="1689" t="s">
        <v>23</v>
      </c>
    </row>
    <row r="21" spans="1:4">
      <c r="A21" s="1678" t="s">
        <v>1750</v>
      </c>
      <c r="B21" s="1678" t="s">
        <v>1510</v>
      </c>
    </row>
    <row r="22" spans="1:4">
      <c r="B22" s="1690" t="s">
        <v>1751</v>
      </c>
      <c r="D22" s="1678">
        <v>0</v>
      </c>
    </row>
    <row r="23" spans="1:4">
      <c r="B23" s="1690" t="s">
        <v>1752</v>
      </c>
      <c r="D23" s="1678">
        <v>1</v>
      </c>
    </row>
    <row r="24" spans="1:4">
      <c r="B24" s="1690" t="s">
        <v>1753</v>
      </c>
    </row>
    <row r="25" spans="1:4">
      <c r="B25" s="1690" t="s">
        <v>1754</v>
      </c>
      <c r="D25" s="1678">
        <v>0</v>
      </c>
    </row>
    <row r="26" spans="1:4">
      <c r="B26" s="1690" t="s">
        <v>1755</v>
      </c>
      <c r="D26" s="1678">
        <v>3</v>
      </c>
    </row>
    <row r="27" spans="1:4">
      <c r="B27" s="1690" t="s">
        <v>1756</v>
      </c>
    </row>
    <row r="28" spans="1:4">
      <c r="B28" s="1690" t="s">
        <v>1757</v>
      </c>
      <c r="D28" s="1678">
        <v>0</v>
      </c>
    </row>
    <row r="29" spans="1:4">
      <c r="B29" s="1690" t="s">
        <v>1758</v>
      </c>
      <c r="D29" s="1678">
        <v>2</v>
      </c>
    </row>
    <row r="30" spans="1:4">
      <c r="B30" s="1690" t="s">
        <v>1759</v>
      </c>
      <c r="D30" s="1678">
        <v>0</v>
      </c>
    </row>
    <row r="31" spans="1:4">
      <c r="B31" s="1690" t="s">
        <v>1760</v>
      </c>
      <c r="D31" s="1678">
        <v>4</v>
      </c>
    </row>
    <row r="32" spans="1:4">
      <c r="B32" s="1690" t="s">
        <v>1761</v>
      </c>
      <c r="D32" s="1678">
        <v>8</v>
      </c>
    </row>
    <row r="34" spans="1:4">
      <c r="A34" s="1690" t="s">
        <v>1762</v>
      </c>
      <c r="B34" s="1690" t="s">
        <v>1510</v>
      </c>
      <c r="D34" s="1678">
        <v>0</v>
      </c>
    </row>
    <row r="35" spans="1:4">
      <c r="A35" s="1690"/>
      <c r="B35" s="1691" t="s">
        <v>1763</v>
      </c>
      <c r="D35" s="1678">
        <v>1</v>
      </c>
    </row>
    <row r="36" spans="1:4">
      <c r="A36" s="1690"/>
      <c r="B36" s="1691"/>
    </row>
    <row r="37" spans="1:4">
      <c r="A37" s="1690" t="s">
        <v>1764</v>
      </c>
      <c r="B37" s="1690" t="s">
        <v>1510</v>
      </c>
      <c r="D37" s="1678">
        <v>2</v>
      </c>
    </row>
    <row r="38" spans="1:4">
      <c r="A38" s="1690"/>
      <c r="B38" s="1690" t="s">
        <v>1765</v>
      </c>
      <c r="D38" s="1678">
        <v>3</v>
      </c>
    </row>
    <row r="39" spans="1:4">
      <c r="B39" s="1690" t="s">
        <v>1766</v>
      </c>
      <c r="D39" s="1678">
        <v>4</v>
      </c>
    </row>
    <row r="40" spans="1:4">
      <c r="A40" s="1690"/>
      <c r="B40" s="1690" t="s">
        <v>1767</v>
      </c>
      <c r="D40" s="1678">
        <v>5</v>
      </c>
    </row>
    <row r="41" spans="1:4">
      <c r="A41" s="1690"/>
      <c r="B41" s="1690" t="s">
        <v>1768</v>
      </c>
      <c r="D41" s="1678">
        <v>6</v>
      </c>
    </row>
    <row r="42" spans="1:4">
      <c r="A42" s="1690"/>
      <c r="B42" s="1690" t="s">
        <v>1769</v>
      </c>
    </row>
    <row r="43" spans="1:4">
      <c r="A43" s="1690"/>
      <c r="B43" s="1690"/>
    </row>
    <row r="44" spans="1:4">
      <c r="A44" s="1690"/>
      <c r="B44" s="1690"/>
      <c r="D44" s="1678" t="s">
        <v>1484</v>
      </c>
    </row>
    <row r="45" spans="1:4" ht="18.600000000000001">
      <c r="A45" s="1678" t="s">
        <v>1770</v>
      </c>
      <c r="B45" s="1678" t="s">
        <v>1510</v>
      </c>
      <c r="D45" s="1692" t="s">
        <v>76</v>
      </c>
    </row>
    <row r="46" spans="1:4">
      <c r="B46" s="1678" t="s">
        <v>1771</v>
      </c>
      <c r="D46" s="1678">
        <v>0</v>
      </c>
    </row>
    <row r="47" spans="1:4">
      <c r="B47" s="1678" t="s">
        <v>1772</v>
      </c>
      <c r="D47" s="1678">
        <v>3</v>
      </c>
    </row>
    <row r="48" spans="1:4">
      <c r="B48" s="1678" t="s">
        <v>1773</v>
      </c>
      <c r="D48" s="1678">
        <v>6</v>
      </c>
    </row>
    <row r="50" spans="1:2">
      <c r="A50" s="1678" t="s">
        <v>1774</v>
      </c>
      <c r="B50" s="1678" t="s">
        <v>1510</v>
      </c>
    </row>
    <row r="51" spans="1:2">
      <c r="B51" s="1678" t="s">
        <v>1775</v>
      </c>
    </row>
    <row r="52" spans="1:2">
      <c r="B52" s="1678" t="s">
        <v>1776</v>
      </c>
    </row>
    <row r="53" spans="1:2">
      <c r="B53" s="1678" t="s">
        <v>1777</v>
      </c>
    </row>
    <row r="54" spans="1:2">
      <c r="B54" s="1678" t="s">
        <v>1778</v>
      </c>
    </row>
    <row r="55" spans="1:2">
      <c r="B55" s="1678" t="s">
        <v>1779</v>
      </c>
    </row>
    <row r="56" spans="1:2">
      <c r="B56" s="1678" t="s">
        <v>1780</v>
      </c>
    </row>
    <row r="57" spans="1:2">
      <c r="B57" s="1678" t="s">
        <v>1781</v>
      </c>
    </row>
    <row r="60" spans="1:2">
      <c r="A60" s="1678" t="s">
        <v>1782</v>
      </c>
      <c r="B60" s="1678" t="s">
        <v>1783</v>
      </c>
    </row>
    <row r="61" spans="1:2">
      <c r="B61" s="1678" t="s">
        <v>1784</v>
      </c>
    </row>
    <row r="62" spans="1:2">
      <c r="B62" s="1678" t="s">
        <v>1785</v>
      </c>
    </row>
    <row r="63" spans="1:2">
      <c r="B63" s="1678" t="s">
        <v>1786</v>
      </c>
    </row>
    <row r="64" spans="1:2">
      <c r="B64" s="1678" t="s">
        <v>1787</v>
      </c>
    </row>
    <row r="65" spans="1:2">
      <c r="B65" s="1678" t="s">
        <v>1788</v>
      </c>
    </row>
    <row r="66" spans="1:2">
      <c r="A66" s="1690"/>
      <c r="B66" s="1690"/>
    </row>
    <row r="68" spans="1:2">
      <c r="A68" s="1678" t="s">
        <v>1789</v>
      </c>
      <c r="B68" s="1678" t="s">
        <v>1510</v>
      </c>
    </row>
    <row r="69" spans="1:2">
      <c r="B69" s="1678" t="s">
        <v>1790</v>
      </c>
    </row>
    <row r="70" spans="1:2">
      <c r="B70" s="1678" t="s">
        <v>1791</v>
      </c>
    </row>
    <row r="71" spans="1:2">
      <c r="B71" s="1678" t="s">
        <v>1792</v>
      </c>
    </row>
    <row r="72" spans="1:2">
      <c r="B72" s="1678" t="s">
        <v>1793</v>
      </c>
    </row>
    <row r="75" spans="1:2">
      <c r="A75" s="1690" t="s">
        <v>1794</v>
      </c>
      <c r="B75" s="1678" t="s">
        <v>1510</v>
      </c>
    </row>
    <row r="76" spans="1:2">
      <c r="A76" s="1690"/>
      <c r="B76" s="1690" t="s">
        <v>1795</v>
      </c>
    </row>
    <row r="77" spans="1:2">
      <c r="A77" s="1690"/>
      <c r="B77" s="1690" t="s">
        <v>1796</v>
      </c>
    </row>
    <row r="78" spans="1:2">
      <c r="A78" s="1690"/>
      <c r="B78" s="1690" t="s">
        <v>1797</v>
      </c>
    </row>
    <row r="79" spans="1:2">
      <c r="A79" s="1690"/>
      <c r="B79" s="1690"/>
    </row>
    <row r="80" spans="1:2">
      <c r="A80" s="1690"/>
      <c r="B80" s="1690"/>
    </row>
    <row r="81" spans="1:2">
      <c r="A81" s="1690" t="s">
        <v>1798</v>
      </c>
      <c r="B81" s="1678" t="s">
        <v>1510</v>
      </c>
    </row>
    <row r="82" spans="1:2">
      <c r="A82" s="1690"/>
      <c r="B82" s="1690" t="s">
        <v>1799</v>
      </c>
    </row>
    <row r="83" spans="1:2">
      <c r="A83" s="1690"/>
      <c r="B83" s="1690" t="s">
        <v>1800</v>
      </c>
    </row>
    <row r="86" spans="1:2">
      <c r="A86" s="1678" t="s">
        <v>1801</v>
      </c>
      <c r="B86" s="1693">
        <v>0</v>
      </c>
    </row>
    <row r="87" spans="1:2">
      <c r="B87" s="1693">
        <v>0.1</v>
      </c>
    </row>
    <row r="89" spans="1:2">
      <c r="A89" s="1678" t="s">
        <v>1802</v>
      </c>
      <c r="B89" s="1693">
        <v>0</v>
      </c>
    </row>
    <row r="90" spans="1:2">
      <c r="B90" s="1693">
        <v>0.3</v>
      </c>
    </row>
    <row r="91" spans="1:2">
      <c r="B91" s="1693">
        <v>0.5</v>
      </c>
    </row>
    <row r="92" spans="1:2">
      <c r="B92" s="1693">
        <v>0.7</v>
      </c>
    </row>
    <row r="93" spans="1:2">
      <c r="B93" s="1693">
        <v>1</v>
      </c>
    </row>
    <row r="95" spans="1:2">
      <c r="A95" s="1678" t="s">
        <v>1803</v>
      </c>
      <c r="B95" s="1693">
        <v>1</v>
      </c>
    </row>
    <row r="96" spans="1:2">
      <c r="B96" s="1693">
        <v>0.9</v>
      </c>
    </row>
    <row r="97" spans="1:2">
      <c r="B97" s="1693">
        <v>0.7</v>
      </c>
    </row>
    <row r="98" spans="1:2">
      <c r="B98" s="1693">
        <v>0.5</v>
      </c>
    </row>
    <row r="99" spans="1:2">
      <c r="B99" s="1693">
        <v>0.3</v>
      </c>
    </row>
    <row r="100" spans="1:2">
      <c r="B100" s="1693">
        <v>0</v>
      </c>
    </row>
    <row r="102" spans="1:2">
      <c r="A102" s="1678" t="s">
        <v>1804</v>
      </c>
      <c r="B102" s="1678" t="s">
        <v>1510</v>
      </c>
    </row>
    <row r="103" spans="1:2">
      <c r="B103" s="1678" t="s">
        <v>1719</v>
      </c>
    </row>
    <row r="104" spans="1:2">
      <c r="B104" s="1678" t="s">
        <v>1720</v>
      </c>
    </row>
    <row r="111" spans="1:2">
      <c r="B111" s="1678" t="s">
        <v>1805</v>
      </c>
    </row>
    <row r="112" spans="1:2">
      <c r="A112" s="1678" t="s">
        <v>1806</v>
      </c>
      <c r="B112" s="1678" t="s">
        <v>1510</v>
      </c>
    </row>
    <row r="113" spans="1:2">
      <c r="B113" s="1678" t="s">
        <v>1807</v>
      </c>
    </row>
    <row r="114" spans="1:2">
      <c r="A114" s="1678" t="s">
        <v>1808</v>
      </c>
      <c r="B114" s="1678" t="s">
        <v>1510</v>
      </c>
    </row>
    <row r="115" spans="1:2">
      <c r="B115" s="1973" t="s">
        <v>1809</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B307"/>
  <sheetViews>
    <sheetView topLeftCell="A197" workbookViewId="0" xr3:uid="{BF3E6036-5CFF-541C-9DD1-8B260238869F}">
      <selection activeCell="B217" sqref="B217"/>
    </sheetView>
  </sheetViews>
  <sheetFormatPr defaultColWidth="9.140625" defaultRowHeight="14.45"/>
  <cols>
    <col min="1" max="1" width="42" style="1753" customWidth="1"/>
    <col min="2" max="2" width="83" style="1753" bestFit="1" customWidth="1"/>
    <col min="3" max="16384" width="9.140625" style="1753"/>
  </cols>
  <sheetData>
    <row r="1" spans="1:2">
      <c r="A1" s="1752"/>
    </row>
    <row r="2" spans="1:2">
      <c r="A2" s="1753" t="s">
        <v>1810</v>
      </c>
      <c r="B2" s="1753" t="s">
        <v>1811</v>
      </c>
    </row>
    <row r="3" spans="1:2">
      <c r="B3" s="1753" t="s">
        <v>1812</v>
      </c>
    </row>
    <row r="4" spans="1:2">
      <c r="B4" s="1753" t="s">
        <v>1813</v>
      </c>
    </row>
    <row r="5" spans="1:2">
      <c r="B5" s="1753" t="s">
        <v>1814</v>
      </c>
    </row>
    <row r="6" spans="1:2">
      <c r="A6" s="1752"/>
      <c r="B6" s="1753" t="s">
        <v>1815</v>
      </c>
    </row>
    <row r="7" spans="1:2">
      <c r="A7" s="1752"/>
      <c r="B7" s="1753" t="s">
        <v>1816</v>
      </c>
    </row>
    <row r="8" spans="1:2">
      <c r="A8" s="1752"/>
      <c r="B8" s="1753" t="s">
        <v>1817</v>
      </c>
    </row>
    <row r="9" spans="1:2">
      <c r="A9" s="1752"/>
      <c r="B9" s="1753" t="s">
        <v>1818</v>
      </c>
    </row>
    <row r="10" spans="1:2">
      <c r="A10" s="1752"/>
      <c r="B10" s="1753" t="s">
        <v>665</v>
      </c>
    </row>
    <row r="11" spans="1:2">
      <c r="A11" s="1752"/>
      <c r="B11" s="1753" t="s">
        <v>1819</v>
      </c>
    </row>
    <row r="12" spans="1:2">
      <c r="A12" s="1752"/>
      <c r="B12" s="1753" t="s">
        <v>1820</v>
      </c>
    </row>
    <row r="13" spans="1:2">
      <c r="A13" s="1752"/>
      <c r="B13" s="1753" t="s">
        <v>1821</v>
      </c>
    </row>
    <row r="14" spans="1:2">
      <c r="A14" s="1752"/>
      <c r="B14" s="1753" t="s">
        <v>1822</v>
      </c>
    </row>
    <row r="15" spans="1:2">
      <c r="A15" s="1752"/>
      <c r="B15" s="1753" t="s">
        <v>1823</v>
      </c>
    </row>
    <row r="16" spans="1:2">
      <c r="A16" s="1752"/>
      <c r="B16" s="1753" t="s">
        <v>1824</v>
      </c>
    </row>
    <row r="17" spans="1:2">
      <c r="A17" s="1752"/>
      <c r="B17" s="1753" t="s">
        <v>1825</v>
      </c>
    </row>
    <row r="18" spans="1:2">
      <c r="A18" s="1752"/>
      <c r="B18" s="1753" t="s">
        <v>1826</v>
      </c>
    </row>
    <row r="19" spans="1:2">
      <c r="A19" s="1752"/>
      <c r="B19" s="1753" t="s">
        <v>1827</v>
      </c>
    </row>
    <row r="20" spans="1:2">
      <c r="A20" s="1752"/>
      <c r="B20" s="1753" t="s">
        <v>1828</v>
      </c>
    </row>
    <row r="21" spans="1:2">
      <c r="A21" s="1752"/>
    </row>
    <row r="22" spans="1:2">
      <c r="A22" s="1752"/>
      <c r="B22" s="1753" t="s">
        <v>1484</v>
      </c>
    </row>
    <row r="23" spans="1:2">
      <c r="A23" s="1753" t="s">
        <v>1829</v>
      </c>
      <c r="B23" s="1753" t="s">
        <v>1830</v>
      </c>
    </row>
    <row r="24" spans="1:2">
      <c r="B24" s="1753" t="s">
        <v>1831</v>
      </c>
    </row>
    <row r="25" spans="1:2">
      <c r="B25" s="1753" t="s">
        <v>1832</v>
      </c>
    </row>
    <row r="26" spans="1:2">
      <c r="B26" s="1753" t="s">
        <v>1833</v>
      </c>
    </row>
    <row r="27" spans="1:2">
      <c r="B27" s="1753" t="s">
        <v>1834</v>
      </c>
    </row>
    <row r="28" spans="1:2">
      <c r="B28" s="1753" t="s">
        <v>1835</v>
      </c>
    </row>
    <row r="29" spans="1:2">
      <c r="B29" s="1753" t="s">
        <v>1836</v>
      </c>
    </row>
    <row r="30" spans="1:2">
      <c r="B30" s="1753" t="s">
        <v>1837</v>
      </c>
    </row>
    <row r="31" spans="1:2">
      <c r="B31" s="1753" t="s">
        <v>1838</v>
      </c>
    </row>
    <row r="32" spans="1:2">
      <c r="B32" s="1753" t="s">
        <v>1839</v>
      </c>
    </row>
    <row r="33" spans="1:2">
      <c r="B33" s="1754" t="s">
        <v>1840</v>
      </c>
    </row>
    <row r="34" spans="1:2">
      <c r="B34" s="1753" t="s">
        <v>1841</v>
      </c>
    </row>
    <row r="35" spans="1:2">
      <c r="B35" s="1754" t="s">
        <v>1842</v>
      </c>
    </row>
    <row r="36" spans="1:2">
      <c r="B36" s="1754" t="s">
        <v>1843</v>
      </c>
    </row>
    <row r="37" spans="1:2">
      <c r="B37" s="1754" t="s">
        <v>1844</v>
      </c>
    </row>
    <row r="38" spans="1:2">
      <c r="B38" s="1754" t="s">
        <v>1845</v>
      </c>
    </row>
    <row r="39" spans="1:2">
      <c r="B39" s="1754" t="s">
        <v>1846</v>
      </c>
    </row>
    <row r="40" spans="1:2">
      <c r="B40" s="1753" t="s">
        <v>1847</v>
      </c>
    </row>
    <row r="41" spans="1:2">
      <c r="B41" s="1753" t="s">
        <v>1848</v>
      </c>
    </row>
    <row r="42" spans="1:2">
      <c r="B42" s="1753" t="s">
        <v>1849</v>
      </c>
    </row>
    <row r="44" spans="1:2">
      <c r="A44" s="1752"/>
      <c r="B44" s="1753" t="s">
        <v>1482</v>
      </c>
    </row>
    <row r="45" spans="1:2">
      <c r="A45" s="1753" t="s">
        <v>1850</v>
      </c>
      <c r="B45" s="1753" t="s">
        <v>1851</v>
      </c>
    </row>
    <row r="46" spans="1:2">
      <c r="B46" s="1753" t="s">
        <v>1852</v>
      </c>
    </row>
    <row r="47" spans="1:2">
      <c r="B47" s="1753" t="s">
        <v>1853</v>
      </c>
    </row>
    <row r="48" spans="1:2">
      <c r="B48" s="1753" t="s">
        <v>1854</v>
      </c>
    </row>
    <row r="49" spans="2:2">
      <c r="B49" s="1753" t="s">
        <v>1855</v>
      </c>
    </row>
    <row r="50" spans="2:2">
      <c r="B50" s="1753" t="s">
        <v>1856</v>
      </c>
    </row>
    <row r="51" spans="2:2">
      <c r="B51" s="1753" t="s">
        <v>1857</v>
      </c>
    </row>
    <row r="52" spans="2:2">
      <c r="B52" s="1753" t="s">
        <v>1858</v>
      </c>
    </row>
    <row r="53" spans="2:2">
      <c r="B53" s="1753" t="s">
        <v>1859</v>
      </c>
    </row>
    <row r="54" spans="2:2">
      <c r="B54" s="1753" t="s">
        <v>41</v>
      </c>
    </row>
    <row r="55" spans="2:2">
      <c r="B55" s="1753" t="s">
        <v>1860</v>
      </c>
    </row>
    <row r="56" spans="2:2">
      <c r="B56" s="1753" t="s">
        <v>1861</v>
      </c>
    </row>
    <row r="57" spans="2:2">
      <c r="B57" s="1753" t="s">
        <v>1862</v>
      </c>
    </row>
    <row r="58" spans="2:2">
      <c r="B58" s="1753" t="s">
        <v>1863</v>
      </c>
    </row>
    <row r="59" spans="2:2">
      <c r="B59" s="1753" t="s">
        <v>1864</v>
      </c>
    </row>
    <row r="60" spans="2:2">
      <c r="B60" s="1753" t="s">
        <v>1865</v>
      </c>
    </row>
    <row r="61" spans="2:2">
      <c r="B61" s="1753" t="s">
        <v>1866</v>
      </c>
    </row>
    <row r="62" spans="2:2">
      <c r="B62" s="1753" t="s">
        <v>1867</v>
      </c>
    </row>
    <row r="63" spans="2:2">
      <c r="B63" s="1753" t="s">
        <v>1868</v>
      </c>
    </row>
    <row r="64" spans="2:2">
      <c r="B64" s="1753" t="s">
        <v>1869</v>
      </c>
    </row>
    <row r="65" spans="1:2">
      <c r="B65" s="1753" t="s">
        <v>1870</v>
      </c>
    </row>
    <row r="66" spans="1:2">
      <c r="B66" s="1753" t="s">
        <v>1871</v>
      </c>
    </row>
    <row r="67" spans="1:2">
      <c r="B67" s="1753" t="s">
        <v>1872</v>
      </c>
    </row>
    <row r="69" spans="1:2">
      <c r="A69" s="1752"/>
      <c r="B69" s="1753" t="s">
        <v>1484</v>
      </c>
    </row>
    <row r="70" spans="1:2">
      <c r="A70" s="1753" t="s">
        <v>1873</v>
      </c>
      <c r="B70" s="1753" t="s">
        <v>1874</v>
      </c>
    </row>
    <row r="71" spans="1:2">
      <c r="B71" s="1753" t="s">
        <v>1875</v>
      </c>
    </row>
    <row r="72" spans="1:2">
      <c r="B72" s="1753" t="s">
        <v>1876</v>
      </c>
    </row>
    <row r="73" spans="1:2">
      <c r="B73" s="1753" t="s">
        <v>1877</v>
      </c>
    </row>
    <row r="74" spans="1:2">
      <c r="B74" s="1753" t="s">
        <v>1878</v>
      </c>
    </row>
    <row r="75" spans="1:2">
      <c r="B75" s="1753" t="s">
        <v>1879</v>
      </c>
    </row>
    <row r="76" spans="1:2">
      <c r="B76" s="1753" t="s">
        <v>1880</v>
      </c>
    </row>
    <row r="77" spans="1:2">
      <c r="B77" s="1753" t="s">
        <v>1881</v>
      </c>
    </row>
    <row r="78" spans="1:2">
      <c r="B78" s="1753" t="s">
        <v>1882</v>
      </c>
    </row>
    <row r="79" spans="1:2">
      <c r="B79" s="1753" t="s">
        <v>1883</v>
      </c>
    </row>
    <row r="80" spans="1:2">
      <c r="B80" s="1753" t="s">
        <v>1884</v>
      </c>
    </row>
    <row r="81" spans="1:2">
      <c r="B81" s="1753" t="s">
        <v>1885</v>
      </c>
    </row>
    <row r="82" spans="1:2">
      <c r="B82" s="1753" t="s">
        <v>1842</v>
      </c>
    </row>
    <row r="83" spans="1:2">
      <c r="B83" s="1753" t="s">
        <v>1886</v>
      </c>
    </row>
    <row r="84" spans="1:2">
      <c r="B84" s="1753" t="s">
        <v>1887</v>
      </c>
    </row>
    <row r="85" spans="1:2">
      <c r="B85" s="1754" t="s">
        <v>1888</v>
      </c>
    </row>
    <row r="86" spans="1:2">
      <c r="B86" s="1754" t="s">
        <v>1846</v>
      </c>
    </row>
    <row r="87" spans="1:2">
      <c r="B87" s="1754" t="s">
        <v>1889</v>
      </c>
    </row>
    <row r="88" spans="1:2">
      <c r="B88" s="1754" t="s">
        <v>1890</v>
      </c>
    </row>
    <row r="89" spans="1:2">
      <c r="B89" s="1754" t="s">
        <v>1891</v>
      </c>
    </row>
    <row r="91" spans="1:2">
      <c r="A91" s="1752"/>
      <c r="B91" s="1755">
        <v>0</v>
      </c>
    </row>
    <row r="92" spans="1:2">
      <c r="A92" s="1753" t="s">
        <v>1892</v>
      </c>
      <c r="B92" s="1755">
        <v>0.1</v>
      </c>
    </row>
    <row r="93" spans="1:2">
      <c r="B93" s="1755">
        <v>0.2</v>
      </c>
    </row>
    <row r="94" spans="1:2">
      <c r="B94" s="1755">
        <v>0.25</v>
      </c>
    </row>
    <row r="95" spans="1:2">
      <c r="B95" s="1755">
        <v>0.3</v>
      </c>
    </row>
    <row r="96" spans="1:2">
      <c r="B96" s="1755">
        <v>0.4</v>
      </c>
    </row>
    <row r="97" spans="1:2">
      <c r="B97" s="1755">
        <v>0.5</v>
      </c>
    </row>
    <row r="98" spans="1:2">
      <c r="B98" s="1755">
        <v>0.6</v>
      </c>
    </row>
    <row r="99" spans="1:2">
      <c r="B99" s="1755">
        <v>0.75</v>
      </c>
    </row>
    <row r="100" spans="1:2">
      <c r="B100" s="1755">
        <v>1</v>
      </c>
    </row>
    <row r="102" spans="1:2">
      <c r="A102" s="1752"/>
      <c r="B102" s="1753" t="s">
        <v>1510</v>
      </c>
    </row>
    <row r="103" spans="1:2">
      <c r="A103" s="1753" t="s">
        <v>1893</v>
      </c>
      <c r="B103" s="1756" t="s">
        <v>1894</v>
      </c>
    </row>
    <row r="104" spans="1:2">
      <c r="B104" s="1756" t="s">
        <v>1895</v>
      </c>
    </row>
    <row r="105" spans="1:2">
      <c r="B105" s="1756" t="s">
        <v>1896</v>
      </c>
    </row>
    <row r="106" spans="1:2">
      <c r="B106" s="1756" t="s">
        <v>1897</v>
      </c>
    </row>
    <row r="107" spans="1:2">
      <c r="B107" s="1756" t="s">
        <v>1898</v>
      </c>
    </row>
    <row r="108" spans="1:2">
      <c r="B108" s="1756" t="s">
        <v>1899</v>
      </c>
    </row>
    <row r="109" spans="1:2">
      <c r="B109" s="1756" t="s">
        <v>1900</v>
      </c>
    </row>
    <row r="110" spans="1:2">
      <c r="B110" s="1756" t="s">
        <v>1901</v>
      </c>
    </row>
    <row r="111" spans="1:2">
      <c r="B111" s="1756" t="s">
        <v>1902</v>
      </c>
    </row>
    <row r="112" spans="1:2">
      <c r="B112" s="1756" t="s">
        <v>1903</v>
      </c>
    </row>
    <row r="113" spans="1:2">
      <c r="B113" s="1756" t="s">
        <v>1904</v>
      </c>
    </row>
    <row r="114" spans="1:2">
      <c r="B114" s="1756" t="s">
        <v>1905</v>
      </c>
    </row>
    <row r="115" spans="1:2">
      <c r="B115" s="1756" t="s">
        <v>1906</v>
      </c>
    </row>
    <row r="116" spans="1:2">
      <c r="B116" s="1756" t="s">
        <v>1907</v>
      </c>
    </row>
    <row r="117" spans="1:2">
      <c r="B117" s="1756" t="s">
        <v>1908</v>
      </c>
    </row>
    <row r="118" spans="1:2">
      <c r="B118" s="1756" t="s">
        <v>1909</v>
      </c>
    </row>
    <row r="119" spans="1:2">
      <c r="B119" s="1756" t="s">
        <v>1910</v>
      </c>
    </row>
    <row r="120" spans="1:2">
      <c r="B120" s="1756" t="s">
        <v>1911</v>
      </c>
    </row>
    <row r="121" spans="1:2">
      <c r="B121" s="1756" t="s">
        <v>1912</v>
      </c>
    </row>
    <row r="122" spans="1:2">
      <c r="B122" s="1756" t="s">
        <v>1913</v>
      </c>
    </row>
    <row r="123" spans="1:2">
      <c r="B123" s="1756" t="s">
        <v>1914</v>
      </c>
    </row>
    <row r="124" spans="1:2">
      <c r="B124" s="1756" t="s">
        <v>1499</v>
      </c>
    </row>
    <row r="126" spans="1:2">
      <c r="A126" s="1756"/>
      <c r="B126" s="1756" t="s">
        <v>1510</v>
      </c>
    </row>
    <row r="127" spans="1:2">
      <c r="A127" s="1756" t="s">
        <v>1915</v>
      </c>
      <c r="B127" s="1757" t="s">
        <v>1504</v>
      </c>
    </row>
    <row r="128" spans="1:2">
      <c r="A128" s="1756"/>
      <c r="B128" s="1757" t="s">
        <v>1916</v>
      </c>
    </row>
    <row r="129" spans="1:2">
      <c r="A129" s="1756"/>
    </row>
    <row r="130" spans="1:2">
      <c r="A130" s="1756"/>
    </row>
    <row r="131" spans="1:2">
      <c r="A131" s="1756"/>
      <c r="B131" s="1757"/>
    </row>
    <row r="132" spans="1:2">
      <c r="A132" s="1756"/>
      <c r="B132" s="1756"/>
    </row>
    <row r="133" spans="1:2">
      <c r="A133" s="1756"/>
      <c r="B133" s="1756" t="s">
        <v>1510</v>
      </c>
    </row>
    <row r="134" spans="1:2">
      <c r="A134" s="1756" t="s">
        <v>1917</v>
      </c>
      <c r="B134" s="1756" t="s">
        <v>1918</v>
      </c>
    </row>
    <row r="135" spans="1:2">
      <c r="A135" s="1756"/>
      <c r="B135" s="1756" t="s">
        <v>1919</v>
      </c>
    </row>
    <row r="136" spans="1:2">
      <c r="A136" s="1756"/>
      <c r="B136" s="1757" t="s">
        <v>1920</v>
      </c>
    </row>
    <row r="137" spans="1:2">
      <c r="A137" s="1756"/>
      <c r="B137" s="1757" t="s">
        <v>1509</v>
      </c>
    </row>
    <row r="138" spans="1:2">
      <c r="A138" s="1756"/>
      <c r="B138" s="1757" t="s">
        <v>1921</v>
      </c>
    </row>
    <row r="139" spans="1:2">
      <c r="A139" s="1756"/>
      <c r="B139" s="1758" t="s">
        <v>1922</v>
      </c>
    </row>
    <row r="140" spans="1:2">
      <c r="A140" s="1756"/>
      <c r="B140" s="1758" t="s">
        <v>1923</v>
      </c>
    </row>
    <row r="141" spans="1:2">
      <c r="A141" s="1756"/>
      <c r="B141" s="1758" t="s">
        <v>1924</v>
      </c>
    </row>
    <row r="142" spans="1:2">
      <c r="A142" s="1756"/>
      <c r="B142" s="1756"/>
    </row>
    <row r="143" spans="1:2">
      <c r="A143" s="1756"/>
      <c r="B143" s="1756" t="s">
        <v>1925</v>
      </c>
    </row>
    <row r="144" spans="1:2">
      <c r="A144" s="1756" t="s">
        <v>1926</v>
      </c>
      <c r="B144" s="1756" t="s">
        <v>863</v>
      </c>
    </row>
    <row r="145" spans="1:2">
      <c r="B145" s="1756" t="s">
        <v>1927</v>
      </c>
    </row>
    <row r="146" spans="1:2">
      <c r="A146" s="1756"/>
      <c r="B146" s="1756" t="s">
        <v>1928</v>
      </c>
    </row>
    <row r="147" spans="1:2">
      <c r="A147" s="1756"/>
      <c r="B147" s="1756" t="s">
        <v>1929</v>
      </c>
    </row>
    <row r="148" spans="1:2">
      <c r="A148" s="1756"/>
      <c r="B148" s="1756" t="s">
        <v>1930</v>
      </c>
    </row>
    <row r="149" spans="1:2">
      <c r="A149" s="1756"/>
      <c r="B149" s="1756" t="s">
        <v>1931</v>
      </c>
    </row>
    <row r="150" spans="1:2">
      <c r="A150" s="1756"/>
      <c r="B150" s="1756" t="s">
        <v>1932</v>
      </c>
    </row>
    <row r="151" spans="1:2">
      <c r="A151" s="1756"/>
    </row>
    <row r="152" spans="1:2">
      <c r="A152" s="1756"/>
      <c r="B152" s="1753" t="s">
        <v>1933</v>
      </c>
    </row>
    <row r="153" spans="1:2">
      <c r="A153" s="1756" t="s">
        <v>1934</v>
      </c>
      <c r="B153" s="1758" t="s">
        <v>1935</v>
      </c>
    </row>
    <row r="154" spans="1:2">
      <c r="B154" s="1758" t="s">
        <v>1936</v>
      </c>
    </row>
    <row r="155" spans="1:2">
      <c r="A155" s="1756"/>
      <c r="B155" s="1758">
        <v>2060</v>
      </c>
    </row>
    <row r="156" spans="1:2">
      <c r="A156" s="1756"/>
      <c r="B156" s="1758">
        <v>2163</v>
      </c>
    </row>
    <row r="157" spans="1:2">
      <c r="A157" s="1756"/>
      <c r="B157" s="1758" t="s">
        <v>1937</v>
      </c>
    </row>
    <row r="158" spans="1:2">
      <c r="A158" s="1756"/>
      <c r="B158" s="1756" t="s">
        <v>1938</v>
      </c>
    </row>
    <row r="159" spans="1:2">
      <c r="A159" s="1756"/>
      <c r="B159" s="1756" t="s">
        <v>1939</v>
      </c>
    </row>
    <row r="160" spans="1:2">
      <c r="A160" s="1756"/>
      <c r="B160" s="1756" t="s">
        <v>1940</v>
      </c>
    </row>
    <row r="161" spans="1:2">
      <c r="A161" s="1756"/>
      <c r="B161" s="1756" t="s">
        <v>1941</v>
      </c>
    </row>
    <row r="162" spans="1:2">
      <c r="A162" s="1756"/>
      <c r="B162" s="1756" t="s">
        <v>1942</v>
      </c>
    </row>
    <row r="163" spans="1:2">
      <c r="A163" s="1756"/>
      <c r="B163" s="1756" t="s">
        <v>1943</v>
      </c>
    </row>
    <row r="164" spans="1:2">
      <c r="A164" s="1756"/>
      <c r="B164" s="1756" t="s">
        <v>1944</v>
      </c>
    </row>
    <row r="165" spans="1:2">
      <c r="A165" s="1756"/>
      <c r="B165" s="1756"/>
    </row>
    <row r="166" spans="1:2">
      <c r="A166" s="1756"/>
      <c r="B166" s="1756" t="s">
        <v>1933</v>
      </c>
    </row>
    <row r="167" spans="1:2">
      <c r="A167" s="1756" t="s">
        <v>1945</v>
      </c>
      <c r="B167" s="1756" t="s">
        <v>926</v>
      </c>
    </row>
    <row r="168" spans="1:2">
      <c r="B168" s="1756" t="s">
        <v>1946</v>
      </c>
    </row>
    <row r="169" spans="1:2">
      <c r="A169" s="1756"/>
      <c r="B169" s="1756" t="s">
        <v>1937</v>
      </c>
    </row>
    <row r="170" spans="1:2">
      <c r="A170" s="1756"/>
      <c r="B170" s="1756" t="s">
        <v>1947</v>
      </c>
    </row>
    <row r="171" spans="1:2">
      <c r="A171" s="1756"/>
      <c r="B171" s="1756" t="s">
        <v>1948</v>
      </c>
    </row>
    <row r="172" spans="1:2">
      <c r="A172" s="1756"/>
      <c r="B172" s="1756" t="s">
        <v>1949</v>
      </c>
    </row>
    <row r="173" spans="1:2">
      <c r="A173" s="1756"/>
      <c r="B173" s="1756"/>
    </row>
    <row r="174" spans="1:2">
      <c r="A174" s="1756"/>
      <c r="B174" s="1753" t="s">
        <v>1484</v>
      </c>
    </row>
    <row r="175" spans="1:2">
      <c r="A175" s="1756" t="s">
        <v>1950</v>
      </c>
      <c r="B175" s="1758" t="s">
        <v>1951</v>
      </c>
    </row>
    <row r="176" spans="1:2">
      <c r="A176" s="1756"/>
      <c r="B176" s="1758" t="s">
        <v>1952</v>
      </c>
    </row>
    <row r="177" spans="1:2">
      <c r="A177" s="1756"/>
      <c r="B177" s="1758" t="s">
        <v>1953</v>
      </c>
    </row>
    <row r="178" spans="1:2">
      <c r="A178" s="1756"/>
      <c r="B178" s="1758" t="s">
        <v>1954</v>
      </c>
    </row>
    <row r="179" spans="1:2">
      <c r="A179" s="1756"/>
      <c r="B179" s="1758" t="s">
        <v>1955</v>
      </c>
    </row>
    <row r="180" spans="1:2">
      <c r="A180" s="1756"/>
      <c r="B180" s="1756" t="s">
        <v>1956</v>
      </c>
    </row>
    <row r="181" spans="1:2">
      <c r="A181" s="1756"/>
      <c r="B181" s="1756"/>
    </row>
    <row r="182" spans="1:2">
      <c r="A182" s="1756"/>
      <c r="B182" s="1756" t="s">
        <v>1957</v>
      </c>
    </row>
    <row r="183" spans="1:2">
      <c r="A183" s="1756" t="s">
        <v>1958</v>
      </c>
      <c r="B183" s="1756" t="s">
        <v>1959</v>
      </c>
    </row>
    <row r="184" spans="1:2">
      <c r="A184" s="1756"/>
      <c r="B184" s="1756" t="s">
        <v>1536</v>
      </c>
    </row>
    <row r="185" spans="1:2">
      <c r="A185" s="1756"/>
      <c r="B185" s="1756"/>
    </row>
    <row r="186" spans="1:2">
      <c r="A186" s="1756"/>
      <c r="B186" s="1753" t="s">
        <v>1960</v>
      </c>
    </row>
    <row r="187" spans="1:2">
      <c r="A187" s="1756" t="s">
        <v>1961</v>
      </c>
      <c r="B187" s="1756" t="s">
        <v>1962</v>
      </c>
    </row>
    <row r="188" spans="1:2">
      <c r="A188" s="1756"/>
      <c r="B188" s="1756" t="s">
        <v>1963</v>
      </c>
    </row>
    <row r="189" spans="1:2">
      <c r="A189" s="1756"/>
      <c r="B189" s="1756" t="s">
        <v>1964</v>
      </c>
    </row>
    <row r="190" spans="1:2">
      <c r="A190" s="1756"/>
      <c r="B190" s="1759" t="s">
        <v>1502</v>
      </c>
    </row>
    <row r="191" spans="1:2">
      <c r="A191" s="1756"/>
      <c r="B191" s="1756"/>
    </row>
    <row r="192" spans="1:2">
      <c r="A192" s="1756"/>
      <c r="B192" s="1756" t="s">
        <v>1548</v>
      </c>
    </row>
    <row r="193" spans="1:2">
      <c r="A193" s="1756" t="s">
        <v>1965</v>
      </c>
      <c r="B193" s="1756" t="s">
        <v>1966</v>
      </c>
    </row>
    <row r="194" spans="1:2">
      <c r="A194" s="1756"/>
      <c r="B194" s="1756" t="s">
        <v>1967</v>
      </c>
    </row>
    <row r="195" spans="1:2">
      <c r="A195" s="1756"/>
      <c r="B195" s="1756" t="s">
        <v>1968</v>
      </c>
    </row>
    <row r="196" spans="1:2">
      <c r="A196" s="1756"/>
      <c r="B196" s="1756" t="s">
        <v>1969</v>
      </c>
    </row>
    <row r="197" spans="1:2">
      <c r="A197" s="1756"/>
      <c r="B197" s="1756" t="s">
        <v>1788</v>
      </c>
    </row>
    <row r="198" spans="1:2">
      <c r="A198" s="1756"/>
      <c r="B198" s="1756"/>
    </row>
    <row r="199" spans="1:2">
      <c r="A199" s="1756"/>
      <c r="B199" s="1756" t="s">
        <v>1553</v>
      </c>
    </row>
    <row r="200" spans="1:2">
      <c r="A200" s="1756"/>
      <c r="B200" s="1756" t="s">
        <v>1970</v>
      </c>
    </row>
    <row r="201" spans="1:2">
      <c r="A201" s="1756" t="s">
        <v>1971</v>
      </c>
      <c r="B201" s="1756" t="s">
        <v>1972</v>
      </c>
    </row>
    <row r="202" spans="1:2">
      <c r="A202" s="1756"/>
      <c r="B202" s="1756" t="s">
        <v>1973</v>
      </c>
    </row>
    <row r="203" spans="1:2">
      <c r="A203" s="1756"/>
      <c r="B203" s="1756"/>
    </row>
    <row r="204" spans="1:2">
      <c r="A204" s="1756"/>
      <c r="B204" s="1756"/>
    </row>
    <row r="205" spans="1:2">
      <c r="A205" s="1756"/>
      <c r="B205" s="1756"/>
    </row>
    <row r="206" spans="1:2">
      <c r="A206" s="1756"/>
      <c r="B206" s="1756"/>
    </row>
    <row r="207" spans="1:2">
      <c r="A207" s="1756"/>
      <c r="B207" s="1756" t="s">
        <v>1562</v>
      </c>
    </row>
    <row r="208" spans="1:2">
      <c r="A208" s="1756" t="s">
        <v>1974</v>
      </c>
      <c r="B208" s="1756" t="s">
        <v>1975</v>
      </c>
    </row>
    <row r="209" spans="1:2">
      <c r="A209" s="1756"/>
      <c r="B209" s="1756" t="s">
        <v>1976</v>
      </c>
    </row>
    <row r="210" spans="1:2">
      <c r="A210" s="1756"/>
      <c r="B210" s="1756"/>
    </row>
    <row r="211" spans="1:2">
      <c r="A211" s="1756"/>
      <c r="B211" s="1756" t="s">
        <v>1977</v>
      </c>
    </row>
    <row r="212" spans="1:2">
      <c r="A212" s="1756" t="s">
        <v>1978</v>
      </c>
      <c r="B212" s="1756" t="s">
        <v>1979</v>
      </c>
    </row>
    <row r="213" spans="1:2">
      <c r="A213" s="1756"/>
      <c r="B213" s="1756" t="s">
        <v>1980</v>
      </c>
    </row>
    <row r="214" spans="1:2">
      <c r="A214" s="1756"/>
      <c r="B214" s="1756" t="s">
        <v>1981</v>
      </c>
    </row>
    <row r="215" spans="1:2">
      <c r="A215" s="1756"/>
      <c r="B215" s="1756" t="s">
        <v>1982</v>
      </c>
    </row>
    <row r="216" spans="1:2">
      <c r="A216" s="1756"/>
      <c r="B216" s="1756" t="s">
        <v>1983</v>
      </c>
    </row>
    <row r="217" spans="1:2">
      <c r="A217" s="1756"/>
      <c r="B217" s="1756" t="s">
        <v>1984</v>
      </c>
    </row>
    <row r="218" spans="1:2">
      <c r="A218" s="1756"/>
      <c r="B218" s="1756" t="s">
        <v>1985</v>
      </c>
    </row>
    <row r="219" spans="1:2">
      <c r="A219" s="1756"/>
      <c r="B219" s="1756" t="s">
        <v>1986</v>
      </c>
    </row>
    <row r="220" spans="1:2">
      <c r="A220" s="1756"/>
      <c r="B220" s="1756" t="s">
        <v>1987</v>
      </c>
    </row>
    <row r="221" spans="1:2">
      <c r="A221" s="1756"/>
      <c r="B221" s="1756" t="s">
        <v>1988</v>
      </c>
    </row>
    <row r="222" spans="1:2">
      <c r="A222" s="1756"/>
      <c r="B222" s="1756" t="s">
        <v>1989</v>
      </c>
    </row>
    <row r="223" spans="1:2">
      <c r="A223" s="1756"/>
      <c r="B223" s="1756" t="s">
        <v>1990</v>
      </c>
    </row>
    <row r="224" spans="1:2">
      <c r="A224" s="1756"/>
      <c r="B224" s="1756" t="s">
        <v>1991</v>
      </c>
    </row>
    <row r="225" spans="1:2">
      <c r="A225" s="1756"/>
      <c r="B225" s="1756"/>
    </row>
    <row r="226" spans="1:2">
      <c r="A226" s="1756"/>
      <c r="B226" s="1753" t="s">
        <v>1510</v>
      </c>
    </row>
    <row r="227" spans="1:2">
      <c r="A227" s="1756" t="s">
        <v>1992</v>
      </c>
      <c r="B227" s="1756" t="s">
        <v>1993</v>
      </c>
    </row>
    <row r="228" spans="1:2">
      <c r="A228" s="1756"/>
      <c r="B228" s="1756" t="s">
        <v>1994</v>
      </c>
    </row>
    <row r="229" spans="1:2">
      <c r="A229" s="1756"/>
      <c r="B229" s="1756" t="s">
        <v>1995</v>
      </c>
    </row>
    <row r="230" spans="1:2">
      <c r="A230" s="1756"/>
      <c r="B230" s="1756"/>
    </row>
    <row r="231" spans="1:2">
      <c r="A231" s="1756"/>
      <c r="B231" s="1756" t="s">
        <v>1581</v>
      </c>
    </row>
    <row r="232" spans="1:2">
      <c r="A232" s="1756" t="s">
        <v>1996</v>
      </c>
      <c r="B232" s="1756" t="s">
        <v>1997</v>
      </c>
    </row>
    <row r="233" spans="1:2">
      <c r="A233" s="1756"/>
      <c r="B233" s="1756" t="s">
        <v>1932</v>
      </c>
    </row>
    <row r="234" spans="1:2">
      <c r="A234" s="1756"/>
      <c r="B234" s="1756"/>
    </row>
    <row r="235" spans="1:2">
      <c r="A235" s="1756"/>
      <c r="B235" s="1756" t="s">
        <v>1584</v>
      </c>
    </row>
    <row r="236" spans="1:2">
      <c r="A236" s="1756" t="s">
        <v>1998</v>
      </c>
      <c r="B236" s="1756" t="s">
        <v>1997</v>
      </c>
    </row>
    <row r="237" spans="1:2">
      <c r="A237" s="1756"/>
      <c r="B237" s="1756" t="s">
        <v>1932</v>
      </c>
    </row>
    <row r="238" spans="1:2">
      <c r="A238" s="1756"/>
      <c r="B238" s="1756"/>
    </row>
    <row r="239" spans="1:2">
      <c r="A239" s="1756"/>
      <c r="B239" s="1756" t="s">
        <v>1999</v>
      </c>
    </row>
    <row r="240" spans="1:2">
      <c r="A240" s="1756" t="s">
        <v>2000</v>
      </c>
      <c r="B240" s="1756" t="s">
        <v>2001</v>
      </c>
    </row>
    <row r="241" spans="1:2">
      <c r="B241" s="1753" t="s">
        <v>2002</v>
      </c>
    </row>
    <row r="242" spans="1:2">
      <c r="A242" s="1756"/>
      <c r="B242" s="1753" t="s">
        <v>1588</v>
      </c>
    </row>
    <row r="243" spans="1:2">
      <c r="A243" s="1756"/>
    </row>
    <row r="244" spans="1:2">
      <c r="A244" s="1756"/>
      <c r="B244" s="1756"/>
    </row>
    <row r="245" spans="1:2">
      <c r="A245" s="1756"/>
      <c r="B245" s="1756" t="s">
        <v>1589</v>
      </c>
    </row>
    <row r="246" spans="1:2">
      <c r="A246" s="1756" t="s">
        <v>2003</v>
      </c>
      <c r="B246" s="1756" t="s">
        <v>2004</v>
      </c>
    </row>
    <row r="247" spans="1:2">
      <c r="B247" s="1756" t="s">
        <v>2005</v>
      </c>
    </row>
    <row r="248" spans="1:2">
      <c r="A248" s="1756"/>
      <c r="B248" s="1756" t="s">
        <v>2006</v>
      </c>
    </row>
    <row r="249" spans="1:2">
      <c r="A249" s="1756"/>
      <c r="B249" s="1756" t="s">
        <v>2007</v>
      </c>
    </row>
    <row r="250" spans="1:2">
      <c r="A250" s="1756"/>
      <c r="B250" s="1753" t="s">
        <v>2008</v>
      </c>
    </row>
    <row r="251" spans="1:2">
      <c r="A251" s="1756"/>
      <c r="B251" s="1753" t="s">
        <v>2009</v>
      </c>
    </row>
    <row r="252" spans="1:2">
      <c r="A252" s="1756"/>
      <c r="B252" s="1756" t="s">
        <v>2010</v>
      </c>
    </row>
    <row r="253" spans="1:2">
      <c r="A253" s="1756"/>
      <c r="B253" s="1756" t="s">
        <v>2011</v>
      </c>
    </row>
    <row r="254" spans="1:2">
      <c r="A254" s="1756"/>
      <c r="B254" s="1756" t="s">
        <v>2012</v>
      </c>
    </row>
    <row r="255" spans="1:2">
      <c r="A255" s="1756"/>
      <c r="B255" s="1753" t="s">
        <v>2013</v>
      </c>
    </row>
    <row r="256" spans="1:2">
      <c r="A256" s="1756"/>
      <c r="B256" s="1756" t="s">
        <v>2014</v>
      </c>
    </row>
    <row r="257" spans="1:2">
      <c r="A257" s="1756"/>
      <c r="B257" s="1756" t="s">
        <v>2015</v>
      </c>
    </row>
    <row r="258" spans="1:2">
      <c r="A258" s="1756"/>
      <c r="B258" s="1756" t="s">
        <v>2016</v>
      </c>
    </row>
    <row r="259" spans="1:2">
      <c r="A259" s="1756"/>
      <c r="B259" s="1753" t="s">
        <v>2017</v>
      </c>
    </row>
    <row r="260" spans="1:2">
      <c r="A260" s="1756"/>
      <c r="B260" s="1756" t="s">
        <v>2018</v>
      </c>
    </row>
    <row r="261" spans="1:2">
      <c r="A261" s="1756"/>
      <c r="B261" s="1756" t="s">
        <v>2019</v>
      </c>
    </row>
    <row r="262" spans="1:2">
      <c r="A262" s="1756"/>
      <c r="B262" s="1756" t="s">
        <v>2020</v>
      </c>
    </row>
    <row r="263" spans="1:2">
      <c r="A263" s="1756"/>
      <c r="B263" s="1756" t="s">
        <v>2021</v>
      </c>
    </row>
    <row r="264" spans="1:2">
      <c r="A264" s="1756"/>
      <c r="B264" s="1756" t="s">
        <v>2022</v>
      </c>
    </row>
    <row r="265" spans="1:2">
      <c r="A265" s="1756"/>
      <c r="B265" s="1756" t="s">
        <v>2023</v>
      </c>
    </row>
    <row r="266" spans="1:2">
      <c r="A266" s="1756"/>
      <c r="B266" s="1756" t="s">
        <v>2024</v>
      </c>
    </row>
    <row r="267" spans="1:2">
      <c r="A267" s="1756"/>
      <c r="B267" s="1756" t="s">
        <v>2025</v>
      </c>
    </row>
    <row r="268" spans="1:2">
      <c r="A268" s="1756"/>
      <c r="B268" s="1756" t="s">
        <v>2026</v>
      </c>
    </row>
    <row r="269" spans="1:2">
      <c r="A269" s="1756"/>
      <c r="B269" s="1756" t="s">
        <v>2027</v>
      </c>
    </row>
    <row r="270" spans="1:2">
      <c r="A270" s="1756"/>
      <c r="B270" s="1756" t="s">
        <v>2028</v>
      </c>
    </row>
    <row r="271" spans="1:2">
      <c r="A271" s="1756"/>
      <c r="B271" s="1753" t="s">
        <v>2029</v>
      </c>
    </row>
    <row r="272" spans="1:2">
      <c r="A272" s="1756"/>
      <c r="B272" s="1756" t="s">
        <v>2030</v>
      </c>
    </row>
    <row r="273" spans="1:2">
      <c r="A273" s="1756"/>
      <c r="B273" s="1756" t="s">
        <v>2031</v>
      </c>
    </row>
    <row r="274" spans="1:2">
      <c r="A274" s="1756"/>
      <c r="B274" s="1753" t="s">
        <v>2032</v>
      </c>
    </row>
    <row r="275" spans="1:2">
      <c r="A275" s="1756"/>
      <c r="B275" s="1753" t="s">
        <v>2033</v>
      </c>
    </row>
    <row r="276" spans="1:2">
      <c r="A276" s="1756"/>
      <c r="B276" s="1756" t="s">
        <v>2034</v>
      </c>
    </row>
    <row r="277" spans="1:2">
      <c r="A277" s="1756"/>
      <c r="B277" s="1756" t="s">
        <v>2035</v>
      </c>
    </row>
    <row r="278" spans="1:2">
      <c r="A278" s="1756"/>
      <c r="B278" s="1753" t="s">
        <v>2036</v>
      </c>
    </row>
    <row r="279" spans="1:2">
      <c r="A279" s="1756"/>
      <c r="B279" s="1756" t="s">
        <v>2037</v>
      </c>
    </row>
    <row r="280" spans="1:2">
      <c r="A280" s="1756"/>
      <c r="B280" s="1753" t="s">
        <v>2038</v>
      </c>
    </row>
    <row r="281" spans="1:2">
      <c r="A281" s="1756"/>
      <c r="B281" s="1753" t="s">
        <v>2039</v>
      </c>
    </row>
    <row r="282" spans="1:2">
      <c r="A282" s="1756"/>
      <c r="B282" s="1756" t="s">
        <v>2040</v>
      </c>
    </row>
    <row r="283" spans="1:2">
      <c r="A283" s="1756"/>
      <c r="B283" s="1756" t="s">
        <v>2041</v>
      </c>
    </row>
    <row r="284" spans="1:2">
      <c r="A284" s="1756"/>
      <c r="B284" s="1753" t="s">
        <v>2042</v>
      </c>
    </row>
    <row r="285" spans="1:2">
      <c r="A285" s="1756"/>
      <c r="B285" s="1756" t="s">
        <v>2043</v>
      </c>
    </row>
    <row r="286" spans="1:2">
      <c r="A286" s="1756"/>
      <c r="B286" s="1753" t="s">
        <v>2044</v>
      </c>
    </row>
    <row r="287" spans="1:2">
      <c r="A287" s="1756"/>
      <c r="B287" s="1756" t="s">
        <v>2045</v>
      </c>
    </row>
    <row r="288" spans="1:2">
      <c r="A288" s="1756"/>
      <c r="B288" s="1756" t="s">
        <v>2046</v>
      </c>
    </row>
    <row r="289" spans="1:2">
      <c r="A289" s="1756"/>
      <c r="B289" s="1756" t="s">
        <v>2047</v>
      </c>
    </row>
    <row r="290" spans="1:2">
      <c r="A290" s="1756"/>
      <c r="B290" s="1756" t="s">
        <v>2048</v>
      </c>
    </row>
    <row r="291" spans="1:2">
      <c r="A291" s="1756"/>
      <c r="B291" s="1753" t="s">
        <v>2049</v>
      </c>
    </row>
    <row r="292" spans="1:2">
      <c r="A292" s="1756"/>
      <c r="B292" s="1756" t="s">
        <v>2050</v>
      </c>
    </row>
    <row r="293" spans="1:2">
      <c r="A293" s="1756"/>
      <c r="B293" s="1753" t="s">
        <v>1871</v>
      </c>
    </row>
    <row r="294" spans="1:2">
      <c r="A294" s="1756"/>
      <c r="B294" s="1756" t="s">
        <v>2051</v>
      </c>
    </row>
    <row r="295" spans="1:2">
      <c r="A295" s="1756"/>
      <c r="B295" s="1756" t="s">
        <v>1872</v>
      </c>
    </row>
    <row r="296" spans="1:2">
      <c r="A296" s="1756"/>
      <c r="B296" s="1756"/>
    </row>
    <row r="297" spans="1:2">
      <c r="A297" s="1756"/>
      <c r="B297" s="1756"/>
    </row>
    <row r="298" spans="1:2">
      <c r="A298" s="1756" t="s">
        <v>2052</v>
      </c>
      <c r="B298" s="1753" t="s">
        <v>1510</v>
      </c>
    </row>
    <row r="299" spans="1:2">
      <c r="A299" s="1756"/>
      <c r="B299" s="1756" t="s">
        <v>1592</v>
      </c>
    </row>
    <row r="300" spans="1:2">
      <c r="A300" s="1756"/>
      <c r="B300" s="1756" t="s">
        <v>2053</v>
      </c>
    </row>
    <row r="301" spans="1:2">
      <c r="A301" s="1756"/>
      <c r="B301" s="1756" t="s">
        <v>2054</v>
      </c>
    </row>
    <row r="302" spans="1:2">
      <c r="A302" s="1756"/>
      <c r="B302" s="1756"/>
    </row>
    <row r="303" spans="1:2">
      <c r="B303" s="1753" t="s">
        <v>2055</v>
      </c>
    </row>
    <row r="304" spans="1:2">
      <c r="A304" s="1753" t="s">
        <v>2056</v>
      </c>
      <c r="B304" s="1753" t="s">
        <v>863</v>
      </c>
    </row>
    <row r="305" spans="2:2">
      <c r="B305" s="1753" t="s">
        <v>2057</v>
      </c>
    </row>
    <row r="306" spans="2:2">
      <c r="B306" s="1753" t="s">
        <v>2058</v>
      </c>
    </row>
    <row r="307" spans="2:2">
      <c r="B307" s="1753" t="s">
        <v>2059</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8124F-3F6E-46A5-ADA0-2AB11E915610}"/>
</file>

<file path=customXml/itemProps2.xml><?xml version="1.0" encoding="utf-8"?>
<ds:datastoreItem xmlns:ds="http://schemas.openxmlformats.org/officeDocument/2006/customXml" ds:itemID="{B6467C81-5610-464D-A483-B520ADB457F5}"/>
</file>

<file path=customXml/itemProps3.xml><?xml version="1.0" encoding="utf-8"?>
<ds:datastoreItem xmlns:ds="http://schemas.openxmlformats.org/officeDocument/2006/customXml" ds:itemID="{62646474-C919-4337-8850-195A38A08682}"/>
</file>

<file path=docProps/app.xml><?xml version="1.0" encoding="utf-8"?>
<Properties xmlns="http://schemas.openxmlformats.org/officeDocument/2006/extended-properties" xmlns:vt="http://schemas.openxmlformats.org/officeDocument/2006/docPropsVTypes">
  <Application>Microsoft Excel Online</Application>
  <Manager/>
  <Company>Washington State Department of Commerce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subject/>
  <dc:creator>Harrington, Sean (COM)</dc:creator>
  <cp:keywords/>
  <dc:description/>
  <cp:lastModifiedBy>Michelle Morlan</cp:lastModifiedBy>
  <cp:revision/>
  <dcterms:created xsi:type="dcterms:W3CDTF">2015-05-06T15:11:33Z</dcterms:created>
  <dcterms:modified xsi:type="dcterms:W3CDTF">2017-10-02T17:36:33Z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