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290" yWindow="150" windowWidth="16515" windowHeight="10815" tabRatio="722" firstSheet="1" activeTab="2"/>
  </bookViews>
  <sheets>
    <sheet name="PopTypes_Dropdown" sheetId="29" state="hidden" r:id="rId1"/>
    <sheet name="Definitions" sheetId="33" r:id="rId2"/>
    <sheet name="1A" sheetId="1" r:id="rId3"/>
    <sheet name="1B" sheetId="2" r:id="rId4"/>
    <sheet name="2A" sheetId="3" r:id="rId5"/>
    <sheet name="2B" sheetId="4" r:id="rId6"/>
    <sheet name="2C" sheetId="41" r:id="rId7"/>
    <sheet name="ESDS-Lookup-Table" sheetId="42" state="hidden" r:id="rId8"/>
    <sheet name="3" sheetId="6" r:id="rId9"/>
    <sheet name="4" sheetId="7" r:id="rId10"/>
    <sheet name="5" sheetId="8" r:id="rId11"/>
    <sheet name="6A" sheetId="9" r:id="rId12"/>
    <sheet name="6B" sheetId="10" r:id="rId13"/>
    <sheet name="6C" sheetId="11" r:id="rId14"/>
    <sheet name="6D" sheetId="12" r:id="rId15"/>
    <sheet name="6E" sheetId="13" r:id="rId16"/>
    <sheet name="7A" sheetId="14" r:id="rId17"/>
    <sheet name="7B" sheetId="15" r:id="rId18"/>
    <sheet name="8A" sheetId="16" r:id="rId19"/>
    <sheet name="8B" sheetId="17" r:id="rId20"/>
    <sheet name="8C" sheetId="18" r:id="rId21"/>
    <sheet name="8D" sheetId="19" r:id="rId22"/>
    <sheet name="8E" sheetId="20" r:id="rId23"/>
    <sheet name="8E(2)" sheetId="34" r:id="rId24"/>
    <sheet name="8F" sheetId="21" r:id="rId25"/>
    <sheet name="9A" sheetId="22" r:id="rId26"/>
    <sheet name="9B" sheetId="23" r:id="rId27"/>
    <sheet name="9C" sheetId="24" r:id="rId28"/>
    <sheet name="9D" sheetId="25" r:id="rId29"/>
    <sheet name="9E" sheetId="26" r:id="rId30"/>
    <sheet name="11A" sheetId="27" r:id="rId31"/>
    <sheet name="11B" sheetId="28" r:id="rId32"/>
    <sheet name="HTF ROLLUP" sheetId="40" state="hidden" r:id="rId33"/>
    <sheet name="LIHTC_Dropdowns" sheetId="30" state="hidden" r:id="rId34"/>
  </sheets>
  <externalReferences>
    <externalReference r:id="rId35"/>
  </externalReferences>
  <definedNames>
    <definedName name="DevFees">LIHTC_Dropdowns!$F$189:$F$194</definedName>
    <definedName name="eligible_tribes">LIHTC_Dropdowns!$F$201:$F$214</definedName>
    <definedName name="federal_funding_sources">LIHTC_Dropdowns!$F$171:$F$177</definedName>
    <definedName name="higher_income">LIHTC_Dropdowns!$F$2:$F$16</definedName>
    <definedName name="Historic">LIHTC_Dropdowns!$F$197:$F$199</definedName>
    <definedName name="Homeless75">LIHTC_Dropdowns!$F$126:$F$127</definedName>
    <definedName name="in_within">LIHTC_Dropdowns!$F$229:$F$233</definedName>
    <definedName name="Inc_Higher">LIHTC_Dropdowns!$F$18:$F$38</definedName>
    <definedName name="Inc_Lower">LIHTC_Dropdowns!$F$69:$F$89</definedName>
    <definedName name="Inc_percent">LIHTC_Dropdowns!$F$91:$F$100</definedName>
    <definedName name="Incomes_4_Perc">LIHTC_Dropdowns!$B$11:$B$17</definedName>
    <definedName name="job_centers">LIHTC_Dropdowns!$F$235:$F$284</definedName>
    <definedName name="KC_HTF">LIHTC_Dropdowns!$F$179:$F$181</definedName>
    <definedName name="KC_only">LIHTC_Dropdowns!$F$221:$F$223</definedName>
    <definedName name="KC_OppArea">LIHTC_Dropdowns!$F$225:$F$227</definedName>
    <definedName name="leveraging_public_resources_10">LIHTC_Dropdowns!$B$65:$B$68</definedName>
    <definedName name="leveraging_taxable_bonds_7">LIHTC_Dropdowns!$B$70:$B$77</definedName>
    <definedName name="LIH_Commit">LIHTC_Dropdowns!$B$2:$B$8</definedName>
    <definedName name="LIH40percent">LIHTC_Dropdowns!$B$106:$B$107</definedName>
    <definedName name="LIH50percent">LIHTC_Dropdowns!$B$109:$B$113</definedName>
    <definedName name="LIH60percent">LIHTC_Dropdowns!$B$115:$B$120</definedName>
    <definedName name="local_funding_counties">LIHTC_Dropdowns!$F$140:$F$147</definedName>
    <definedName name="local_funding_sources">LIHTC_Dropdowns!$F$149:$F$161</definedName>
    <definedName name="local_funding_types">LIHTC_Dropdowns!$F$163:$F$169</definedName>
    <definedName name="Location_eff">LIHTC_Dropdowns!$F$216:$F$219</definedName>
    <definedName name="lower_income">LIHTC_Dropdowns!$F$40:$F$67</definedName>
    <definedName name="m">#REF!</definedName>
    <definedName name="mna">#REF!</definedName>
    <definedName name="na">#REF!</definedName>
    <definedName name="nahalfto5">#REF!</definedName>
    <definedName name="nato123">#REF!</definedName>
    <definedName name="nato5">#REF!</definedName>
    <definedName name="NP_Sponsor">LIHTC_Dropdowns!$F$286:$F$289</definedName>
    <definedName name="NP_Sponsor_4_Perc">LIHTC_Dropdowns!$B$101:$B$103</definedName>
    <definedName name="PBRA_units">LIHTC_Dropdowns!$F$183:$F$186</definedName>
    <definedName name="Population_Types">PopTypes_Dropdown!$B$3:$B$21</definedName>
    <definedName name="_xlnm.Print_Area" localSheetId="30">'11A'!$B$13:$O$163</definedName>
    <definedName name="_xlnm.Print_Area" localSheetId="31">'11B'!$B$13:$O$154</definedName>
    <definedName name="_xlnm.Print_Area" localSheetId="2">'1A'!$B$2:$Q$60</definedName>
    <definedName name="_xlnm.Print_Area" localSheetId="3">'1B'!$B$2:$M$25</definedName>
    <definedName name="_xlnm.Print_Area" localSheetId="4">'2A'!$B$2:$N$23</definedName>
    <definedName name="_xlnm.Print_Area" localSheetId="5">'2B'!$B$12:$P$35</definedName>
    <definedName name="_xlnm.Print_Area" localSheetId="6">'2C'!$B$12:$J$142</definedName>
    <definedName name="_xlnm.Print_Area" localSheetId="8">'3'!$B$11:$I$44</definedName>
    <definedName name="_xlnm.Print_Area" localSheetId="9">'4'!$B$2:$H$27</definedName>
    <definedName name="_xlnm.Print_Area" localSheetId="10">'5'!$B$8:$H$84</definedName>
    <definedName name="_xlnm.Print_Area" localSheetId="11">'6A'!$B$10:$V$121</definedName>
    <definedName name="_xlnm.Print_Area" localSheetId="12">'6B'!$B$6:$L$101</definedName>
    <definedName name="_xlnm.Print_Area" localSheetId="13">'6C'!$B$10:$L$123</definedName>
    <definedName name="_xlnm.Print_Area" localSheetId="14">'6D'!$B$6:$H$53</definedName>
    <definedName name="_xlnm.Print_Area" localSheetId="15">'6E'!$B$2:$K$54</definedName>
    <definedName name="_xlnm.Print_Area" localSheetId="16">'7A'!$B$8:$O$44</definedName>
    <definedName name="_xlnm.Print_Area" localSheetId="17">'7B'!$B$10:$N$109</definedName>
    <definedName name="_xlnm.Print_Area" localSheetId="18">'8A'!$B$2:$O$25</definedName>
    <definedName name="_xlnm.Print_Area" localSheetId="19">'8B'!$B$6:$J$37</definedName>
    <definedName name="_xlnm.Print_Area" localSheetId="20">'8C'!$B$8:$L$39</definedName>
    <definedName name="_xlnm.Print_Area" localSheetId="21">'8D'!$B$12:$Q$51</definedName>
    <definedName name="_xlnm.Print_Area" localSheetId="22">'8E'!$B$18:$Q$179</definedName>
    <definedName name="_xlnm.Print_Area" localSheetId="23">'8E(2)'!$B$8:$Q$169</definedName>
    <definedName name="_xlnm.Print_Area" localSheetId="24">'8F'!$B$7:$F$48</definedName>
    <definedName name="_xlnm.Print_Area" localSheetId="25">'9A'!$B$2:$I$81</definedName>
    <definedName name="_xlnm.Print_Area" localSheetId="26">'9B'!$B$7:$Y$36</definedName>
    <definedName name="_xlnm.Print_Area" localSheetId="27">'9C'!$B$12:$M$42</definedName>
    <definedName name="_xlnm.Print_Area" localSheetId="28">'9D'!$B$15:$L$47</definedName>
    <definedName name="_xlnm.Print_Area" localSheetId="29">'9E'!$B$7:$K$25</definedName>
    <definedName name="_xlnm.Print_Area" localSheetId="1">Definitions!$A$1:$L$44</definedName>
    <definedName name="_xlnm.Print_Titles" localSheetId="11">'6A'!$10:$18</definedName>
    <definedName name="_xlnm.Print_Titles" localSheetId="12">'6B'!$6:$12</definedName>
    <definedName name="_xlnm.Print_Titles" localSheetId="13">'6C'!$10:$19</definedName>
    <definedName name="PriorityPopulations10">LIHTC_Dropdowns!$B$43:$B$46</definedName>
    <definedName name="PriorityPopulations20">LIHTC_Dropdowns!$B$48:$B$51</definedName>
    <definedName name="Project_Based_Rental_Assistance">LIHTC_Dropdowns!$B$58:$B$62</definedName>
    <definedName name="property_type_10">LIHTC_Dropdowns!$B$88:$B$92</definedName>
    <definedName name="savem12345">#REF!</definedName>
    <definedName name="savem3">#REF!</definedName>
    <definedName name="savem5">#REF!</definedName>
    <definedName name="senior_housing_10">LIHTC_Dropdowns!$B$53:$B$54</definedName>
    <definedName name="SpecNeeds20">LIHTC_Dropdowns!$F$130:$F$138</definedName>
    <definedName name="TDC_Limit">LIHTC_Dropdowns!$F$291:$F$292</definedName>
    <definedName name="toma12345">#REF!</definedName>
    <definedName name="tomna">#REF!</definedName>
    <definedName name="tomna123456">#REF!</definedName>
    <definedName name="tomna5">#REF!</definedName>
    <definedName name="tona">#REF!</definedName>
    <definedName name="tona1">#REF!</definedName>
    <definedName name="tona10">#REF!</definedName>
    <definedName name="tona123">#REF!</definedName>
    <definedName name="tona12345">#REF!</definedName>
    <definedName name="tona12345678910">#REF!</definedName>
    <definedName name="tona1246">#REF!</definedName>
    <definedName name="tona2">#REF!</definedName>
    <definedName name="tona235">#REF!</definedName>
    <definedName name="tona257">#REF!</definedName>
    <definedName name="tona3">#REF!</definedName>
    <definedName name="tona37">#REF!</definedName>
    <definedName name="tona4">#REF!</definedName>
    <definedName name="tona5">#REF!</definedName>
    <definedName name="tona68">#REF!</definedName>
    <definedName name="tona7">#REF!</definedName>
    <definedName name="Years">LIHTC_Dropdowns!$F$102:$F$124</definedName>
    <definedName name="Years_4_Perc">LIHTC_Dropdowns!$B$19:$B$41</definedName>
    <definedName name="zn">#REF!</definedName>
    <definedName name="zna100">[1]Key!#REF!</definedName>
    <definedName name="zna19">[1]Key!#REF!</definedName>
    <definedName name="zna58">[1]Key!#REF!</definedName>
    <definedName name="zna68">[1]Key!#REF!</definedName>
    <definedName name="zo">#REF!</definedName>
  </definedNames>
  <calcPr calcId="145621" iterate="1" iterateCount="1000"/>
</workbook>
</file>

<file path=xl/calcChain.xml><?xml version="1.0" encoding="utf-8"?>
<calcChain xmlns="http://schemas.openxmlformats.org/spreadsheetml/2006/main">
  <c r="L98" i="9" l="1"/>
  <c r="L171" i="20"/>
  <c r="H83" i="15"/>
  <c r="G83" i="15"/>
  <c r="G78" i="15"/>
  <c r="F78" i="15"/>
  <c r="E78" i="15"/>
  <c r="L32" i="15"/>
  <c r="K32" i="15"/>
  <c r="O41" i="15"/>
  <c r="O92" i="15"/>
  <c r="G92" i="15"/>
  <c r="P56" i="9"/>
  <c r="P41" i="9"/>
  <c r="L41" i="9"/>
  <c r="N56" i="9"/>
  <c r="P98" i="9"/>
  <c r="K171" i="20" l="1"/>
  <c r="J171" i="20"/>
  <c r="I171" i="20"/>
  <c r="P90" i="20"/>
  <c r="L90" i="20"/>
  <c r="M90" i="20"/>
  <c r="N90" i="20"/>
  <c r="O90" i="20"/>
  <c r="K90" i="20"/>
  <c r="J90" i="20"/>
  <c r="H35" i="13"/>
  <c r="P116" i="20" l="1"/>
  <c r="K116" i="20"/>
  <c r="L116" i="20"/>
  <c r="M116" i="20"/>
  <c r="N116" i="20"/>
  <c r="O116" i="20"/>
  <c r="J116" i="20"/>
  <c r="I116" i="20"/>
  <c r="P35" i="20"/>
  <c r="L35" i="20"/>
  <c r="M35" i="20"/>
  <c r="N35" i="20"/>
  <c r="O35" i="20"/>
  <c r="K35" i="20"/>
  <c r="J63" i="10" l="1"/>
  <c r="AA73" i="15" l="1"/>
  <c r="AB73" i="15" s="1"/>
  <c r="AB76" i="15"/>
  <c r="AA74" i="15"/>
  <c r="AB74" i="15" s="1"/>
  <c r="AA75" i="15"/>
  <c r="AB75" i="15" s="1"/>
  <c r="AA76" i="15"/>
  <c r="AA77" i="15"/>
  <c r="AB77" i="15" s="1"/>
  <c r="AA72" i="15"/>
  <c r="AB72" i="15" s="1"/>
  <c r="H92" i="15"/>
  <c r="F41" i="15"/>
  <c r="F91" i="15"/>
  <c r="G91" i="15"/>
  <c r="H91" i="15"/>
  <c r="I91" i="15"/>
  <c r="J91" i="15"/>
  <c r="K91" i="15"/>
  <c r="L91" i="15"/>
  <c r="F92" i="15"/>
  <c r="I92" i="15"/>
  <c r="J92" i="15"/>
  <c r="K92" i="15"/>
  <c r="F93" i="15"/>
  <c r="G93" i="15"/>
  <c r="H93" i="15"/>
  <c r="I93" i="15"/>
  <c r="J93" i="15"/>
  <c r="K93" i="15"/>
  <c r="L93" i="15"/>
  <c r="F94" i="15"/>
  <c r="G94" i="15"/>
  <c r="H94" i="15"/>
  <c r="I94" i="15"/>
  <c r="J94" i="15"/>
  <c r="K94" i="15"/>
  <c r="L94" i="15"/>
  <c r="F95" i="15"/>
  <c r="G95" i="15"/>
  <c r="H95" i="15"/>
  <c r="I95" i="15"/>
  <c r="J95" i="15"/>
  <c r="K95" i="15"/>
  <c r="L95" i="15"/>
  <c r="F96" i="15"/>
  <c r="G96" i="15"/>
  <c r="H96" i="15"/>
  <c r="I96" i="15"/>
  <c r="J96" i="15"/>
  <c r="K96" i="15"/>
  <c r="L96" i="15"/>
  <c r="F97" i="15"/>
  <c r="G97" i="15"/>
  <c r="H97" i="15"/>
  <c r="I97" i="15"/>
  <c r="J97" i="15"/>
  <c r="K97" i="15"/>
  <c r="L97" i="15"/>
  <c r="F98" i="15"/>
  <c r="G98" i="15"/>
  <c r="H98" i="15"/>
  <c r="I98" i="15"/>
  <c r="J98" i="15"/>
  <c r="K98" i="15"/>
  <c r="L98" i="15"/>
  <c r="E98" i="15"/>
  <c r="E97" i="15"/>
  <c r="E96" i="15"/>
  <c r="E95" i="15"/>
  <c r="E94" i="15"/>
  <c r="E93" i="15"/>
  <c r="E92" i="15"/>
  <c r="E91" i="15"/>
  <c r="F42" i="15"/>
  <c r="G42" i="15"/>
  <c r="H42" i="15"/>
  <c r="I42" i="15"/>
  <c r="J42" i="15"/>
  <c r="L42" i="15"/>
  <c r="F43" i="15"/>
  <c r="G43" i="15"/>
  <c r="H43" i="15"/>
  <c r="I43" i="15"/>
  <c r="J43" i="15"/>
  <c r="K43" i="15"/>
  <c r="L43" i="15"/>
  <c r="F44" i="15"/>
  <c r="G44" i="15"/>
  <c r="H44" i="15"/>
  <c r="I44" i="15"/>
  <c r="J44" i="15"/>
  <c r="K44" i="15"/>
  <c r="L44" i="15"/>
  <c r="F45" i="15"/>
  <c r="G45" i="15"/>
  <c r="H45" i="15"/>
  <c r="I45" i="15"/>
  <c r="J45" i="15"/>
  <c r="K45" i="15"/>
  <c r="L45" i="15"/>
  <c r="F46" i="15"/>
  <c r="G46" i="15"/>
  <c r="H46" i="15"/>
  <c r="I46" i="15"/>
  <c r="J46" i="15"/>
  <c r="K46" i="15"/>
  <c r="L46" i="15"/>
  <c r="F47" i="15"/>
  <c r="G47" i="15"/>
  <c r="H47" i="15"/>
  <c r="I47" i="15"/>
  <c r="J47" i="15"/>
  <c r="K47" i="15"/>
  <c r="L47" i="15"/>
  <c r="G41" i="15"/>
  <c r="H41" i="15"/>
  <c r="I41" i="15"/>
  <c r="K41" i="15"/>
  <c r="L41" i="15"/>
  <c r="F40" i="15"/>
  <c r="G40" i="15"/>
  <c r="H40" i="15"/>
  <c r="I40" i="15"/>
  <c r="J40" i="15"/>
  <c r="K40" i="15"/>
  <c r="L40" i="15"/>
  <c r="E47" i="15"/>
  <c r="E46" i="15"/>
  <c r="E45" i="15"/>
  <c r="E44" i="15"/>
  <c r="E43" i="15"/>
  <c r="E42" i="15"/>
  <c r="E40" i="15"/>
  <c r="K42" i="15" s="1"/>
  <c r="O49" i="15"/>
  <c r="O100" i="15" l="1"/>
  <c r="L92" i="15"/>
  <c r="E41" i="15"/>
  <c r="J41" i="15"/>
  <c r="P153" i="34"/>
  <c r="K153" i="34"/>
  <c r="L153" i="34"/>
  <c r="M153" i="34"/>
  <c r="N153" i="34" s="1"/>
  <c r="O153" i="34" s="1"/>
  <c r="J153" i="34"/>
  <c r="I153" i="34"/>
  <c r="P72" i="34"/>
  <c r="L72" i="34"/>
  <c r="M72" i="34" s="1"/>
  <c r="N72" i="34" s="1"/>
  <c r="O72" i="34" s="1"/>
  <c r="K72" i="34"/>
  <c r="O41" i="9"/>
  <c r="T98" i="9"/>
  <c r="K163" i="20"/>
  <c r="L163" i="20" s="1"/>
  <c r="M163" i="20" s="1"/>
  <c r="N163" i="20" s="1"/>
  <c r="O163" i="20" s="1"/>
  <c r="P163" i="20" s="1"/>
  <c r="J163" i="20"/>
  <c r="L82" i="20"/>
  <c r="M82" i="20" s="1"/>
  <c r="N82" i="20" s="1"/>
  <c r="O82" i="20" s="1"/>
  <c r="P82" i="20" s="1"/>
  <c r="K82" i="20"/>
  <c r="Q123" i="9"/>
  <c r="K103" i="11"/>
  <c r="K98" i="11"/>
  <c r="K96" i="11"/>
  <c r="K95" i="11"/>
  <c r="K72" i="11"/>
  <c r="K71" i="11"/>
  <c r="K52" i="11"/>
  <c r="K53" i="11"/>
  <c r="K54" i="11"/>
  <c r="K55" i="11"/>
  <c r="K56" i="11"/>
  <c r="K58" i="11"/>
  <c r="K59" i="11"/>
  <c r="K60" i="11"/>
  <c r="K61" i="11"/>
  <c r="K50" i="11"/>
  <c r="K45" i="11"/>
  <c r="K44" i="11"/>
  <c r="K35" i="11"/>
  <c r="P60" i="9"/>
  <c r="T60" i="9"/>
  <c r="T58" i="9"/>
  <c r="T50" i="9"/>
  <c r="W21" i="9"/>
  <c r="W22" i="9"/>
  <c r="W24" i="9"/>
  <c r="W29" i="9"/>
  <c r="W31" i="9"/>
  <c r="W32" i="9"/>
  <c r="W33" i="9"/>
  <c r="W35" i="9"/>
  <c r="W36" i="9"/>
  <c r="W37" i="9"/>
  <c r="W38" i="9"/>
  <c r="W39" i="9"/>
  <c r="W42" i="9"/>
  <c r="W43" i="9"/>
  <c r="W69" i="9"/>
  <c r="W70" i="9"/>
  <c r="W71" i="9"/>
  <c r="W72" i="9"/>
  <c r="W73" i="9"/>
  <c r="W77" i="9"/>
  <c r="W78" i="9"/>
  <c r="W79" i="9"/>
  <c r="W81" i="9"/>
  <c r="W82" i="9"/>
  <c r="W83" i="9"/>
  <c r="W84" i="9"/>
  <c r="W89" i="9"/>
  <c r="W90" i="9"/>
  <c r="W94" i="9"/>
  <c r="W96" i="9"/>
  <c r="W99" i="9"/>
  <c r="W100" i="9"/>
  <c r="W101" i="9"/>
  <c r="W102" i="9"/>
  <c r="W103" i="9"/>
  <c r="W104" i="9"/>
  <c r="W111" i="9"/>
  <c r="W112" i="9"/>
  <c r="W113" i="9"/>
  <c r="W114" i="9"/>
  <c r="W115" i="9"/>
  <c r="T44" i="9"/>
  <c r="L30" i="9"/>
  <c r="O30" i="9"/>
  <c r="R123" i="9"/>
  <c r="X119" i="9"/>
  <c r="Y119" i="9" s="1"/>
  <c r="X71" i="9"/>
  <c r="X84" i="9"/>
  <c r="X98" i="9"/>
  <c r="X70" i="9"/>
  <c r="X81" i="9"/>
  <c r="X60" i="9"/>
  <c r="X65" i="9"/>
  <c r="X64" i="9"/>
  <c r="X52" i="9" l="1"/>
  <c r="X58" i="9"/>
  <c r="X50" i="9"/>
  <c r="X44" i="9"/>
  <c r="E20" i="4" l="1"/>
  <c r="I20" i="4"/>
  <c r="J48" i="20" l="1"/>
  <c r="J66" i="20"/>
  <c r="J56" i="20"/>
  <c r="J54" i="20"/>
  <c r="F16" i="18"/>
  <c r="F15" i="18"/>
  <c r="K8" i="16" l="1"/>
  <c r="L8" i="16"/>
  <c r="G15" i="16" l="1"/>
  <c r="G13" i="16"/>
  <c r="G12" i="16"/>
  <c r="M21" i="16" l="1"/>
  <c r="L21" i="16"/>
  <c r="I21" i="16"/>
  <c r="K21" i="16" s="1"/>
  <c r="G10" i="16"/>
  <c r="G9" i="16"/>
  <c r="N21" i="16" l="1"/>
  <c r="D15" i="41" l="1"/>
  <c r="I130" i="41"/>
  <c r="G130" i="41" a="1"/>
  <c r="G130" i="41" s="1"/>
  <c r="I129" i="41"/>
  <c r="G129" i="41" a="1"/>
  <c r="G129" i="41" s="1"/>
  <c r="I128" i="41"/>
  <c r="G128" i="41" a="1"/>
  <c r="G128" i="41" s="1"/>
  <c r="I127" i="41"/>
  <c r="G127" i="41" a="1"/>
  <c r="G127" i="41" s="1"/>
  <c r="I126" i="41"/>
  <c r="G126" i="41" a="1"/>
  <c r="G126" i="41" s="1"/>
  <c r="I121" i="41"/>
  <c r="G121" i="41" a="1"/>
  <c r="G121" i="41" s="1"/>
  <c r="I120" i="41"/>
  <c r="G120" i="41" a="1"/>
  <c r="G120" i="41" s="1"/>
  <c r="I119" i="41"/>
  <c r="G119" i="41" a="1"/>
  <c r="G119" i="41" s="1"/>
  <c r="I118" i="41"/>
  <c r="G118" i="41" a="1"/>
  <c r="G118" i="41" s="1"/>
  <c r="I117" i="41"/>
  <c r="G117" i="41" a="1"/>
  <c r="G117" i="41" s="1"/>
  <c r="I116" i="41"/>
  <c r="G116" i="41" a="1"/>
  <c r="G116" i="41" s="1"/>
  <c r="I115" i="41"/>
  <c r="G115" i="41" a="1"/>
  <c r="G115" i="41" s="1"/>
  <c r="I114" i="41"/>
  <c r="G114" i="41" a="1"/>
  <c r="G114" i="41" s="1"/>
  <c r="I113" i="41"/>
  <c r="G113" i="41" a="1"/>
  <c r="G113" i="41" s="1"/>
  <c r="I112" i="41"/>
  <c r="G112" i="41" a="1"/>
  <c r="G112" i="41" s="1"/>
  <c r="I111" i="41"/>
  <c r="G111" i="41" a="1"/>
  <c r="G111" i="41" s="1"/>
  <c r="I110" i="41"/>
  <c r="G110" i="41" a="1"/>
  <c r="G110" i="41" s="1"/>
  <c r="I109" i="41"/>
  <c r="G109" i="41" a="1"/>
  <c r="G109" i="41" s="1"/>
  <c r="I108" i="41"/>
  <c r="G108" i="41" a="1"/>
  <c r="G108" i="41" s="1"/>
  <c r="I107" i="41"/>
  <c r="G107" i="41" a="1"/>
  <c r="G107" i="41" s="1"/>
  <c r="I106" i="41"/>
  <c r="G106" i="41" a="1"/>
  <c r="G106" i="41" s="1"/>
  <c r="I105" i="41"/>
  <c r="G105" i="41" a="1"/>
  <c r="G105" i="41" s="1"/>
  <c r="I104" i="41"/>
  <c r="G104" i="41" a="1"/>
  <c r="G104" i="41" s="1"/>
  <c r="I103" i="41"/>
  <c r="G103" i="41" a="1"/>
  <c r="G103" i="41" s="1"/>
  <c r="I102" i="41"/>
  <c r="G102" i="41" a="1"/>
  <c r="G102" i="41" s="1"/>
  <c r="I101" i="41"/>
  <c r="G101" i="41" a="1"/>
  <c r="G101" i="41" s="1"/>
  <c r="I100" i="41"/>
  <c r="G100" i="41" a="1"/>
  <c r="G100" i="41" s="1"/>
  <c r="I94" i="41"/>
  <c r="G94" i="41" a="1"/>
  <c r="G94" i="41" s="1"/>
  <c r="I93" i="41"/>
  <c r="G93" i="41" a="1"/>
  <c r="G93" i="41" s="1"/>
  <c r="I92" i="41"/>
  <c r="G92" i="41" a="1"/>
  <c r="G92" i="41" s="1"/>
  <c r="I91" i="41"/>
  <c r="G91" i="41" a="1"/>
  <c r="G91" i="41" s="1"/>
  <c r="I90" i="41"/>
  <c r="G90" i="41" a="1"/>
  <c r="G90" i="41" s="1"/>
  <c r="I89" i="41"/>
  <c r="G89" i="41" a="1"/>
  <c r="G89" i="41" s="1"/>
  <c r="I88" i="41"/>
  <c r="G88" i="41" a="1"/>
  <c r="G88" i="41" s="1"/>
  <c r="I87" i="41"/>
  <c r="G87" i="41" a="1"/>
  <c r="G87" i="41" s="1"/>
  <c r="I86" i="41"/>
  <c r="G86" i="41" a="1"/>
  <c r="G86" i="41" s="1"/>
  <c r="I81" i="41"/>
  <c r="G81" i="41" a="1"/>
  <c r="G81" i="41" s="1"/>
  <c r="I80" i="41"/>
  <c r="G80" i="41" a="1"/>
  <c r="G80" i="41" s="1"/>
  <c r="I79" i="41"/>
  <c r="G79" i="41" a="1"/>
  <c r="G79" i="41" s="1"/>
  <c r="I78" i="41"/>
  <c r="G78" i="41" a="1"/>
  <c r="G78" i="41" s="1"/>
  <c r="I77" i="41"/>
  <c r="G77" i="41" a="1"/>
  <c r="G77" i="41" s="1"/>
  <c r="I76" i="41"/>
  <c r="G76" i="41" a="1"/>
  <c r="G76" i="41" s="1"/>
  <c r="I75" i="41"/>
  <c r="G75" i="41" a="1"/>
  <c r="G75" i="41" s="1"/>
  <c r="I74" i="41"/>
  <c r="G74" i="41" a="1"/>
  <c r="G74" i="41" s="1"/>
  <c r="I73" i="41"/>
  <c r="G73" i="41" a="1"/>
  <c r="G73" i="41" s="1"/>
  <c r="I72" i="41"/>
  <c r="G72" i="41" a="1"/>
  <c r="G72" i="41" s="1"/>
  <c r="I71" i="41"/>
  <c r="G71" i="41" a="1"/>
  <c r="G71" i="41" s="1"/>
  <c r="I70" i="41"/>
  <c r="G70" i="41" a="1"/>
  <c r="G70" i="41" s="1"/>
  <c r="I69" i="41"/>
  <c r="G69" i="41" a="1"/>
  <c r="G69" i="41" s="1"/>
  <c r="I68" i="41"/>
  <c r="G68" i="41" a="1"/>
  <c r="G68" i="41" s="1"/>
  <c r="I67" i="41"/>
  <c r="G67" i="41" a="1"/>
  <c r="G67" i="41" s="1"/>
  <c r="I66" i="41"/>
  <c r="G66" i="41" a="1"/>
  <c r="G66" i="41" s="1"/>
  <c r="I65" i="41"/>
  <c r="G65" i="41" a="1"/>
  <c r="G65" i="41" s="1"/>
  <c r="I64" i="41"/>
  <c r="G64" i="41" a="1"/>
  <c r="G64" i="41" s="1"/>
  <c r="I58" i="41"/>
  <c r="G58" i="41" a="1"/>
  <c r="G58" i="41" s="1"/>
  <c r="I57" i="41"/>
  <c r="G57" i="41" a="1"/>
  <c r="G57" i="41" s="1"/>
  <c r="I56" i="41"/>
  <c r="G56" i="41" a="1"/>
  <c r="G56" i="41" s="1"/>
  <c r="I51" i="41"/>
  <c r="G51" i="41" a="1"/>
  <c r="G51" i="41" s="1"/>
  <c r="I50" i="41"/>
  <c r="G50" i="41" a="1"/>
  <c r="G50" i="41" s="1"/>
  <c r="I49" i="41"/>
  <c r="G49" i="41" a="1"/>
  <c r="G49" i="41" s="1"/>
  <c r="I48" i="41"/>
  <c r="G48" i="41" a="1"/>
  <c r="G48" i="41" s="1"/>
  <c r="I47" i="41"/>
  <c r="G47" i="41" a="1"/>
  <c r="G47" i="41" s="1"/>
  <c r="I46" i="41"/>
  <c r="G46" i="41" a="1"/>
  <c r="G46" i="41" s="1"/>
  <c r="I45" i="41"/>
  <c r="G45" i="41" a="1"/>
  <c r="G45" i="41" s="1"/>
  <c r="I44" i="41"/>
  <c r="G44" i="41" a="1"/>
  <c r="G44" i="41" s="1"/>
  <c r="I39" i="41"/>
  <c r="G39" i="41" a="1"/>
  <c r="G39" i="41" s="1"/>
  <c r="I38" i="41"/>
  <c r="G38" i="41" a="1"/>
  <c r="G38" i="41" s="1"/>
  <c r="I37" i="41"/>
  <c r="G37" i="41" a="1"/>
  <c r="G37" i="41" s="1"/>
  <c r="I36" i="41"/>
  <c r="G36" i="41" a="1"/>
  <c r="G36" i="41" s="1"/>
  <c r="I35" i="41"/>
  <c r="G35" i="41" a="1"/>
  <c r="G35" i="41" s="1"/>
  <c r="I34" i="41"/>
  <c r="G34" i="41" a="1"/>
  <c r="G34" i="41" s="1"/>
  <c r="I33" i="41"/>
  <c r="G33" i="41" a="1"/>
  <c r="G33" i="41" s="1"/>
  <c r="I32" i="41"/>
  <c r="G32" i="41" a="1"/>
  <c r="G32" i="41" s="1"/>
  <c r="I31" i="41"/>
  <c r="G31" i="41" a="1"/>
  <c r="G31" i="41" s="1"/>
  <c r="I30" i="41"/>
  <c r="G30" i="41" a="1"/>
  <c r="G30" i="41" s="1"/>
  <c r="I29" i="41"/>
  <c r="G29" i="41" a="1"/>
  <c r="G29" i="41" s="1"/>
  <c r="I24" i="41"/>
  <c r="G24" i="41" a="1"/>
  <c r="G24" i="41" s="1"/>
  <c r="I23" i="41"/>
  <c r="G23" i="41" a="1"/>
  <c r="G23" i="41" s="1"/>
  <c r="H131" i="41" l="1"/>
  <c r="H140" i="41" s="1"/>
  <c r="H122" i="41"/>
  <c r="H139" i="41" s="1"/>
  <c r="H95" i="41"/>
  <c r="H138" i="41" s="1"/>
  <c r="H82" i="41"/>
  <c r="H137" i="41" s="1"/>
  <c r="H59" i="41"/>
  <c r="H136" i="41" s="1"/>
  <c r="H52" i="41"/>
  <c r="H135" i="41" s="1"/>
  <c r="H40" i="41"/>
  <c r="H134" i="41" s="1"/>
  <c r="H25" i="41"/>
  <c r="H133" i="41" s="1"/>
  <c r="H141" i="41" l="1"/>
  <c r="H15" i="41" s="1"/>
  <c r="L86" i="15"/>
  <c r="K86" i="15"/>
  <c r="J86" i="15"/>
  <c r="I86" i="15"/>
  <c r="H86" i="15"/>
  <c r="G86" i="15"/>
  <c r="F86" i="15"/>
  <c r="E86" i="15"/>
  <c r="L75" i="15"/>
  <c r="L88" i="15" s="1"/>
  <c r="K75" i="15"/>
  <c r="K88" i="15" s="1"/>
  <c r="J75" i="15"/>
  <c r="J88" i="15" s="1"/>
  <c r="I75" i="15"/>
  <c r="H75" i="15"/>
  <c r="G75" i="15"/>
  <c r="F75" i="15"/>
  <c r="E75" i="15"/>
  <c r="F88" i="15" l="1"/>
  <c r="G88" i="15"/>
  <c r="I88" i="15"/>
  <c r="H88" i="15"/>
  <c r="E88" i="15"/>
  <c r="D23" i="22"/>
  <c r="D52" i="22"/>
  <c r="P156" i="34" l="1"/>
  <c r="O156" i="34"/>
  <c r="N156" i="34"/>
  <c r="M156" i="34"/>
  <c r="L156" i="34"/>
  <c r="K156" i="34"/>
  <c r="J156" i="34"/>
  <c r="I156" i="34"/>
  <c r="P166" i="20"/>
  <c r="O166" i="20"/>
  <c r="N166" i="20"/>
  <c r="M166" i="20"/>
  <c r="L166" i="20"/>
  <c r="K166" i="20"/>
  <c r="J166" i="20"/>
  <c r="I166" i="20"/>
  <c r="K28" i="19"/>
  <c r="K27" i="19"/>
  <c r="K26" i="19"/>
  <c r="K25" i="19"/>
  <c r="K24" i="19"/>
  <c r="K23" i="19"/>
  <c r="K22" i="19"/>
  <c r="J28" i="19"/>
  <c r="J27" i="19"/>
  <c r="J26" i="19"/>
  <c r="J25" i="19"/>
  <c r="J24" i="19"/>
  <c r="J23" i="19"/>
  <c r="J22" i="19"/>
  <c r="H28" i="19"/>
  <c r="H27" i="19"/>
  <c r="H26" i="19"/>
  <c r="H25" i="19"/>
  <c r="H24" i="19"/>
  <c r="H23" i="19"/>
  <c r="H22" i="19"/>
  <c r="H21" i="19"/>
  <c r="J21" i="19" s="1"/>
  <c r="H20" i="19"/>
  <c r="J20" i="19" s="1"/>
  <c r="K20" i="19" s="1"/>
  <c r="N34" i="4"/>
  <c r="K21" i="19" l="1"/>
  <c r="K29" i="19" s="1"/>
  <c r="CK2" i="40"/>
  <c r="CJ2" i="40"/>
  <c r="CI2" i="40"/>
  <c r="BP2" i="40"/>
  <c r="AZ2" i="40"/>
  <c r="AV2" i="40"/>
  <c r="AU2" i="40"/>
  <c r="AT2" i="40"/>
  <c r="AM2" i="40"/>
  <c r="AN2" i="40"/>
  <c r="AP2" i="40"/>
  <c r="AR2" i="40"/>
  <c r="AK2" i="40"/>
  <c r="AJ2" i="40"/>
  <c r="AH2" i="40"/>
  <c r="AD2" i="40"/>
  <c r="AE2" i="40"/>
  <c r="AF2" i="40"/>
  <c r="AG2" i="40"/>
  <c r="AC2" i="40"/>
  <c r="AB2" i="40"/>
  <c r="G2" i="40"/>
  <c r="E2" i="40"/>
  <c r="C2" i="40"/>
  <c r="D2" i="40"/>
  <c r="A2" i="40"/>
  <c r="B2" i="40"/>
  <c r="C163" i="34" l="1"/>
  <c r="C162" i="34"/>
  <c r="C161" i="34"/>
  <c r="C154" i="34"/>
  <c r="C153" i="34"/>
  <c r="D103" i="34"/>
  <c r="D102" i="34"/>
  <c r="C173" i="20"/>
  <c r="C172" i="20"/>
  <c r="C171" i="20"/>
  <c r="C164" i="20"/>
  <c r="C163" i="20"/>
  <c r="D113" i="20"/>
  <c r="D112" i="20"/>
  <c r="AL2" i="40" l="1"/>
  <c r="AO2" i="40" l="1"/>
  <c r="AQ2" i="40"/>
  <c r="P75" i="20"/>
  <c r="K75" i="20"/>
  <c r="L75" i="20"/>
  <c r="M75" i="20"/>
  <c r="N75" i="20" s="1"/>
  <c r="O75" i="20" s="1"/>
  <c r="J65" i="34"/>
  <c r="K65" i="34" s="1"/>
  <c r="L65" i="34" s="1"/>
  <c r="M65" i="34" s="1"/>
  <c r="N65" i="34" s="1"/>
  <c r="O65" i="34" s="1"/>
  <c r="P65" i="34" s="1"/>
  <c r="I146" i="34" s="1"/>
  <c r="J146" i="34" s="1"/>
  <c r="K146" i="34" s="1"/>
  <c r="L146" i="34" s="1"/>
  <c r="M146" i="34" s="1"/>
  <c r="N146" i="34" s="1"/>
  <c r="O146" i="34" s="1"/>
  <c r="P146" i="34" s="1"/>
  <c r="J60" i="34"/>
  <c r="J59" i="34"/>
  <c r="K59" i="34" s="1"/>
  <c r="L59" i="34" s="1"/>
  <c r="J56" i="34"/>
  <c r="K56" i="34" s="1"/>
  <c r="L56" i="34" s="1"/>
  <c r="M56" i="34" s="1"/>
  <c r="N56" i="34" s="1"/>
  <c r="O56" i="34" s="1"/>
  <c r="P56" i="34" s="1"/>
  <c r="I137" i="34" s="1"/>
  <c r="J137" i="34" s="1"/>
  <c r="K137" i="34" s="1"/>
  <c r="L137" i="34" s="1"/>
  <c r="M137" i="34" s="1"/>
  <c r="N137" i="34" s="1"/>
  <c r="O137" i="34" s="1"/>
  <c r="P137" i="34" s="1"/>
  <c r="J55" i="34"/>
  <c r="K55" i="34" s="1"/>
  <c r="L55" i="34" s="1"/>
  <c r="M55" i="34" s="1"/>
  <c r="N55" i="34" s="1"/>
  <c r="O55" i="34" s="1"/>
  <c r="P55" i="34" s="1"/>
  <c r="I136" i="34" s="1"/>
  <c r="J136" i="34" s="1"/>
  <c r="K136" i="34" s="1"/>
  <c r="L136" i="34" s="1"/>
  <c r="M136" i="34" s="1"/>
  <c r="N136" i="34" s="1"/>
  <c r="O136" i="34" s="1"/>
  <c r="P136" i="34" s="1"/>
  <c r="J54" i="34"/>
  <c r="K54" i="34" s="1"/>
  <c r="L54" i="34" s="1"/>
  <c r="M54" i="34" s="1"/>
  <c r="N54" i="34" s="1"/>
  <c r="O54" i="34" s="1"/>
  <c r="P54" i="34" s="1"/>
  <c r="I135" i="34" s="1"/>
  <c r="J135" i="34" s="1"/>
  <c r="K135" i="34" s="1"/>
  <c r="L135" i="34" s="1"/>
  <c r="M135" i="34" s="1"/>
  <c r="N135" i="34" s="1"/>
  <c r="O135" i="34" s="1"/>
  <c r="P135" i="34" s="1"/>
  <c r="J53" i="34"/>
  <c r="K53" i="34" s="1"/>
  <c r="L53" i="34" s="1"/>
  <c r="M53" i="34" s="1"/>
  <c r="N53" i="34" s="1"/>
  <c r="O53" i="34" s="1"/>
  <c r="P53" i="34" s="1"/>
  <c r="I134" i="34" s="1"/>
  <c r="J134" i="34" s="1"/>
  <c r="K134" i="34" s="1"/>
  <c r="L134" i="34" s="1"/>
  <c r="M134" i="34" s="1"/>
  <c r="N134" i="34" s="1"/>
  <c r="O134" i="34" s="1"/>
  <c r="P134" i="34" s="1"/>
  <c r="J52" i="34"/>
  <c r="K52" i="34" s="1"/>
  <c r="L52" i="34" s="1"/>
  <c r="M52" i="34" s="1"/>
  <c r="N52" i="34" s="1"/>
  <c r="O52" i="34" s="1"/>
  <c r="P52" i="34" s="1"/>
  <c r="I133" i="34" s="1"/>
  <c r="J133" i="34" s="1"/>
  <c r="K133" i="34" s="1"/>
  <c r="L133" i="34" s="1"/>
  <c r="M133" i="34" s="1"/>
  <c r="N133" i="34" s="1"/>
  <c r="O133" i="34" s="1"/>
  <c r="P133" i="34" s="1"/>
  <c r="J51" i="34"/>
  <c r="K51" i="34" s="1"/>
  <c r="L51" i="34" s="1"/>
  <c r="M51" i="34" s="1"/>
  <c r="N51" i="34" s="1"/>
  <c r="O51" i="34" s="1"/>
  <c r="P51" i="34" s="1"/>
  <c r="I132" i="34" s="1"/>
  <c r="J132" i="34" s="1"/>
  <c r="K132" i="34" s="1"/>
  <c r="L132" i="34" s="1"/>
  <c r="M132" i="34" s="1"/>
  <c r="N132" i="34" s="1"/>
  <c r="O132" i="34" s="1"/>
  <c r="P132" i="34" s="1"/>
  <c r="J50" i="34"/>
  <c r="J49" i="34"/>
  <c r="K49" i="34" s="1"/>
  <c r="L49" i="34" s="1"/>
  <c r="M49" i="34" s="1"/>
  <c r="N49" i="34" s="1"/>
  <c r="O49" i="34" s="1"/>
  <c r="P49" i="34" s="1"/>
  <c r="I130" i="34" s="1"/>
  <c r="J130" i="34" s="1"/>
  <c r="K130" i="34" s="1"/>
  <c r="L130" i="34" s="1"/>
  <c r="M130" i="34" s="1"/>
  <c r="N130" i="34" s="1"/>
  <c r="O130" i="34" s="1"/>
  <c r="P130" i="34" s="1"/>
  <c r="J48" i="34"/>
  <c r="K48" i="34" s="1"/>
  <c r="L48" i="34" s="1"/>
  <c r="M48" i="34" s="1"/>
  <c r="N48" i="34" s="1"/>
  <c r="O48" i="34" s="1"/>
  <c r="P48" i="34" s="1"/>
  <c r="I129" i="34" s="1"/>
  <c r="J129" i="34" s="1"/>
  <c r="K129" i="34" s="1"/>
  <c r="L129" i="34" s="1"/>
  <c r="M129" i="34" s="1"/>
  <c r="N129" i="34" s="1"/>
  <c r="O129" i="34" s="1"/>
  <c r="P129" i="34" s="1"/>
  <c r="J47" i="34"/>
  <c r="K47" i="34" s="1"/>
  <c r="L47" i="34" s="1"/>
  <c r="M47" i="34" s="1"/>
  <c r="N47" i="34" s="1"/>
  <c r="O47" i="34" s="1"/>
  <c r="P47" i="34" s="1"/>
  <c r="I128" i="34" s="1"/>
  <c r="J128" i="34" s="1"/>
  <c r="K128" i="34" s="1"/>
  <c r="L128" i="34" s="1"/>
  <c r="M128" i="34" s="1"/>
  <c r="N128" i="34" s="1"/>
  <c r="O128" i="34" s="1"/>
  <c r="P128" i="34" s="1"/>
  <c r="J46" i="34"/>
  <c r="K46" i="34" s="1"/>
  <c r="L46" i="34" s="1"/>
  <c r="M46" i="34" s="1"/>
  <c r="N46" i="34" s="1"/>
  <c r="O46" i="34" s="1"/>
  <c r="P46" i="34" s="1"/>
  <c r="I127" i="34" s="1"/>
  <c r="J127" i="34" s="1"/>
  <c r="K127" i="34" s="1"/>
  <c r="L127" i="34" s="1"/>
  <c r="M127" i="34" s="1"/>
  <c r="N127" i="34" s="1"/>
  <c r="O127" i="34" s="1"/>
  <c r="P127" i="34" s="1"/>
  <c r="J45" i="34"/>
  <c r="K45" i="34" s="1"/>
  <c r="L45" i="34" s="1"/>
  <c r="M45" i="34" s="1"/>
  <c r="N45" i="34" s="1"/>
  <c r="O45" i="34" s="1"/>
  <c r="P45" i="34" s="1"/>
  <c r="I126" i="34" s="1"/>
  <c r="J126" i="34" s="1"/>
  <c r="K126" i="34" s="1"/>
  <c r="L126" i="34" s="1"/>
  <c r="M126" i="34" s="1"/>
  <c r="N126" i="34" s="1"/>
  <c r="O126" i="34" s="1"/>
  <c r="P126" i="34" s="1"/>
  <c r="J44" i="34"/>
  <c r="K44" i="34" s="1"/>
  <c r="L44" i="34" s="1"/>
  <c r="M44" i="34" s="1"/>
  <c r="N44" i="34" s="1"/>
  <c r="O44" i="34" s="1"/>
  <c r="P44" i="34" s="1"/>
  <c r="I125" i="34" s="1"/>
  <c r="J125" i="34" s="1"/>
  <c r="K125" i="34" s="1"/>
  <c r="L125" i="34" s="1"/>
  <c r="M125" i="34" s="1"/>
  <c r="N125" i="34" s="1"/>
  <c r="O125" i="34" s="1"/>
  <c r="P125" i="34" s="1"/>
  <c r="J43" i="34"/>
  <c r="K43" i="34" s="1"/>
  <c r="L43" i="34" s="1"/>
  <c r="M43" i="34" s="1"/>
  <c r="N43" i="34" s="1"/>
  <c r="O43" i="34" s="1"/>
  <c r="P43" i="34" s="1"/>
  <c r="I124" i="34" s="1"/>
  <c r="J124" i="34" s="1"/>
  <c r="K124" i="34" s="1"/>
  <c r="L124" i="34" s="1"/>
  <c r="M124" i="34" s="1"/>
  <c r="N124" i="34" s="1"/>
  <c r="O124" i="34" s="1"/>
  <c r="P124" i="34" s="1"/>
  <c r="J42" i="34"/>
  <c r="K42" i="34" s="1"/>
  <c r="L42" i="34" s="1"/>
  <c r="M42" i="34" s="1"/>
  <c r="N42" i="34" s="1"/>
  <c r="O42" i="34" s="1"/>
  <c r="P42" i="34" s="1"/>
  <c r="I123" i="34" s="1"/>
  <c r="J123" i="34" s="1"/>
  <c r="K123" i="34" s="1"/>
  <c r="L123" i="34" s="1"/>
  <c r="M123" i="34" s="1"/>
  <c r="N123" i="34" s="1"/>
  <c r="O123" i="34" s="1"/>
  <c r="P123" i="34" s="1"/>
  <c r="J41" i="34"/>
  <c r="K41" i="34" s="1"/>
  <c r="L41" i="34" s="1"/>
  <c r="M41" i="34" s="1"/>
  <c r="N41" i="34" s="1"/>
  <c r="O41" i="34" s="1"/>
  <c r="P41" i="34" s="1"/>
  <c r="I122" i="34" s="1"/>
  <c r="J122" i="34" s="1"/>
  <c r="K122" i="34" s="1"/>
  <c r="L122" i="34" s="1"/>
  <c r="M122" i="34" s="1"/>
  <c r="N122" i="34" s="1"/>
  <c r="O122" i="34" s="1"/>
  <c r="P122" i="34" s="1"/>
  <c r="J40" i="34"/>
  <c r="K40" i="34" s="1"/>
  <c r="L40" i="34" s="1"/>
  <c r="M40" i="34" s="1"/>
  <c r="N40" i="34" s="1"/>
  <c r="O40" i="34" s="1"/>
  <c r="P40" i="34" s="1"/>
  <c r="I121" i="34" s="1"/>
  <c r="J121" i="34" s="1"/>
  <c r="K121" i="34" s="1"/>
  <c r="L121" i="34" s="1"/>
  <c r="M121" i="34" s="1"/>
  <c r="N121" i="34" s="1"/>
  <c r="O121" i="34" s="1"/>
  <c r="P121" i="34" s="1"/>
  <c r="J39" i="34"/>
  <c r="K39" i="34" s="1"/>
  <c r="L39" i="34" s="1"/>
  <c r="M39" i="34" s="1"/>
  <c r="N39" i="34" s="1"/>
  <c r="O39" i="34" s="1"/>
  <c r="P39" i="34" s="1"/>
  <c r="I120" i="34" s="1"/>
  <c r="J120" i="34" s="1"/>
  <c r="K120" i="34" s="1"/>
  <c r="L120" i="34" s="1"/>
  <c r="M120" i="34" s="1"/>
  <c r="N120" i="34" s="1"/>
  <c r="O120" i="34" s="1"/>
  <c r="P120" i="34" s="1"/>
  <c r="J38" i="34"/>
  <c r="K38" i="34" s="1"/>
  <c r="L38" i="34" s="1"/>
  <c r="M38" i="34" s="1"/>
  <c r="N38" i="34" s="1"/>
  <c r="O38" i="34" s="1"/>
  <c r="P38" i="34" s="1"/>
  <c r="I119" i="34" s="1"/>
  <c r="J119" i="34" s="1"/>
  <c r="K119" i="34" s="1"/>
  <c r="L119" i="34" s="1"/>
  <c r="M119" i="34" s="1"/>
  <c r="N119" i="34" s="1"/>
  <c r="O119" i="34" s="1"/>
  <c r="P119" i="34" s="1"/>
  <c r="P112" i="34"/>
  <c r="O112" i="34"/>
  <c r="N112" i="34"/>
  <c r="M112" i="34"/>
  <c r="L112" i="34"/>
  <c r="K112" i="34"/>
  <c r="J112" i="34"/>
  <c r="I112" i="34"/>
  <c r="D94" i="34"/>
  <c r="D92" i="34"/>
  <c r="P75" i="34"/>
  <c r="O75" i="34"/>
  <c r="N75" i="34"/>
  <c r="M75" i="34"/>
  <c r="L75" i="34"/>
  <c r="K75" i="34"/>
  <c r="J75" i="34"/>
  <c r="L63" i="34"/>
  <c r="M63" i="34" s="1"/>
  <c r="N63" i="34" s="1"/>
  <c r="O63" i="34" s="1"/>
  <c r="P63" i="34" s="1"/>
  <c r="I144" i="34" s="1"/>
  <c r="J144" i="34" s="1"/>
  <c r="K144" i="34" s="1"/>
  <c r="L144" i="34" s="1"/>
  <c r="M144" i="34" s="1"/>
  <c r="N144" i="34" s="1"/>
  <c r="O144" i="34" s="1"/>
  <c r="P144" i="34" s="1"/>
  <c r="K63" i="34"/>
  <c r="P31" i="34"/>
  <c r="O31" i="34"/>
  <c r="N31" i="34"/>
  <c r="M31" i="34"/>
  <c r="L31" i="34"/>
  <c r="K31" i="34"/>
  <c r="J31" i="34"/>
  <c r="K22" i="34"/>
  <c r="L22" i="34" s="1"/>
  <c r="M22" i="34" s="1"/>
  <c r="N22" i="34" s="1"/>
  <c r="O22" i="34" s="1"/>
  <c r="P22" i="34" s="1"/>
  <c r="I103" i="34" s="1"/>
  <c r="J103" i="34" s="1"/>
  <c r="K103" i="34" s="1"/>
  <c r="L103" i="34" s="1"/>
  <c r="M103" i="34" s="1"/>
  <c r="N103" i="34" s="1"/>
  <c r="O103" i="34" s="1"/>
  <c r="P103" i="34" s="1"/>
  <c r="K21" i="34"/>
  <c r="L21" i="34" s="1"/>
  <c r="M21" i="34" s="1"/>
  <c r="N21" i="34" s="1"/>
  <c r="O21" i="34" s="1"/>
  <c r="P21" i="34" s="1"/>
  <c r="I102" i="34" s="1"/>
  <c r="J102" i="34" s="1"/>
  <c r="K102" i="34" s="1"/>
  <c r="L102" i="34" s="1"/>
  <c r="M102" i="34" s="1"/>
  <c r="N102" i="34" s="1"/>
  <c r="O102" i="34" s="1"/>
  <c r="P102" i="34" s="1"/>
  <c r="D11" i="34"/>
  <c r="J61" i="34" l="1"/>
  <c r="K60" i="34"/>
  <c r="L60" i="34" s="1"/>
  <c r="M60" i="34" s="1"/>
  <c r="N60" i="34" s="1"/>
  <c r="O60" i="34" s="1"/>
  <c r="P60" i="34" s="1"/>
  <c r="I141" i="34" s="1"/>
  <c r="J141" i="34" s="1"/>
  <c r="K141" i="34" s="1"/>
  <c r="L141" i="34" s="1"/>
  <c r="M141" i="34" s="1"/>
  <c r="N141" i="34" s="1"/>
  <c r="O141" i="34" s="1"/>
  <c r="P141" i="34" s="1"/>
  <c r="K50" i="34"/>
  <c r="L50" i="34" s="1"/>
  <c r="M50" i="34" s="1"/>
  <c r="N50" i="34" s="1"/>
  <c r="O50" i="34" s="1"/>
  <c r="P50" i="34" s="1"/>
  <c r="I131" i="34" s="1"/>
  <c r="J131" i="34" s="1"/>
  <c r="K131" i="34" s="1"/>
  <c r="L131" i="34" s="1"/>
  <c r="M131" i="34" s="1"/>
  <c r="N131" i="34" s="1"/>
  <c r="O131" i="34" s="1"/>
  <c r="P131" i="34" s="1"/>
  <c r="M59" i="34"/>
  <c r="H29" i="6"/>
  <c r="L20" i="2"/>
  <c r="S2" i="40" s="1"/>
  <c r="L19" i="2"/>
  <c r="T2" i="40" s="1"/>
  <c r="L17" i="2"/>
  <c r="L16" i="2"/>
  <c r="R2" i="40" s="1"/>
  <c r="L15" i="2"/>
  <c r="L14" i="2"/>
  <c r="L13" i="2"/>
  <c r="L12" i="2"/>
  <c r="L11" i="2"/>
  <c r="L10" i="2"/>
  <c r="L9" i="2"/>
  <c r="L8" i="2"/>
  <c r="G140" i="28"/>
  <c r="G78" i="28"/>
  <c r="G134" i="27"/>
  <c r="G76" i="27"/>
  <c r="D102" i="20"/>
  <c r="D66" i="15"/>
  <c r="K61" i="34" l="1"/>
  <c r="L61" i="34"/>
  <c r="Q2" i="40"/>
  <c r="P2" i="40"/>
  <c r="O2" i="40"/>
  <c r="N2" i="40"/>
  <c r="N59" i="34"/>
  <c r="M61" i="34"/>
  <c r="E12" i="26"/>
  <c r="E21" i="25"/>
  <c r="D28" i="22"/>
  <c r="D27" i="22"/>
  <c r="D24" i="22"/>
  <c r="D19" i="22"/>
  <c r="D18" i="22"/>
  <c r="D17" i="22"/>
  <c r="D8" i="22"/>
  <c r="N153" i="28"/>
  <c r="BQ2" i="40" s="1"/>
  <c r="BR2" i="40" s="1"/>
  <c r="K89" i="28"/>
  <c r="K91" i="28" s="1"/>
  <c r="N162" i="27"/>
  <c r="P175" i="20"/>
  <c r="O175" i="20"/>
  <c r="N175" i="20"/>
  <c r="M175" i="20"/>
  <c r="L175" i="20"/>
  <c r="K175" i="20"/>
  <c r="J175" i="20"/>
  <c r="I175" i="20"/>
  <c r="J41" i="20"/>
  <c r="J122" i="20"/>
  <c r="P122" i="20"/>
  <c r="O122" i="20"/>
  <c r="N122" i="20"/>
  <c r="M122" i="20"/>
  <c r="L122" i="20"/>
  <c r="K122" i="20"/>
  <c r="I122" i="20"/>
  <c r="P94" i="20"/>
  <c r="O94" i="20"/>
  <c r="N94" i="20"/>
  <c r="M94" i="20"/>
  <c r="L94" i="20"/>
  <c r="K94" i="20"/>
  <c r="J94" i="20"/>
  <c r="P85" i="20"/>
  <c r="O85" i="20"/>
  <c r="N85" i="20"/>
  <c r="M85" i="20"/>
  <c r="L85" i="20"/>
  <c r="K85" i="20"/>
  <c r="J85" i="20"/>
  <c r="I156" i="20"/>
  <c r="J156" i="20" s="1"/>
  <c r="K156" i="20" s="1"/>
  <c r="L156" i="20" s="1"/>
  <c r="M156" i="20" s="1"/>
  <c r="N156" i="20" s="1"/>
  <c r="O156" i="20" s="1"/>
  <c r="P156" i="20" s="1"/>
  <c r="J71" i="20"/>
  <c r="K70" i="20"/>
  <c r="L70" i="20" s="1"/>
  <c r="M70" i="20" s="1"/>
  <c r="N70" i="20" s="1"/>
  <c r="O70" i="20" s="1"/>
  <c r="P70" i="20" s="1"/>
  <c r="I151" i="20" s="1"/>
  <c r="J151" i="20" s="1"/>
  <c r="K151" i="20" s="1"/>
  <c r="L151" i="20" s="1"/>
  <c r="M151" i="20" s="1"/>
  <c r="N151" i="20" s="1"/>
  <c r="O151" i="20" s="1"/>
  <c r="P151" i="20" s="1"/>
  <c r="K69" i="20"/>
  <c r="L69" i="20" s="1"/>
  <c r="M69" i="20" s="1"/>
  <c r="N69" i="20" s="1"/>
  <c r="O69" i="20" s="1"/>
  <c r="P69" i="20" s="1"/>
  <c r="P71" i="20" s="1"/>
  <c r="K66" i="20"/>
  <c r="L66" i="20" s="1"/>
  <c r="M66" i="20" s="1"/>
  <c r="K65" i="20"/>
  <c r="L65" i="20" s="1"/>
  <c r="M65" i="20" s="1"/>
  <c r="N65" i="20" s="1"/>
  <c r="O65" i="20" s="1"/>
  <c r="P65" i="20" s="1"/>
  <c r="I146" i="20" s="1"/>
  <c r="J146" i="20" s="1"/>
  <c r="K146" i="20" s="1"/>
  <c r="L146" i="20" s="1"/>
  <c r="M146" i="20" s="1"/>
  <c r="N146" i="20" s="1"/>
  <c r="O146" i="20" s="1"/>
  <c r="P146" i="20" s="1"/>
  <c r="K64" i="20"/>
  <c r="L64" i="20" s="1"/>
  <c r="M64" i="20" s="1"/>
  <c r="N64" i="20" s="1"/>
  <c r="O64" i="20" s="1"/>
  <c r="P64" i="20" s="1"/>
  <c r="I145" i="20" s="1"/>
  <c r="J145" i="20" s="1"/>
  <c r="K145" i="20" s="1"/>
  <c r="L145" i="20" s="1"/>
  <c r="M145" i="20" s="1"/>
  <c r="N145" i="20" s="1"/>
  <c r="O145" i="20" s="1"/>
  <c r="P145" i="20" s="1"/>
  <c r="K63" i="20"/>
  <c r="L63" i="20" s="1"/>
  <c r="M63" i="20" s="1"/>
  <c r="N63" i="20" s="1"/>
  <c r="O63" i="20" s="1"/>
  <c r="P63" i="20" s="1"/>
  <c r="I144" i="20" s="1"/>
  <c r="J144" i="20" s="1"/>
  <c r="K144" i="20" s="1"/>
  <c r="L144" i="20" s="1"/>
  <c r="M144" i="20" s="1"/>
  <c r="N144" i="20" s="1"/>
  <c r="O144" i="20" s="1"/>
  <c r="P144" i="20" s="1"/>
  <c r="K62" i="20"/>
  <c r="L62" i="20" s="1"/>
  <c r="M62" i="20" s="1"/>
  <c r="N62" i="20" s="1"/>
  <c r="O62" i="20" s="1"/>
  <c r="P62" i="20" s="1"/>
  <c r="I143" i="20" s="1"/>
  <c r="J143" i="20" s="1"/>
  <c r="K143" i="20" s="1"/>
  <c r="L143" i="20" s="1"/>
  <c r="M143" i="20" s="1"/>
  <c r="N143" i="20" s="1"/>
  <c r="O143" i="20" s="1"/>
  <c r="P143" i="20" s="1"/>
  <c r="K61" i="20"/>
  <c r="L61" i="20" s="1"/>
  <c r="M61" i="20" s="1"/>
  <c r="N61" i="20" s="1"/>
  <c r="O61" i="20" s="1"/>
  <c r="P61" i="20" s="1"/>
  <c r="I142" i="20" s="1"/>
  <c r="J142" i="20" s="1"/>
  <c r="K142" i="20" s="1"/>
  <c r="L142" i="20" s="1"/>
  <c r="M142" i="20" s="1"/>
  <c r="N142" i="20" s="1"/>
  <c r="O142" i="20" s="1"/>
  <c r="P142" i="20" s="1"/>
  <c r="K60" i="20"/>
  <c r="L60" i="20" s="1"/>
  <c r="M60" i="20" s="1"/>
  <c r="N60" i="20" s="1"/>
  <c r="O60" i="20" s="1"/>
  <c r="P60" i="20" s="1"/>
  <c r="I141" i="20" s="1"/>
  <c r="J141" i="20" s="1"/>
  <c r="K141" i="20" s="1"/>
  <c r="L141" i="20" s="1"/>
  <c r="M141" i="20" s="1"/>
  <c r="N141" i="20" s="1"/>
  <c r="O141" i="20" s="1"/>
  <c r="P141" i="20" s="1"/>
  <c r="K59" i="20"/>
  <c r="L59" i="20" s="1"/>
  <c r="M59" i="20" s="1"/>
  <c r="N59" i="20" s="1"/>
  <c r="O59" i="20" s="1"/>
  <c r="P59" i="20" s="1"/>
  <c r="I140" i="20" s="1"/>
  <c r="J140" i="20" s="1"/>
  <c r="K140" i="20" s="1"/>
  <c r="L140" i="20" s="1"/>
  <c r="M140" i="20" s="1"/>
  <c r="N140" i="20" s="1"/>
  <c r="O140" i="20" s="1"/>
  <c r="P140" i="20" s="1"/>
  <c r="K58" i="20"/>
  <c r="L58" i="20" s="1"/>
  <c r="M58" i="20" s="1"/>
  <c r="N58" i="20" s="1"/>
  <c r="O58" i="20" s="1"/>
  <c r="P58" i="20" s="1"/>
  <c r="I139" i="20" s="1"/>
  <c r="J139" i="20" s="1"/>
  <c r="K139" i="20" s="1"/>
  <c r="L139" i="20" s="1"/>
  <c r="M139" i="20" s="1"/>
  <c r="N139" i="20" s="1"/>
  <c r="O139" i="20" s="1"/>
  <c r="P139" i="20" s="1"/>
  <c r="K57" i="20"/>
  <c r="L57" i="20" s="1"/>
  <c r="M57" i="20" s="1"/>
  <c r="N57" i="20" s="1"/>
  <c r="O57" i="20" s="1"/>
  <c r="P57" i="20" s="1"/>
  <c r="I138" i="20" s="1"/>
  <c r="J138" i="20" s="1"/>
  <c r="K138" i="20" s="1"/>
  <c r="L138" i="20" s="1"/>
  <c r="M138" i="20" s="1"/>
  <c r="N138" i="20" s="1"/>
  <c r="O138" i="20" s="1"/>
  <c r="P138" i="20" s="1"/>
  <c r="K56" i="20"/>
  <c r="L56" i="20" s="1"/>
  <c r="M56" i="20" s="1"/>
  <c r="N56" i="20" s="1"/>
  <c r="O56" i="20" s="1"/>
  <c r="P56" i="20" s="1"/>
  <c r="I137" i="20" s="1"/>
  <c r="J137" i="20" s="1"/>
  <c r="K137" i="20" s="1"/>
  <c r="L137" i="20" s="1"/>
  <c r="M137" i="20" s="1"/>
  <c r="N137" i="20" s="1"/>
  <c r="O137" i="20" s="1"/>
  <c r="P137" i="20" s="1"/>
  <c r="K55" i="20"/>
  <c r="L55" i="20" s="1"/>
  <c r="M55" i="20" s="1"/>
  <c r="N55" i="20" s="1"/>
  <c r="O55" i="20" s="1"/>
  <c r="P55" i="20" s="1"/>
  <c r="I136" i="20" s="1"/>
  <c r="J136" i="20" s="1"/>
  <c r="K136" i="20" s="1"/>
  <c r="L136" i="20" s="1"/>
  <c r="M136" i="20" s="1"/>
  <c r="N136" i="20" s="1"/>
  <c r="O136" i="20" s="1"/>
  <c r="P136" i="20" s="1"/>
  <c r="K54" i="20"/>
  <c r="L54" i="20" s="1"/>
  <c r="M54" i="20" s="1"/>
  <c r="N54" i="20" s="1"/>
  <c r="O54" i="20" s="1"/>
  <c r="P54" i="20" s="1"/>
  <c r="I135" i="20" s="1"/>
  <c r="J135" i="20" s="1"/>
  <c r="K135" i="20" s="1"/>
  <c r="L135" i="20" s="1"/>
  <c r="M135" i="20" s="1"/>
  <c r="N135" i="20" s="1"/>
  <c r="O135" i="20" s="1"/>
  <c r="P135" i="20" s="1"/>
  <c r="L53" i="20"/>
  <c r="M53" i="20" s="1"/>
  <c r="N53" i="20" s="1"/>
  <c r="O53" i="20" s="1"/>
  <c r="P53" i="20" s="1"/>
  <c r="I134" i="20" s="1"/>
  <c r="J134" i="20" s="1"/>
  <c r="K134" i="20" s="1"/>
  <c r="L134" i="20" s="1"/>
  <c r="M134" i="20" s="1"/>
  <c r="N134" i="20" s="1"/>
  <c r="O134" i="20" s="1"/>
  <c r="P134" i="20" s="1"/>
  <c r="K53" i="20"/>
  <c r="K52" i="20"/>
  <c r="L52" i="20" s="1"/>
  <c r="M52" i="20" s="1"/>
  <c r="N52" i="20" s="1"/>
  <c r="O52" i="20" s="1"/>
  <c r="P52" i="20" s="1"/>
  <c r="I133" i="20" s="1"/>
  <c r="J133" i="20" s="1"/>
  <c r="K133" i="20" s="1"/>
  <c r="L133" i="20" s="1"/>
  <c r="M133" i="20" s="1"/>
  <c r="N133" i="20" s="1"/>
  <c r="O133" i="20" s="1"/>
  <c r="P133" i="20" s="1"/>
  <c r="K51" i="20"/>
  <c r="L51" i="20" s="1"/>
  <c r="M51" i="20" s="1"/>
  <c r="N51" i="20" s="1"/>
  <c r="O51" i="20" s="1"/>
  <c r="P51" i="20" s="1"/>
  <c r="I132" i="20" s="1"/>
  <c r="J132" i="20" s="1"/>
  <c r="K132" i="20" s="1"/>
  <c r="L132" i="20" s="1"/>
  <c r="M132" i="20" s="1"/>
  <c r="N132" i="20" s="1"/>
  <c r="O132" i="20" s="1"/>
  <c r="P132" i="20" s="1"/>
  <c r="K50" i="20"/>
  <c r="L50" i="20" s="1"/>
  <c r="M50" i="20" s="1"/>
  <c r="N50" i="20" s="1"/>
  <c r="O50" i="20" s="1"/>
  <c r="P50" i="20" s="1"/>
  <c r="I131" i="20" s="1"/>
  <c r="J131" i="20" s="1"/>
  <c r="K131" i="20" s="1"/>
  <c r="L131" i="20" s="1"/>
  <c r="M131" i="20" s="1"/>
  <c r="N131" i="20" s="1"/>
  <c r="O131" i="20" s="1"/>
  <c r="P131" i="20" s="1"/>
  <c r="K49" i="20"/>
  <c r="L49" i="20" s="1"/>
  <c r="M49" i="20" s="1"/>
  <c r="N49" i="20" s="1"/>
  <c r="O49" i="20" s="1"/>
  <c r="P49" i="20" s="1"/>
  <c r="I130" i="20" s="1"/>
  <c r="K48" i="20"/>
  <c r="L48" i="20" s="1"/>
  <c r="M48" i="20" s="1"/>
  <c r="N48" i="20" s="1"/>
  <c r="O48" i="20" s="1"/>
  <c r="P48" i="20" s="1"/>
  <c r="I129" i="20" s="1"/>
  <c r="J129" i="20" s="1"/>
  <c r="K129" i="20" s="1"/>
  <c r="L129" i="20" s="1"/>
  <c r="M129" i="20" s="1"/>
  <c r="N129" i="20" s="1"/>
  <c r="O129" i="20" s="1"/>
  <c r="P129" i="20" s="1"/>
  <c r="P41" i="20"/>
  <c r="O41" i="20"/>
  <c r="N41" i="20"/>
  <c r="M41" i="20"/>
  <c r="L41" i="20"/>
  <c r="K41" i="20"/>
  <c r="K31" i="20"/>
  <c r="L31" i="20" s="1"/>
  <c r="M31" i="20" s="1"/>
  <c r="N31" i="20" s="1"/>
  <c r="O31" i="20" s="1"/>
  <c r="P31" i="20" s="1"/>
  <c r="I112" i="20" s="1"/>
  <c r="J112" i="20" s="1"/>
  <c r="K112" i="20" s="1"/>
  <c r="L112" i="20" s="1"/>
  <c r="M112" i="20" s="1"/>
  <c r="N112" i="20" s="1"/>
  <c r="O112" i="20" s="1"/>
  <c r="P112" i="20" s="1"/>
  <c r="K32" i="20"/>
  <c r="L32" i="20" s="1"/>
  <c r="M32" i="20" s="1"/>
  <c r="N32" i="20" s="1"/>
  <c r="O32" i="20" s="1"/>
  <c r="P32" i="20" s="1"/>
  <c r="I113" i="20" s="1"/>
  <c r="J113" i="20" s="1"/>
  <c r="K113" i="20" s="1"/>
  <c r="L113" i="20" s="1"/>
  <c r="M113" i="20" s="1"/>
  <c r="N113" i="20" s="1"/>
  <c r="O113" i="20" s="1"/>
  <c r="P113" i="20" s="1"/>
  <c r="P29" i="19"/>
  <c r="P43" i="19" s="1"/>
  <c r="O29" i="19"/>
  <c r="O43" i="19" s="1"/>
  <c r="N29" i="19"/>
  <c r="N43" i="19" s="1"/>
  <c r="M29" i="19"/>
  <c r="M43" i="19" s="1"/>
  <c r="K43" i="19"/>
  <c r="P19" i="19"/>
  <c r="P31" i="19" s="1"/>
  <c r="O19" i="19"/>
  <c r="O31" i="19" s="1"/>
  <c r="N19" i="19"/>
  <c r="N31" i="19" s="1"/>
  <c r="H28" i="18"/>
  <c r="J28" i="18" s="1"/>
  <c r="K28" i="18" s="1"/>
  <c r="H27" i="18"/>
  <c r="J27" i="18" s="1"/>
  <c r="K27" i="18" s="1"/>
  <c r="H26" i="18"/>
  <c r="J26" i="18" s="1"/>
  <c r="K26" i="18" s="1"/>
  <c r="H25" i="18"/>
  <c r="J25" i="18" s="1"/>
  <c r="K25" i="18" s="1"/>
  <c r="H24" i="18"/>
  <c r="J24" i="18" s="1"/>
  <c r="K24" i="18" s="1"/>
  <c r="J18" i="18"/>
  <c r="K18" i="18" s="1"/>
  <c r="H19" i="18"/>
  <c r="J19" i="18" s="1"/>
  <c r="H18" i="18"/>
  <c r="H17" i="18"/>
  <c r="H16" i="18"/>
  <c r="J16" i="18" s="1"/>
  <c r="K16" i="18" s="1"/>
  <c r="H15" i="18"/>
  <c r="J15" i="18" s="1"/>
  <c r="K15" i="18" s="1"/>
  <c r="G36" i="17"/>
  <c r="F36" i="17"/>
  <c r="H35" i="17"/>
  <c r="H34" i="17"/>
  <c r="H33" i="17"/>
  <c r="H25" i="17"/>
  <c r="H23" i="17"/>
  <c r="F28" i="17"/>
  <c r="G28" i="17"/>
  <c r="H27" i="17"/>
  <c r="H26" i="17"/>
  <c r="H24" i="17"/>
  <c r="G18" i="17"/>
  <c r="F18" i="17"/>
  <c r="H17" i="17"/>
  <c r="H16" i="17"/>
  <c r="H15" i="17"/>
  <c r="H14" i="17"/>
  <c r="CQ2" i="40" l="1"/>
  <c r="J73" i="20"/>
  <c r="N61" i="34"/>
  <c r="O59" i="34"/>
  <c r="N71" i="20"/>
  <c r="K71" i="20"/>
  <c r="L71" i="20"/>
  <c r="N66" i="20"/>
  <c r="O66" i="20" s="1"/>
  <c r="P66" i="20" s="1"/>
  <c r="I147" i="20" s="1"/>
  <c r="J147" i="20" s="1"/>
  <c r="K147" i="20" s="1"/>
  <c r="L147" i="20" s="1"/>
  <c r="M147" i="20" s="1"/>
  <c r="N147" i="20" s="1"/>
  <c r="O147" i="20" s="1"/>
  <c r="P147" i="20" s="1"/>
  <c r="M71" i="20"/>
  <c r="I150" i="20"/>
  <c r="O71" i="20"/>
  <c r="K29" i="18"/>
  <c r="J17" i="18"/>
  <c r="K17" i="18" s="1"/>
  <c r="K20" i="18" s="1"/>
  <c r="K19" i="18"/>
  <c r="H36" i="17"/>
  <c r="CD2" i="40" s="1"/>
  <c r="H28" i="17"/>
  <c r="CB2" i="40" s="1"/>
  <c r="H18" i="17"/>
  <c r="J130" i="20"/>
  <c r="K130" i="20" s="1"/>
  <c r="L130" i="20" s="1"/>
  <c r="M130" i="20" s="1"/>
  <c r="N130" i="20" s="1"/>
  <c r="O130" i="20" s="1"/>
  <c r="P130" i="20" s="1"/>
  <c r="D23" i="16"/>
  <c r="M22" i="16"/>
  <c r="L22" i="16"/>
  <c r="N22" i="16" s="1"/>
  <c r="I22" i="16"/>
  <c r="K22" i="16" s="1"/>
  <c r="M20" i="16"/>
  <c r="L20" i="16"/>
  <c r="N20" i="16" s="1"/>
  <c r="M19" i="16"/>
  <c r="L19" i="16"/>
  <c r="N19" i="16" s="1"/>
  <c r="K19" i="16"/>
  <c r="M18" i="16"/>
  <c r="L18" i="16"/>
  <c r="M17" i="16"/>
  <c r="L17" i="16"/>
  <c r="N17" i="16" s="1"/>
  <c r="M16" i="16"/>
  <c r="L16" i="16"/>
  <c r="N16" i="16" s="1"/>
  <c r="M15" i="16"/>
  <c r="L15" i="16"/>
  <c r="N15" i="16" s="1"/>
  <c r="K15" i="16"/>
  <c r="L14" i="16"/>
  <c r="M13" i="16"/>
  <c r="L13" i="16"/>
  <c r="N13" i="16" s="1"/>
  <c r="M12" i="16"/>
  <c r="L12" i="16"/>
  <c r="L11" i="16"/>
  <c r="M10" i="16"/>
  <c r="L10" i="16"/>
  <c r="M9" i="16"/>
  <c r="L9" i="16"/>
  <c r="I20" i="16"/>
  <c r="K20" i="16" s="1"/>
  <c r="I19" i="16"/>
  <c r="I18" i="16"/>
  <c r="K18" i="16" s="1"/>
  <c r="I17" i="16"/>
  <c r="K17" i="16" s="1"/>
  <c r="I16" i="16"/>
  <c r="K16" i="16" s="1"/>
  <c r="I15" i="16"/>
  <c r="I14" i="16"/>
  <c r="I13" i="16"/>
  <c r="K13" i="16" s="1"/>
  <c r="I12" i="16"/>
  <c r="K12" i="16" s="1"/>
  <c r="I11" i="16"/>
  <c r="I10" i="16"/>
  <c r="K10" i="16" s="1"/>
  <c r="I9" i="16"/>
  <c r="K9" i="16" s="1"/>
  <c r="I8" i="16"/>
  <c r="J8" i="16" s="1"/>
  <c r="M8" i="16" s="1"/>
  <c r="L100" i="15"/>
  <c r="L102" i="15" s="1"/>
  <c r="K100" i="15"/>
  <c r="K102" i="15" s="1"/>
  <c r="J100" i="15"/>
  <c r="J102" i="15" s="1"/>
  <c r="I100" i="15"/>
  <c r="I102" i="15" s="1"/>
  <c r="H100" i="15"/>
  <c r="H102" i="15" s="1"/>
  <c r="G100" i="15"/>
  <c r="G102" i="15" s="1"/>
  <c r="F100" i="15"/>
  <c r="F102" i="15" s="1"/>
  <c r="E100" i="15"/>
  <c r="E102" i="15" s="1"/>
  <c r="E49" i="15"/>
  <c r="M72" i="15"/>
  <c r="M71" i="15"/>
  <c r="M98" i="15"/>
  <c r="M97" i="15"/>
  <c r="M96" i="15"/>
  <c r="M95" i="15"/>
  <c r="M94" i="15"/>
  <c r="M93" i="15"/>
  <c r="M92" i="15"/>
  <c r="M91" i="15"/>
  <c r="M83" i="15"/>
  <c r="M85" i="15"/>
  <c r="M84" i="15"/>
  <c r="M82" i="15"/>
  <c r="M81" i="15"/>
  <c r="M80" i="15"/>
  <c r="M79" i="15"/>
  <c r="M78" i="15"/>
  <c r="M74" i="15"/>
  <c r="M73" i="15"/>
  <c r="J36" i="34" l="1"/>
  <c r="J57" i="34" s="1"/>
  <c r="J66" i="34" s="1"/>
  <c r="J47" i="20"/>
  <c r="J37" i="34"/>
  <c r="K37" i="34" s="1"/>
  <c r="L37" i="34" s="1"/>
  <c r="M37" i="34" s="1"/>
  <c r="N37" i="34" s="1"/>
  <c r="O37" i="34" s="1"/>
  <c r="P37" i="34" s="1"/>
  <c r="I118" i="34" s="1"/>
  <c r="J118" i="34" s="1"/>
  <c r="K118" i="34" s="1"/>
  <c r="L118" i="34" s="1"/>
  <c r="M118" i="34" s="1"/>
  <c r="N118" i="34" s="1"/>
  <c r="O118" i="34" s="1"/>
  <c r="P118" i="34" s="1"/>
  <c r="J11" i="16"/>
  <c r="M11" i="16" s="1"/>
  <c r="N11" i="16" s="1"/>
  <c r="N8" i="16"/>
  <c r="J14" i="16"/>
  <c r="M14" i="16" s="1"/>
  <c r="N14" i="16" s="1"/>
  <c r="L23" i="16"/>
  <c r="N12" i="16"/>
  <c r="N18" i="16"/>
  <c r="N10" i="16"/>
  <c r="CL2" i="40"/>
  <c r="K73" i="20"/>
  <c r="L73" i="20" s="1"/>
  <c r="M73" i="20" s="1"/>
  <c r="N73" i="20" s="1"/>
  <c r="O73" i="20" s="1"/>
  <c r="P73" i="20" s="1"/>
  <c r="I154" i="20" s="1"/>
  <c r="J154" i="20" s="1"/>
  <c r="K154" i="20" s="1"/>
  <c r="L154" i="20" s="1"/>
  <c r="M154" i="20" s="1"/>
  <c r="N154" i="20" s="1"/>
  <c r="O154" i="20" s="1"/>
  <c r="P154" i="20" s="1"/>
  <c r="N9" i="16"/>
  <c r="CC2" i="40"/>
  <c r="J30" i="20"/>
  <c r="J20" i="34"/>
  <c r="J35" i="20"/>
  <c r="J25" i="34"/>
  <c r="O61" i="34"/>
  <c r="P59" i="34"/>
  <c r="J150" i="20"/>
  <c r="I152" i="20"/>
  <c r="J46" i="20"/>
  <c r="CF2" i="40" s="1"/>
  <c r="K31" i="18"/>
  <c r="M86" i="15"/>
  <c r="M100" i="15"/>
  <c r="M75" i="15"/>
  <c r="C71" i="15"/>
  <c r="L49" i="15"/>
  <c r="K49" i="15"/>
  <c r="J49" i="15"/>
  <c r="I49" i="15"/>
  <c r="H49" i="15"/>
  <c r="G49" i="15"/>
  <c r="F49" i="15"/>
  <c r="L35" i="15"/>
  <c r="K35" i="15"/>
  <c r="J35" i="15"/>
  <c r="I35" i="15"/>
  <c r="H35" i="15"/>
  <c r="G35" i="15"/>
  <c r="F35" i="15"/>
  <c r="E35" i="15"/>
  <c r="L24" i="15"/>
  <c r="K24" i="15"/>
  <c r="J24" i="15"/>
  <c r="I24" i="15"/>
  <c r="H24" i="15"/>
  <c r="G24" i="15"/>
  <c r="F24" i="15"/>
  <c r="E24" i="15"/>
  <c r="E37" i="15" s="1"/>
  <c r="E51" i="15" s="1"/>
  <c r="C34" i="15"/>
  <c r="C85" i="15" s="1"/>
  <c r="C33" i="15"/>
  <c r="C84" i="15" s="1"/>
  <c r="C32" i="15"/>
  <c r="C83" i="15" s="1"/>
  <c r="C31" i="15"/>
  <c r="C82" i="15" s="1"/>
  <c r="C30" i="15"/>
  <c r="C81" i="15" s="1"/>
  <c r="C29" i="15"/>
  <c r="C80" i="15" s="1"/>
  <c r="C28" i="15"/>
  <c r="C79" i="15" s="1"/>
  <c r="C27" i="15"/>
  <c r="C78" i="15" s="1"/>
  <c r="C23" i="15"/>
  <c r="C74" i="15" s="1"/>
  <c r="C22" i="15"/>
  <c r="C73" i="15" s="1"/>
  <c r="C21" i="15"/>
  <c r="C72" i="15" s="1"/>
  <c r="F41" i="14"/>
  <c r="E41" i="14"/>
  <c r="F29" i="14"/>
  <c r="E29" i="14"/>
  <c r="F18" i="14"/>
  <c r="E18" i="14"/>
  <c r="I50" i="13"/>
  <c r="I51" i="13" s="1"/>
  <c r="I46" i="13"/>
  <c r="I45" i="13"/>
  <c r="I44" i="13"/>
  <c r="I43" i="13"/>
  <c r="I39" i="13"/>
  <c r="I38" i="13"/>
  <c r="I36" i="13"/>
  <c r="I35" i="13"/>
  <c r="I31" i="13"/>
  <c r="I30" i="13"/>
  <c r="I29" i="13"/>
  <c r="I28" i="13"/>
  <c r="I27" i="13"/>
  <c r="I26" i="13"/>
  <c r="I25" i="13"/>
  <c r="I24" i="13"/>
  <c r="I20" i="13"/>
  <c r="I19" i="13"/>
  <c r="I18" i="13"/>
  <c r="I17" i="13"/>
  <c r="I16" i="13"/>
  <c r="I15" i="13"/>
  <c r="I14" i="13"/>
  <c r="I13" i="13"/>
  <c r="I9" i="13"/>
  <c r="I10" i="13" s="1"/>
  <c r="G48" i="12"/>
  <c r="G24" i="12"/>
  <c r="K75" i="11"/>
  <c r="J106" i="11"/>
  <c r="J75" i="11"/>
  <c r="J62" i="11"/>
  <c r="J46" i="11"/>
  <c r="K36" i="34" l="1"/>
  <c r="K57" i="34" s="1"/>
  <c r="K66" i="34" s="1"/>
  <c r="K47" i="20"/>
  <c r="L47" i="20" s="1"/>
  <c r="M47" i="20" s="1"/>
  <c r="N47" i="20" s="1"/>
  <c r="O47" i="20" s="1"/>
  <c r="P47" i="20" s="1"/>
  <c r="I128" i="20" s="1"/>
  <c r="J128" i="20" s="1"/>
  <c r="K128" i="20" s="1"/>
  <c r="L128" i="20" s="1"/>
  <c r="M128" i="20" s="1"/>
  <c r="N128" i="20" s="1"/>
  <c r="O128" i="20" s="1"/>
  <c r="P128" i="20" s="1"/>
  <c r="CG2" i="40"/>
  <c r="K11" i="16"/>
  <c r="K14" i="16"/>
  <c r="M23" i="16"/>
  <c r="J29" i="20" s="1"/>
  <c r="K29" i="20" s="1"/>
  <c r="L29" i="20" s="1"/>
  <c r="M29" i="20" s="1"/>
  <c r="N29" i="20" s="1"/>
  <c r="O29" i="20" s="1"/>
  <c r="P29" i="20" s="1"/>
  <c r="I110" i="20" s="1"/>
  <c r="J110" i="20" s="1"/>
  <c r="K110" i="20" s="1"/>
  <c r="L110" i="20" s="1"/>
  <c r="M110" i="20" s="1"/>
  <c r="N110" i="20" s="1"/>
  <c r="O110" i="20" s="1"/>
  <c r="P110" i="20" s="1"/>
  <c r="N23" i="16"/>
  <c r="F37" i="15"/>
  <c r="F51" i="15" s="1"/>
  <c r="J37" i="15"/>
  <c r="J51" i="15" s="1"/>
  <c r="J18" i="34"/>
  <c r="K18" i="34" s="1"/>
  <c r="J28" i="20"/>
  <c r="K28" i="20" s="1"/>
  <c r="H37" i="15"/>
  <c r="H51" i="15" s="1"/>
  <c r="L37" i="15"/>
  <c r="L51" i="15" s="1"/>
  <c r="M88" i="15"/>
  <c r="M102" i="15" s="1"/>
  <c r="BY2" i="40"/>
  <c r="BZ2" i="40"/>
  <c r="F43" i="14"/>
  <c r="BX2" i="40" s="1"/>
  <c r="F31" i="14"/>
  <c r="G36" i="12" s="1"/>
  <c r="F20" i="14"/>
  <c r="BS2" i="40" s="1"/>
  <c r="I47" i="13"/>
  <c r="I40" i="13"/>
  <c r="I32" i="13"/>
  <c r="I21" i="13"/>
  <c r="G37" i="15"/>
  <c r="G51" i="15" s="1"/>
  <c r="K37" i="15"/>
  <c r="K51" i="15" s="1"/>
  <c r="I140" i="34"/>
  <c r="P61" i="34"/>
  <c r="K150" i="20"/>
  <c r="J152" i="20"/>
  <c r="J67" i="20"/>
  <c r="K46" i="20"/>
  <c r="I37" i="15"/>
  <c r="I51" i="15" s="1"/>
  <c r="U116" i="9"/>
  <c r="T116" i="9"/>
  <c r="Q116" i="9"/>
  <c r="P116" i="9"/>
  <c r="O116" i="9"/>
  <c r="N116" i="9"/>
  <c r="M116" i="9"/>
  <c r="L116" i="9"/>
  <c r="U105" i="9"/>
  <c r="T105" i="9"/>
  <c r="Q105" i="9"/>
  <c r="P105" i="9"/>
  <c r="O105" i="9"/>
  <c r="N105" i="9"/>
  <c r="M105" i="9"/>
  <c r="L105" i="9"/>
  <c r="U91" i="9"/>
  <c r="T91" i="9"/>
  <c r="Q91" i="9"/>
  <c r="P91" i="9"/>
  <c r="O91" i="9"/>
  <c r="N91" i="9"/>
  <c r="M91" i="9"/>
  <c r="L91" i="9"/>
  <c r="U85" i="9"/>
  <c r="T85" i="9"/>
  <c r="Q85" i="9"/>
  <c r="P85" i="9"/>
  <c r="O85" i="9"/>
  <c r="N85" i="9"/>
  <c r="M85" i="9"/>
  <c r="L85" i="9"/>
  <c r="U74" i="9"/>
  <c r="T74" i="9"/>
  <c r="Q74" i="9"/>
  <c r="P74" i="9"/>
  <c r="O74" i="9"/>
  <c r="N74" i="9"/>
  <c r="M74" i="9"/>
  <c r="L74" i="9"/>
  <c r="U66" i="9"/>
  <c r="T66" i="9"/>
  <c r="Q66" i="9"/>
  <c r="P66" i="9"/>
  <c r="O66" i="9"/>
  <c r="N66" i="9"/>
  <c r="M66" i="9"/>
  <c r="L66" i="9"/>
  <c r="U61" i="9"/>
  <c r="T61" i="9"/>
  <c r="Q61" i="9"/>
  <c r="P61" i="9"/>
  <c r="O61" i="9"/>
  <c r="N61" i="9"/>
  <c r="M61" i="9"/>
  <c r="L61" i="9"/>
  <c r="U45" i="9"/>
  <c r="T45" i="9"/>
  <c r="Q45" i="9"/>
  <c r="P45" i="9"/>
  <c r="O45" i="9"/>
  <c r="N45" i="9"/>
  <c r="M45" i="9"/>
  <c r="L45" i="9"/>
  <c r="U26" i="9"/>
  <c r="U119" i="9" s="1"/>
  <c r="T26" i="9"/>
  <c r="Q26" i="9"/>
  <c r="Q119" i="9" s="1"/>
  <c r="P26" i="9"/>
  <c r="O26" i="9"/>
  <c r="O119" i="9" s="1"/>
  <c r="O123" i="9" s="1"/>
  <c r="N26" i="9"/>
  <c r="M26" i="9"/>
  <c r="L26" i="9"/>
  <c r="S115" i="9"/>
  <c r="S114" i="9"/>
  <c r="S113" i="9"/>
  <c r="S112" i="9"/>
  <c r="S111" i="9"/>
  <c r="S110" i="9"/>
  <c r="S109" i="9"/>
  <c r="S104" i="9"/>
  <c r="S103" i="9"/>
  <c r="S102" i="9"/>
  <c r="S101" i="9"/>
  <c r="S100" i="9"/>
  <c r="S99" i="9"/>
  <c r="S98" i="9"/>
  <c r="S97" i="9"/>
  <c r="S96" i="9"/>
  <c r="S95" i="9"/>
  <c r="S94" i="9"/>
  <c r="S90" i="9"/>
  <c r="S89" i="9"/>
  <c r="S88" i="9"/>
  <c r="S84" i="9"/>
  <c r="S83" i="9"/>
  <c r="S82" i="9"/>
  <c r="S81" i="9"/>
  <c r="S80" i="9"/>
  <c r="S79" i="9"/>
  <c r="S78" i="9"/>
  <c r="S77" i="9"/>
  <c r="S73" i="9"/>
  <c r="S72" i="9"/>
  <c r="S71" i="9"/>
  <c r="S70" i="9"/>
  <c r="S69" i="9"/>
  <c r="S65" i="9"/>
  <c r="S64" i="9"/>
  <c r="S60" i="9"/>
  <c r="S59" i="9"/>
  <c r="S58" i="9"/>
  <c r="S57" i="9"/>
  <c r="S56" i="9"/>
  <c r="S55" i="9"/>
  <c r="S54" i="9"/>
  <c r="S53" i="9"/>
  <c r="S52" i="9"/>
  <c r="S51" i="9"/>
  <c r="S50" i="9"/>
  <c r="S49" i="9"/>
  <c r="S48" i="9"/>
  <c r="S44" i="9"/>
  <c r="S43" i="9"/>
  <c r="S42" i="9"/>
  <c r="S41" i="9"/>
  <c r="S40" i="9"/>
  <c r="S39" i="9"/>
  <c r="S38" i="9"/>
  <c r="S37" i="9"/>
  <c r="S36" i="9"/>
  <c r="S35" i="9"/>
  <c r="S34" i="9"/>
  <c r="S33" i="9"/>
  <c r="S32" i="9"/>
  <c r="S31" i="9"/>
  <c r="S30" i="9"/>
  <c r="S29" i="9"/>
  <c r="S25" i="9"/>
  <c r="S24" i="9"/>
  <c r="S23" i="9"/>
  <c r="S22" i="9"/>
  <c r="S21" i="9"/>
  <c r="K115" i="9"/>
  <c r="I115" i="11" s="1"/>
  <c r="K114" i="9"/>
  <c r="K113" i="9"/>
  <c r="K112" i="9"/>
  <c r="I112" i="11" s="1"/>
  <c r="K111" i="9"/>
  <c r="I111" i="11" s="1"/>
  <c r="K110" i="9"/>
  <c r="K109" i="9"/>
  <c r="K104" i="9"/>
  <c r="K103" i="9"/>
  <c r="K102" i="9"/>
  <c r="K101" i="9"/>
  <c r="K100" i="9"/>
  <c r="I101" i="11" s="1"/>
  <c r="K99" i="9"/>
  <c r="I100" i="11" s="1"/>
  <c r="K98" i="9"/>
  <c r="K97" i="9"/>
  <c r="K96" i="9"/>
  <c r="I97" i="11" s="1"/>
  <c r="K95" i="9"/>
  <c r="I96" i="11" s="1"/>
  <c r="K94" i="9"/>
  <c r="K90" i="9"/>
  <c r="K89" i="9"/>
  <c r="BL2" i="40" s="1"/>
  <c r="K88" i="9"/>
  <c r="BJ2" i="40" s="1"/>
  <c r="K84" i="9"/>
  <c r="K83" i="9"/>
  <c r="K82" i="9"/>
  <c r="K81" i="9"/>
  <c r="K80" i="9"/>
  <c r="K79" i="9"/>
  <c r="K78" i="9"/>
  <c r="K77" i="9"/>
  <c r="K73" i="9"/>
  <c r="K72" i="9"/>
  <c r="K71" i="9"/>
  <c r="I72" i="11" s="1"/>
  <c r="K70" i="9"/>
  <c r="I71" i="11" s="1"/>
  <c r="K69" i="9"/>
  <c r="K65" i="9"/>
  <c r="K64" i="9"/>
  <c r="I65" i="11" s="1"/>
  <c r="K60" i="9"/>
  <c r="I61" i="11" s="1"/>
  <c r="E61" i="11" s="1"/>
  <c r="K59" i="9"/>
  <c r="K58" i="9"/>
  <c r="K57" i="9"/>
  <c r="K56" i="9"/>
  <c r="K55" i="9"/>
  <c r="K54" i="9"/>
  <c r="K53" i="9"/>
  <c r="K52" i="9"/>
  <c r="I53" i="11" s="1"/>
  <c r="K51" i="9"/>
  <c r="K50" i="9"/>
  <c r="K49" i="9"/>
  <c r="I50" i="11" s="1"/>
  <c r="K48" i="9"/>
  <c r="K44" i="9"/>
  <c r="K43" i="9"/>
  <c r="K42" i="9"/>
  <c r="I43" i="11" s="1"/>
  <c r="K41" i="9"/>
  <c r="K40" i="9"/>
  <c r="K39" i="9"/>
  <c r="K38" i="9"/>
  <c r="I39" i="11" s="1"/>
  <c r="K37" i="9"/>
  <c r="K36" i="9"/>
  <c r="K35" i="9"/>
  <c r="K34" i="9"/>
  <c r="I35" i="11" s="1"/>
  <c r="K33" i="9"/>
  <c r="K32" i="9"/>
  <c r="K31" i="9"/>
  <c r="K30" i="9"/>
  <c r="I31" i="11" s="1"/>
  <c r="K31" i="11" s="1"/>
  <c r="K29" i="9"/>
  <c r="S20" i="9"/>
  <c r="G16" i="28"/>
  <c r="G16" i="27"/>
  <c r="D10" i="26"/>
  <c r="D18" i="25"/>
  <c r="D15" i="24"/>
  <c r="D10" i="23"/>
  <c r="D5" i="22"/>
  <c r="D10" i="21"/>
  <c r="D21" i="20"/>
  <c r="D15" i="19"/>
  <c r="D11" i="18"/>
  <c r="D9" i="17"/>
  <c r="D5" i="16"/>
  <c r="D13" i="15"/>
  <c r="D11" i="14"/>
  <c r="E5" i="13"/>
  <c r="E9" i="12"/>
  <c r="F13" i="11"/>
  <c r="F9" i="10"/>
  <c r="F13" i="9"/>
  <c r="D68" i="8"/>
  <c r="D11" i="8"/>
  <c r="D5" i="7"/>
  <c r="D14" i="6"/>
  <c r="D15" i="4"/>
  <c r="D5" i="3"/>
  <c r="D5" i="2"/>
  <c r="P119" i="9" l="1"/>
  <c r="P123" i="9" s="1"/>
  <c r="N119" i="9"/>
  <c r="N123" i="9" s="1"/>
  <c r="L36" i="34"/>
  <c r="L57" i="34" s="1"/>
  <c r="L66" i="34" s="1"/>
  <c r="M24" i="16"/>
  <c r="J76" i="20"/>
  <c r="CH2" i="40"/>
  <c r="M36" i="34"/>
  <c r="J23" i="34"/>
  <c r="L28" i="20"/>
  <c r="K33" i="20"/>
  <c r="L18" i="34"/>
  <c r="K23" i="34"/>
  <c r="J33" i="20"/>
  <c r="I53" i="13"/>
  <c r="I142" i="34"/>
  <c r="J140" i="34"/>
  <c r="L150" i="20"/>
  <c r="K152" i="20"/>
  <c r="L46" i="20"/>
  <c r="K67" i="20"/>
  <c r="K76" i="20" s="1"/>
  <c r="J33" i="9"/>
  <c r="S26" i="9"/>
  <c r="J57" i="9"/>
  <c r="S66" i="9"/>
  <c r="J40" i="9"/>
  <c r="W40" i="9" s="1"/>
  <c r="I41" i="11"/>
  <c r="J84" i="9"/>
  <c r="I85" i="11"/>
  <c r="E85" i="11" s="1"/>
  <c r="J32" i="9"/>
  <c r="I33" i="11"/>
  <c r="J55" i="9"/>
  <c r="W55" i="9" s="1"/>
  <c r="I56" i="11"/>
  <c r="I59" i="10"/>
  <c r="I70" i="11"/>
  <c r="J98" i="9"/>
  <c r="I99" i="11"/>
  <c r="K106" i="11" s="1"/>
  <c r="J110" i="9"/>
  <c r="W110" i="9" s="1"/>
  <c r="I110" i="11"/>
  <c r="I22" i="10"/>
  <c r="I30" i="11"/>
  <c r="I26" i="10"/>
  <c r="I34" i="11"/>
  <c r="I30" i="10"/>
  <c r="I38" i="11"/>
  <c r="I34" i="10"/>
  <c r="I42" i="11"/>
  <c r="K42" i="11" s="1"/>
  <c r="K46" i="11" s="1"/>
  <c r="I40" i="10"/>
  <c r="I49" i="11"/>
  <c r="I48" i="10"/>
  <c r="I57" i="11"/>
  <c r="K57" i="11" s="1"/>
  <c r="I66" i="10"/>
  <c r="I78" i="11"/>
  <c r="I70" i="10"/>
  <c r="I82" i="11"/>
  <c r="I76" i="10"/>
  <c r="I89" i="11"/>
  <c r="I90" i="10"/>
  <c r="I104" i="11"/>
  <c r="S116" i="9"/>
  <c r="J36" i="9"/>
  <c r="I37" i="11"/>
  <c r="I43" i="10"/>
  <c r="I52" i="11"/>
  <c r="J59" i="9"/>
  <c r="W59" i="9" s="1"/>
  <c r="I60" i="11"/>
  <c r="J80" i="9"/>
  <c r="W80" i="9" s="1"/>
  <c r="I81" i="11"/>
  <c r="J94" i="9"/>
  <c r="I95" i="11"/>
  <c r="J102" i="9"/>
  <c r="I103" i="11"/>
  <c r="I45" i="10"/>
  <c r="I54" i="11"/>
  <c r="I49" i="10"/>
  <c r="I58" i="11"/>
  <c r="I67" i="10"/>
  <c r="I79" i="11"/>
  <c r="I71" i="10"/>
  <c r="I83" i="11"/>
  <c r="I77" i="10"/>
  <c r="I90" i="11"/>
  <c r="I91" i="10"/>
  <c r="I105" i="11"/>
  <c r="J44" i="9"/>
  <c r="W44" i="9" s="1"/>
  <c r="Y44" i="9" s="1"/>
  <c r="I45" i="11"/>
  <c r="E45" i="11" s="1"/>
  <c r="J73" i="9"/>
  <c r="I74" i="11"/>
  <c r="J114" i="9"/>
  <c r="I114" i="11"/>
  <c r="I24" i="10"/>
  <c r="I32" i="11"/>
  <c r="I28" i="10"/>
  <c r="I36" i="11"/>
  <c r="I32" i="10"/>
  <c r="I40" i="11"/>
  <c r="J43" i="9"/>
  <c r="I44" i="11"/>
  <c r="J50" i="9"/>
  <c r="W50" i="9" s="1"/>
  <c r="I51" i="11"/>
  <c r="K51" i="11" s="1"/>
  <c r="J54" i="9"/>
  <c r="W54" i="9" s="1"/>
  <c r="I55" i="11"/>
  <c r="I50" i="10"/>
  <c r="I59" i="11"/>
  <c r="J65" i="9"/>
  <c r="W65" i="9" s="1"/>
  <c r="I66" i="11"/>
  <c r="I67" i="11" s="1"/>
  <c r="J72" i="9"/>
  <c r="I73" i="11"/>
  <c r="I68" i="10"/>
  <c r="I80" i="11"/>
  <c r="I72" i="10"/>
  <c r="I84" i="11"/>
  <c r="I78" i="10"/>
  <c r="I91" i="11"/>
  <c r="E91" i="11" s="1"/>
  <c r="J97" i="9"/>
  <c r="W97" i="9" s="1"/>
  <c r="I98" i="11"/>
  <c r="I88" i="10"/>
  <c r="I102" i="11"/>
  <c r="J109" i="9"/>
  <c r="W109" i="9" s="1"/>
  <c r="I109" i="11"/>
  <c r="J113" i="9"/>
  <c r="I113" i="11"/>
  <c r="S45" i="9"/>
  <c r="S61" i="9"/>
  <c r="S74" i="9"/>
  <c r="S85" i="9"/>
  <c r="S91" i="9"/>
  <c r="S105" i="9"/>
  <c r="I97" i="10"/>
  <c r="J70" i="9"/>
  <c r="J95" i="9"/>
  <c r="W95" i="9" s="1"/>
  <c r="J99" i="9"/>
  <c r="J111" i="9"/>
  <c r="J30" i="9"/>
  <c r="W30" i="9" s="1"/>
  <c r="Y30" i="9" s="1"/>
  <c r="J34" i="9"/>
  <c r="W34" i="9" s="1"/>
  <c r="J38" i="9"/>
  <c r="J42" i="9"/>
  <c r="J49" i="9"/>
  <c r="W49" i="9" s="1"/>
  <c r="J64" i="9"/>
  <c r="W64" i="9" s="1"/>
  <c r="J71" i="9"/>
  <c r="J96" i="9"/>
  <c r="J100" i="9"/>
  <c r="J112" i="9"/>
  <c r="J56" i="9"/>
  <c r="J104" i="9"/>
  <c r="I29" i="10"/>
  <c r="I25" i="10"/>
  <c r="I37" i="10"/>
  <c r="I94" i="10"/>
  <c r="J77" i="9"/>
  <c r="M119" i="9"/>
  <c r="M123" i="9" s="1"/>
  <c r="I42" i="10"/>
  <c r="I62" i="10"/>
  <c r="J52" i="9"/>
  <c r="W52" i="9" s="1"/>
  <c r="J60" i="9"/>
  <c r="W60" i="9" s="1"/>
  <c r="J115" i="9"/>
  <c r="J103" i="9"/>
  <c r="T119" i="9"/>
  <c r="T123" i="9" s="1"/>
  <c r="I33" i="10"/>
  <c r="I46" i="10"/>
  <c r="I63" i="10"/>
  <c r="I98" i="10"/>
  <c r="I95" i="10"/>
  <c r="I99" i="10"/>
  <c r="I96" i="10"/>
  <c r="I100" i="10"/>
  <c r="I84" i="10"/>
  <c r="I85" i="10"/>
  <c r="I89" i="10"/>
  <c r="I82" i="10"/>
  <c r="I86" i="10"/>
  <c r="I83" i="10"/>
  <c r="I87" i="10"/>
  <c r="I81" i="10"/>
  <c r="I69" i="10"/>
  <c r="I73" i="10"/>
  <c r="J81" i="9"/>
  <c r="J82" i="9"/>
  <c r="I60" i="10"/>
  <c r="I61" i="10"/>
  <c r="I55" i="10"/>
  <c r="I56" i="10"/>
  <c r="I47" i="10"/>
  <c r="I51" i="10"/>
  <c r="I44" i="10"/>
  <c r="J53" i="9"/>
  <c r="W53" i="9" s="1"/>
  <c r="I41" i="10"/>
  <c r="I52" i="10"/>
  <c r="I23" i="10"/>
  <c r="I27" i="10"/>
  <c r="I31" i="10"/>
  <c r="I35" i="10"/>
  <c r="I36" i="10"/>
  <c r="K116" i="9"/>
  <c r="J101" i="9"/>
  <c r="J90" i="9"/>
  <c r="J89" i="9"/>
  <c r="BK2" i="40" s="1"/>
  <c r="J88" i="9"/>
  <c r="K91" i="9"/>
  <c r="J83" i="9"/>
  <c r="J79" i="9"/>
  <c r="K85" i="9"/>
  <c r="J78" i="9"/>
  <c r="K74" i="9"/>
  <c r="J69" i="9"/>
  <c r="K66" i="9"/>
  <c r="J58" i="9"/>
  <c r="W58" i="9" s="1"/>
  <c r="J51" i="9"/>
  <c r="W51" i="9" s="1"/>
  <c r="K61" i="9"/>
  <c r="J48" i="9"/>
  <c r="W48" i="9" s="1"/>
  <c r="J41" i="9"/>
  <c r="W41" i="9" s="1"/>
  <c r="Y41" i="9" s="1"/>
  <c r="J39" i="9"/>
  <c r="J37" i="9"/>
  <c r="J35" i="9"/>
  <c r="J31" i="9"/>
  <c r="K45" i="9"/>
  <c r="BD2" i="40" s="1"/>
  <c r="J29" i="9"/>
  <c r="L119" i="9"/>
  <c r="L123" i="9" s="1"/>
  <c r="K105" i="9"/>
  <c r="F18" i="7"/>
  <c r="G17" i="7"/>
  <c r="G16" i="7"/>
  <c r="G15" i="7"/>
  <c r="G14" i="7"/>
  <c r="G13" i="7"/>
  <c r="G12" i="7"/>
  <c r="G11" i="7"/>
  <c r="G10" i="7"/>
  <c r="G9" i="7"/>
  <c r="J34" i="4"/>
  <c r="I34" i="4"/>
  <c r="H34" i="4"/>
  <c r="G34" i="4"/>
  <c r="F34" i="4"/>
  <c r="E34" i="4"/>
  <c r="K33" i="4"/>
  <c r="O33" i="4" s="1"/>
  <c r="K32" i="4"/>
  <c r="O32" i="4" s="1"/>
  <c r="K31" i="4"/>
  <c r="O31" i="4" s="1"/>
  <c r="K30" i="4"/>
  <c r="O30" i="4" s="1"/>
  <c r="K29" i="4"/>
  <c r="O29" i="4" s="1"/>
  <c r="K28" i="4"/>
  <c r="O28" i="4" s="1"/>
  <c r="K27" i="4"/>
  <c r="O27" i="4" s="1"/>
  <c r="K26" i="4"/>
  <c r="O26" i="4" s="1"/>
  <c r="K25" i="4"/>
  <c r="O25" i="4" s="1"/>
  <c r="K24" i="4"/>
  <c r="O24" i="4" s="1"/>
  <c r="K23" i="4"/>
  <c r="O23" i="4" s="1"/>
  <c r="K22" i="4"/>
  <c r="O22" i="4" s="1"/>
  <c r="K21" i="4"/>
  <c r="O21" i="4" s="1"/>
  <c r="K20" i="4"/>
  <c r="O20" i="4" s="1"/>
  <c r="K21" i="3"/>
  <c r="K20" i="3"/>
  <c r="K19" i="3"/>
  <c r="K18" i="3"/>
  <c r="K17" i="3"/>
  <c r="K16" i="3"/>
  <c r="K15" i="3"/>
  <c r="K14" i="3"/>
  <c r="K13" i="3"/>
  <c r="K12" i="3"/>
  <c r="K11" i="3"/>
  <c r="K10" i="3"/>
  <c r="K9" i="3"/>
  <c r="K8" i="3"/>
  <c r="J22" i="3"/>
  <c r="I22" i="3"/>
  <c r="H22" i="3"/>
  <c r="Z2" i="40"/>
  <c r="L23" i="2"/>
  <c r="K18" i="2"/>
  <c r="K21" i="2" s="1"/>
  <c r="J18" i="2"/>
  <c r="J21" i="2" s="1"/>
  <c r="Y2" i="40" s="1"/>
  <c r="I18" i="2"/>
  <c r="I21" i="2" s="1"/>
  <c r="X2" i="40" s="1"/>
  <c r="H18" i="2"/>
  <c r="H21" i="2" s="1"/>
  <c r="W2" i="40" s="1"/>
  <c r="G18" i="2"/>
  <c r="G21" i="2" s="1"/>
  <c r="V2" i="40" s="1"/>
  <c r="F18" i="2"/>
  <c r="F21" i="2" s="1"/>
  <c r="E18" i="2"/>
  <c r="E21" i="2" s="1"/>
  <c r="D18" i="2"/>
  <c r="D21" i="2" s="1"/>
  <c r="AA2" i="40" s="1"/>
  <c r="K62" i="11" l="1"/>
  <c r="K118" i="11" s="1"/>
  <c r="BI2" i="40"/>
  <c r="W88" i="9"/>
  <c r="J53" i="13"/>
  <c r="W98" i="9"/>
  <c r="W57" i="9"/>
  <c r="BF2" i="40"/>
  <c r="BE2" i="40"/>
  <c r="W56" i="9"/>
  <c r="Y56" i="9" s="1"/>
  <c r="S119" i="9"/>
  <c r="J66" i="9"/>
  <c r="G34" i="9"/>
  <c r="AY2" i="40"/>
  <c r="J116" i="9"/>
  <c r="U2" i="40"/>
  <c r="N36" i="34"/>
  <c r="M57" i="34"/>
  <c r="M66" i="34" s="1"/>
  <c r="J28" i="34"/>
  <c r="J30" i="34"/>
  <c r="K30" i="34"/>
  <c r="K28" i="34"/>
  <c r="K40" i="20"/>
  <c r="K38" i="20"/>
  <c r="L23" i="34"/>
  <c r="M18" i="34"/>
  <c r="J40" i="20"/>
  <c r="J38" i="20"/>
  <c r="M28" i="20"/>
  <c r="L33" i="20"/>
  <c r="G18" i="7"/>
  <c r="O34" i="4"/>
  <c r="K22" i="3"/>
  <c r="K34" i="4"/>
  <c r="AI2" i="40" s="1"/>
  <c r="K140" i="34"/>
  <c r="J142" i="34"/>
  <c r="M150" i="20"/>
  <c r="L152" i="20"/>
  <c r="M46" i="20"/>
  <c r="L67" i="20"/>
  <c r="L76" i="20" s="1"/>
  <c r="I75" i="11"/>
  <c r="I92" i="11"/>
  <c r="S118" i="9"/>
  <c r="I62" i="11"/>
  <c r="I46" i="11"/>
  <c r="I106" i="11"/>
  <c r="J74" i="9"/>
  <c r="G98" i="9"/>
  <c r="I116" i="11"/>
  <c r="I86" i="11"/>
  <c r="L18" i="2"/>
  <c r="K119" i="9"/>
  <c r="J105" i="9"/>
  <c r="J91" i="9"/>
  <c r="J85" i="9"/>
  <c r="J61" i="9"/>
  <c r="G35" i="9"/>
  <c r="J45" i="9"/>
  <c r="BC2" i="40" s="1"/>
  <c r="C20" i="4"/>
  <c r="G55" i="1"/>
  <c r="H55" i="1" s="1"/>
  <c r="K20" i="9"/>
  <c r="K22" i="9"/>
  <c r="I23" i="11" s="1"/>
  <c r="K21" i="9"/>
  <c r="K23" i="9"/>
  <c r="J23" i="9" s="1"/>
  <c r="W23" i="9" s="1"/>
  <c r="K24" i="9"/>
  <c r="I25" i="11" s="1"/>
  <c r="K25" i="9"/>
  <c r="I26" i="11" s="1"/>
  <c r="G16" i="12" l="1"/>
  <c r="G21" i="12" s="1"/>
  <c r="G23" i="12" s="1"/>
  <c r="G26" i="12" s="1"/>
  <c r="G28" i="12" s="1"/>
  <c r="G30" i="12" s="1"/>
  <c r="E26" i="11"/>
  <c r="J119" i="9"/>
  <c r="O36" i="34"/>
  <c r="N57" i="34"/>
  <c r="N66" i="34" s="1"/>
  <c r="J32" i="34"/>
  <c r="J68" i="34" s="1"/>
  <c r="L40" i="20"/>
  <c r="L38" i="20"/>
  <c r="N18" i="34"/>
  <c r="M23" i="34"/>
  <c r="K42" i="20"/>
  <c r="K78" i="20" s="1"/>
  <c r="N28" i="20"/>
  <c r="M33" i="20"/>
  <c r="L30" i="34"/>
  <c r="L28" i="34"/>
  <c r="J42" i="20"/>
  <c r="K32" i="34"/>
  <c r="K68" i="34" s="1"/>
  <c r="I21" i="11"/>
  <c r="AX2" i="40"/>
  <c r="K142" i="34"/>
  <c r="L140" i="34"/>
  <c r="N150" i="20"/>
  <c r="M152" i="20"/>
  <c r="M67" i="20"/>
  <c r="M76" i="20" s="1"/>
  <c r="N46" i="20"/>
  <c r="J25" i="9"/>
  <c r="W25" i="9" s="1"/>
  <c r="I17" i="10"/>
  <c r="I24" i="11"/>
  <c r="I15" i="10"/>
  <c r="I22" i="11"/>
  <c r="L21" i="2"/>
  <c r="K61" i="28"/>
  <c r="K62" i="28" s="1"/>
  <c r="G47" i="12"/>
  <c r="G49" i="12" s="1"/>
  <c r="D64" i="15"/>
  <c r="I19" i="10"/>
  <c r="J24" i="9"/>
  <c r="I18" i="10"/>
  <c r="J22" i="9"/>
  <c r="I16" i="10"/>
  <c r="J21" i="9"/>
  <c r="K26" i="9"/>
  <c r="K118" i="9" s="1"/>
  <c r="BN2" i="40" s="1"/>
  <c r="I14" i="10"/>
  <c r="J20" i="9"/>
  <c r="W119" i="9" l="1"/>
  <c r="J27" i="11"/>
  <c r="J118" i="11" s="1"/>
  <c r="F16" i="12" s="1"/>
  <c r="F21" i="12" s="1"/>
  <c r="F23" i="12" s="1"/>
  <c r="F26" i="12" s="1"/>
  <c r="F28" i="12" s="1"/>
  <c r="F30" i="12" s="1"/>
  <c r="G32" i="12" s="1"/>
  <c r="AW2" i="40"/>
  <c r="W20" i="9"/>
  <c r="M2" i="40"/>
  <c r="F57" i="1"/>
  <c r="O57" i="34"/>
  <c r="O66" i="34" s="1"/>
  <c r="P36" i="34"/>
  <c r="L32" i="34"/>
  <c r="L68" i="34" s="1"/>
  <c r="L77" i="34" s="1"/>
  <c r="J77" i="34"/>
  <c r="J76" i="34"/>
  <c r="M40" i="20"/>
  <c r="M38" i="20"/>
  <c r="K77" i="34"/>
  <c r="K76" i="34"/>
  <c r="M30" i="34"/>
  <c r="M28" i="34"/>
  <c r="CE2" i="40"/>
  <c r="J78" i="20"/>
  <c r="N23" i="34"/>
  <c r="O18" i="34"/>
  <c r="O28" i="20"/>
  <c r="N33" i="20"/>
  <c r="K96" i="20"/>
  <c r="K86" i="20"/>
  <c r="K87" i="20"/>
  <c r="K97" i="20" s="1"/>
  <c r="CO2" i="40" s="1"/>
  <c r="L42" i="20"/>
  <c r="L78" i="20" s="1"/>
  <c r="I46" i="34"/>
  <c r="I43" i="34"/>
  <c r="I40" i="34"/>
  <c r="I60" i="34"/>
  <c r="I55" i="34"/>
  <c r="I53" i="34"/>
  <c r="I45" i="34"/>
  <c r="I42" i="34"/>
  <c r="I39" i="34"/>
  <c r="I63" i="34"/>
  <c r="I52" i="34"/>
  <c r="I48" i="34"/>
  <c r="I41" i="34"/>
  <c r="I38" i="34"/>
  <c r="I54" i="34"/>
  <c r="I51" i="34"/>
  <c r="I44" i="34"/>
  <c r="I59" i="34"/>
  <c r="I61" i="34"/>
  <c r="I49" i="34"/>
  <c r="I36" i="34"/>
  <c r="I50" i="34"/>
  <c r="I47" i="34"/>
  <c r="I37" i="34"/>
  <c r="I56" i="34"/>
  <c r="I57" i="34"/>
  <c r="G29" i="6"/>
  <c r="M140" i="34"/>
  <c r="L142" i="34"/>
  <c r="O150" i="20"/>
  <c r="N152" i="20"/>
  <c r="O46" i="20"/>
  <c r="N67" i="20"/>
  <c r="N76" i="20" s="1"/>
  <c r="J56" i="27"/>
  <c r="J57" i="27" s="1"/>
  <c r="G35" i="12"/>
  <c r="G37" i="12" s="1"/>
  <c r="G39" i="12" s="1"/>
  <c r="G42" i="12" s="1"/>
  <c r="I27" i="11"/>
  <c r="I118" i="11" s="1"/>
  <c r="I62" i="20"/>
  <c r="I60" i="20"/>
  <c r="I47" i="20"/>
  <c r="I73" i="20"/>
  <c r="I59" i="20"/>
  <c r="I63" i="20"/>
  <c r="I58" i="20"/>
  <c r="I54" i="20"/>
  <c r="I50" i="20"/>
  <c r="I71" i="20"/>
  <c r="I66" i="20"/>
  <c r="I57" i="20"/>
  <c r="I53" i="20"/>
  <c r="I49" i="20"/>
  <c r="I70" i="20"/>
  <c r="I65" i="20"/>
  <c r="I61" i="20"/>
  <c r="I56" i="20"/>
  <c r="I52" i="20"/>
  <c r="I48" i="20"/>
  <c r="I69" i="20"/>
  <c r="I64" i="20"/>
  <c r="I55" i="20"/>
  <c r="I51" i="20"/>
  <c r="I46" i="20"/>
  <c r="I67" i="20"/>
  <c r="J26" i="9"/>
  <c r="L87" i="34" l="1"/>
  <c r="L80" i="34"/>
  <c r="L84" i="34" s="1"/>
  <c r="K80" i="34"/>
  <c r="K84" i="34" s="1"/>
  <c r="K86" i="34" s="1"/>
  <c r="J87" i="34"/>
  <c r="J80" i="34"/>
  <c r="J84" i="34" s="1"/>
  <c r="J86" i="34" s="1"/>
  <c r="G52" i="12"/>
  <c r="F33" i="14" s="1"/>
  <c r="F35" i="14" s="1"/>
  <c r="I117" i="34"/>
  <c r="P57" i="34"/>
  <c r="P66" i="34" s="1"/>
  <c r="L76" i="34"/>
  <c r="L86" i="34"/>
  <c r="M32" i="34"/>
  <c r="M68" i="34" s="1"/>
  <c r="M77" i="34" s="1"/>
  <c r="M42" i="20"/>
  <c r="M78" i="20" s="1"/>
  <c r="M86" i="20" s="1"/>
  <c r="L86" i="20"/>
  <c r="L96" i="20"/>
  <c r="L87" i="20"/>
  <c r="L97" i="20" s="1"/>
  <c r="CP2" i="40" s="1"/>
  <c r="N40" i="20"/>
  <c r="N38" i="20"/>
  <c r="J96" i="20"/>
  <c r="J86" i="20"/>
  <c r="CM2" i="40" s="1"/>
  <c r="J87" i="20"/>
  <c r="J97" i="20" s="1"/>
  <c r="CN2" i="40" s="1"/>
  <c r="P28" i="20"/>
  <c r="O33" i="20"/>
  <c r="P18" i="34"/>
  <c r="O23" i="34"/>
  <c r="N30" i="34"/>
  <c r="N28" i="34"/>
  <c r="M142" i="34"/>
  <c r="N140" i="34"/>
  <c r="P150" i="20"/>
  <c r="P152" i="20" s="1"/>
  <c r="O152" i="20"/>
  <c r="O67" i="20"/>
  <c r="O76" i="20" s="1"/>
  <c r="P46" i="20"/>
  <c r="J118" i="9"/>
  <c r="K87" i="34" l="1"/>
  <c r="M80" i="34"/>
  <c r="M84" i="34" s="1"/>
  <c r="M87" i="34" s="1"/>
  <c r="BU2" i="40"/>
  <c r="BM2" i="40"/>
  <c r="W118" i="9"/>
  <c r="J117" i="34"/>
  <c r="I138" i="34"/>
  <c r="I147" i="34" s="1"/>
  <c r="M76" i="34"/>
  <c r="N42" i="20"/>
  <c r="N78" i="20" s="1"/>
  <c r="N87" i="20" s="1"/>
  <c r="N97" i="20" s="1"/>
  <c r="M87" i="20"/>
  <c r="M97" i="20" s="1"/>
  <c r="M96" i="20"/>
  <c r="I99" i="34"/>
  <c r="P23" i="34"/>
  <c r="O40" i="20"/>
  <c r="O38" i="20"/>
  <c r="N32" i="34"/>
  <c r="N68" i="34" s="1"/>
  <c r="I109" i="20"/>
  <c r="P33" i="20"/>
  <c r="O30" i="34"/>
  <c r="O28" i="34"/>
  <c r="K120" i="9"/>
  <c r="BW2" i="40"/>
  <c r="O140" i="34"/>
  <c r="N142" i="34"/>
  <c r="I127" i="20"/>
  <c r="P67" i="20"/>
  <c r="P76" i="20" s="1"/>
  <c r="I26" i="9"/>
  <c r="J72" i="28"/>
  <c r="J73" i="28" s="1"/>
  <c r="I61" i="9"/>
  <c r="I115" i="9"/>
  <c r="I80" i="9"/>
  <c r="I44" i="9"/>
  <c r="I109" i="9"/>
  <c r="I79" i="9"/>
  <c r="I54" i="9"/>
  <c r="I35" i="9"/>
  <c r="I116" i="9"/>
  <c r="I104" i="9"/>
  <c r="I82" i="9"/>
  <c r="I57" i="9"/>
  <c r="I38" i="9"/>
  <c r="I66" i="9"/>
  <c r="I99" i="9"/>
  <c r="I77" i="9"/>
  <c r="I52" i="9"/>
  <c r="I33" i="9"/>
  <c r="I51" i="9"/>
  <c r="I43" i="9"/>
  <c r="I71" i="9"/>
  <c r="I30" i="9"/>
  <c r="I88" i="9"/>
  <c r="I41" i="9"/>
  <c r="I36" i="9"/>
  <c r="I94" i="9"/>
  <c r="I114" i="9"/>
  <c r="I58" i="9"/>
  <c r="I20" i="9"/>
  <c r="I64" i="9"/>
  <c r="I23" i="9"/>
  <c r="I81" i="9"/>
  <c r="I84" i="9"/>
  <c r="I110" i="9"/>
  <c r="I73" i="9"/>
  <c r="I85" i="9"/>
  <c r="I101" i="9"/>
  <c r="I72" i="9"/>
  <c r="I50" i="9"/>
  <c r="I31" i="9"/>
  <c r="I74" i="9"/>
  <c r="I100" i="9"/>
  <c r="I78" i="9"/>
  <c r="I53" i="9"/>
  <c r="I34" i="9"/>
  <c r="I112" i="9"/>
  <c r="I95" i="9"/>
  <c r="I70" i="9"/>
  <c r="I48" i="9"/>
  <c r="I29" i="9"/>
  <c r="I40" i="9"/>
  <c r="I97" i="9"/>
  <c r="I102" i="9"/>
  <c r="I59" i="9"/>
  <c r="I45" i="9"/>
  <c r="I90" i="9"/>
  <c r="I65" i="9"/>
  <c r="I24" i="9"/>
  <c r="I96" i="9"/>
  <c r="I49" i="9"/>
  <c r="I111" i="9"/>
  <c r="I60" i="9"/>
  <c r="I22" i="9"/>
  <c r="I105" i="9"/>
  <c r="I91" i="9"/>
  <c r="I55" i="9"/>
  <c r="I83" i="9"/>
  <c r="I39" i="9"/>
  <c r="I113" i="9"/>
  <c r="I89" i="9"/>
  <c r="I42" i="9"/>
  <c r="I103" i="9"/>
  <c r="I56" i="9"/>
  <c r="I37" i="9"/>
  <c r="I25" i="9"/>
  <c r="I21" i="9"/>
  <c r="I98" i="9"/>
  <c r="I32" i="9"/>
  <c r="I69" i="9"/>
  <c r="M86" i="34" l="1"/>
  <c r="K117" i="34"/>
  <c r="J138" i="34"/>
  <c r="J147" i="34" s="1"/>
  <c r="N86" i="20"/>
  <c r="N96" i="20"/>
  <c r="O32" i="34"/>
  <c r="O68" i="34" s="1"/>
  <c r="P40" i="20"/>
  <c r="P38" i="20"/>
  <c r="I104" i="34"/>
  <c r="J99" i="34"/>
  <c r="J109" i="20"/>
  <c r="I114" i="20"/>
  <c r="O42" i="20"/>
  <c r="O78" i="20" s="1"/>
  <c r="N76" i="34"/>
  <c r="N77" i="34"/>
  <c r="P30" i="34"/>
  <c r="P28" i="34"/>
  <c r="P140" i="34"/>
  <c r="P142" i="34" s="1"/>
  <c r="O142" i="34"/>
  <c r="I148" i="20"/>
  <c r="I157" i="20" s="1"/>
  <c r="J127" i="20"/>
  <c r="N80" i="34" l="1"/>
  <c r="N84" i="34" s="1"/>
  <c r="N86" i="34" s="1"/>
  <c r="K138" i="34"/>
  <c r="K147" i="34" s="1"/>
  <c r="L117" i="34"/>
  <c r="O76" i="34"/>
  <c r="O77" i="34"/>
  <c r="P32" i="34"/>
  <c r="P68" i="34" s="1"/>
  <c r="I109" i="34"/>
  <c r="I111" i="34"/>
  <c r="I119" i="20"/>
  <c r="I121" i="20"/>
  <c r="K99" i="34"/>
  <c r="J104" i="34"/>
  <c r="O87" i="20"/>
  <c r="O97" i="20" s="1"/>
  <c r="O86" i="20"/>
  <c r="O96" i="20"/>
  <c r="J114" i="20"/>
  <c r="K109" i="20"/>
  <c r="P42" i="20"/>
  <c r="P78" i="20" s="1"/>
  <c r="K127" i="20"/>
  <c r="J148" i="20"/>
  <c r="J157" i="20" s="1"/>
  <c r="O80" i="34" l="1"/>
  <c r="O84" i="34" s="1"/>
  <c r="O86" i="34" s="1"/>
  <c r="N87" i="34"/>
  <c r="M117" i="34"/>
  <c r="L138" i="34"/>
  <c r="L147" i="34" s="1"/>
  <c r="P77" i="34"/>
  <c r="P76" i="34"/>
  <c r="I113" i="34"/>
  <c r="I149" i="34" s="1"/>
  <c r="I157" i="34" s="1"/>
  <c r="I123" i="20"/>
  <c r="I159" i="20" s="1"/>
  <c r="I177" i="20" s="1"/>
  <c r="K104" i="34"/>
  <c r="L99" i="34"/>
  <c r="P96" i="20"/>
  <c r="P86" i="20"/>
  <c r="P87" i="20"/>
  <c r="P97" i="20" s="1"/>
  <c r="L109" i="20"/>
  <c r="K114" i="20"/>
  <c r="J119" i="20"/>
  <c r="J121" i="20"/>
  <c r="J111" i="34"/>
  <c r="J109" i="34"/>
  <c r="L127" i="20"/>
  <c r="K148" i="20"/>
  <c r="K157" i="20" s="1"/>
  <c r="P87" i="34" l="1"/>
  <c r="P80" i="34"/>
  <c r="P84" i="34" s="1"/>
  <c r="P86" i="34" s="1"/>
  <c r="O87" i="34"/>
  <c r="M138" i="34"/>
  <c r="M147" i="34" s="1"/>
  <c r="N117" i="34"/>
  <c r="I158" i="34"/>
  <c r="I168" i="20"/>
  <c r="I178" i="20" s="1"/>
  <c r="J123" i="20"/>
  <c r="J159" i="20" s="1"/>
  <c r="J168" i="20" s="1"/>
  <c r="J178" i="20" s="1"/>
  <c r="I167" i="20"/>
  <c r="K111" i="34"/>
  <c r="K109" i="34"/>
  <c r="J113" i="34"/>
  <c r="J149" i="34" s="1"/>
  <c r="K121" i="20"/>
  <c r="K119" i="20"/>
  <c r="M109" i="20"/>
  <c r="L114" i="20"/>
  <c r="M99" i="34"/>
  <c r="L104" i="34"/>
  <c r="M127" i="20"/>
  <c r="L148" i="20"/>
  <c r="L157" i="20" s="1"/>
  <c r="I161" i="34" l="1"/>
  <c r="I165" i="34" s="1"/>
  <c r="I167" i="34" s="1"/>
  <c r="N138" i="34"/>
  <c r="N147" i="34" s="1"/>
  <c r="O117" i="34"/>
  <c r="J167" i="20"/>
  <c r="J177" i="20"/>
  <c r="M104" i="34"/>
  <c r="N99" i="34"/>
  <c r="M114" i="20"/>
  <c r="N109" i="20"/>
  <c r="J158" i="34"/>
  <c r="J157" i="34"/>
  <c r="L121" i="20"/>
  <c r="L119" i="20"/>
  <c r="L109" i="34"/>
  <c r="L111" i="34"/>
  <c r="K123" i="20"/>
  <c r="K159" i="20" s="1"/>
  <c r="K113" i="34"/>
  <c r="K149" i="34" s="1"/>
  <c r="M148" i="20"/>
  <c r="M157" i="20" s="1"/>
  <c r="N127" i="20"/>
  <c r="I168" i="34" l="1"/>
  <c r="J161" i="34"/>
  <c r="J165" i="34" s="1"/>
  <c r="J167" i="34" s="1"/>
  <c r="P117" i="34"/>
  <c r="P138" i="34" s="1"/>
  <c r="P147" i="34" s="1"/>
  <c r="O138" i="34"/>
  <c r="O147" i="34" s="1"/>
  <c r="L113" i="34"/>
  <c r="L149" i="34" s="1"/>
  <c r="L123" i="20"/>
  <c r="L159" i="20" s="1"/>
  <c r="L177" i="20" s="1"/>
  <c r="O109" i="20"/>
  <c r="N114" i="20"/>
  <c r="M119" i="20"/>
  <c r="M121" i="20"/>
  <c r="K157" i="34"/>
  <c r="K158" i="34"/>
  <c r="N104" i="34"/>
  <c r="O99" i="34"/>
  <c r="K177" i="20"/>
  <c r="K167" i="20"/>
  <c r="K168" i="20"/>
  <c r="K178" i="20" s="1"/>
  <c r="M109" i="34"/>
  <c r="M111" i="34"/>
  <c r="N148" i="20"/>
  <c r="N157" i="20" s="1"/>
  <c r="O127" i="20"/>
  <c r="J168" i="34" l="1"/>
  <c r="K161" i="34"/>
  <c r="K165" i="34" s="1"/>
  <c r="K167" i="34" s="1"/>
  <c r="L157" i="34"/>
  <c r="L158" i="34"/>
  <c r="L167" i="20"/>
  <c r="L168" i="20"/>
  <c r="L178" i="20" s="1"/>
  <c r="M113" i="34"/>
  <c r="M149" i="34" s="1"/>
  <c r="P99" i="34"/>
  <c r="P104" i="34" s="1"/>
  <c r="O104" i="34"/>
  <c r="N111" i="34"/>
  <c r="N109" i="34"/>
  <c r="M123" i="20"/>
  <c r="M159" i="20" s="1"/>
  <c r="N121" i="20"/>
  <c r="N119" i="20"/>
  <c r="P109" i="20"/>
  <c r="P114" i="20" s="1"/>
  <c r="O114" i="20"/>
  <c r="P127" i="20"/>
  <c r="P148" i="20" s="1"/>
  <c r="P157" i="20" s="1"/>
  <c r="O148" i="20"/>
  <c r="O157" i="20" s="1"/>
  <c r="L168" i="34" l="1"/>
  <c r="L161" i="34"/>
  <c r="L165" i="34" s="1"/>
  <c r="L167" i="34" s="1"/>
  <c r="K168" i="34"/>
  <c r="N123" i="20"/>
  <c r="N159" i="20" s="1"/>
  <c r="N168" i="20" s="1"/>
  <c r="N178" i="20" s="1"/>
  <c r="O119" i="20"/>
  <c r="O121" i="20"/>
  <c r="O111" i="34"/>
  <c r="O109" i="34"/>
  <c r="M167" i="20"/>
  <c r="M168" i="20"/>
  <c r="M178" i="20" s="1"/>
  <c r="M177" i="20"/>
  <c r="P109" i="34"/>
  <c r="P111" i="34"/>
  <c r="P119" i="20"/>
  <c r="P121" i="20"/>
  <c r="N113" i="34"/>
  <c r="N149" i="34" s="1"/>
  <c r="M158" i="34"/>
  <c r="M157" i="34"/>
  <c r="M161" i="34" l="1"/>
  <c r="M165" i="34" s="1"/>
  <c r="M167" i="34" s="1"/>
  <c r="O113" i="34"/>
  <c r="O149" i="34" s="1"/>
  <c r="O157" i="34" s="1"/>
  <c r="N167" i="20"/>
  <c r="N177" i="20"/>
  <c r="P123" i="20"/>
  <c r="P159" i="20" s="1"/>
  <c r="N157" i="34"/>
  <c r="N158" i="34"/>
  <c r="P113" i="34"/>
  <c r="P149" i="34" s="1"/>
  <c r="O123" i="20"/>
  <c r="O159" i="20" s="1"/>
  <c r="M168" i="34" l="1"/>
  <c r="N161" i="34"/>
  <c r="N165" i="34" s="1"/>
  <c r="N167" i="34" s="1"/>
  <c r="O158" i="34"/>
  <c r="P157" i="34"/>
  <c r="P158" i="34"/>
  <c r="P177" i="20"/>
  <c r="P168" i="20"/>
  <c r="P178" i="20" s="1"/>
  <c r="P167" i="20"/>
  <c r="O177" i="20"/>
  <c r="O168" i="20"/>
  <c r="O178" i="20" s="1"/>
  <c r="O167" i="20"/>
  <c r="N168" i="34" l="1"/>
  <c r="O161" i="34"/>
  <c r="O165" i="34" s="1"/>
  <c r="O167" i="34" s="1"/>
  <c r="P161" i="34"/>
  <c r="P165" i="34" s="1"/>
  <c r="P167" i="34" s="1"/>
  <c r="P168" i="34" l="1"/>
  <c r="O168" i="34"/>
</calcChain>
</file>

<file path=xl/comments1.xml><?xml version="1.0" encoding="utf-8"?>
<comments xmlns="http://schemas.openxmlformats.org/spreadsheetml/2006/main">
  <authors>
    <author>Harrington, Sean (COM)</author>
  </authors>
  <commentList>
    <comment ref="D66" authorId="0">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D67"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4" authorId="0">
      <text>
        <r>
          <rPr>
            <b/>
            <sz val="9"/>
            <color indexed="81"/>
            <rFont val="Tahoma"/>
            <family val="2"/>
          </rPr>
          <t xml:space="preserve">Note:
</t>
        </r>
        <r>
          <rPr>
            <sz val="9"/>
            <color indexed="81"/>
            <rFont val="Tahoma"/>
            <family val="2"/>
          </rPr>
          <t>If you claim points for Criterion 5.2a, you CANNOT also claim points for Criterion 5.8a</t>
        </r>
      </text>
    </comment>
    <comment ref="D76" authorId="0">
      <text>
        <r>
          <rPr>
            <b/>
            <sz val="9"/>
            <color indexed="81"/>
            <rFont val="Tahoma"/>
            <family val="2"/>
          </rPr>
          <t xml:space="preserve">Note:
</t>
        </r>
        <r>
          <rPr>
            <sz val="9"/>
            <color indexed="81"/>
            <rFont val="Tahoma"/>
            <family val="2"/>
          </rPr>
          <t>If you claim points for Criterion 5.2a, you CANNOT also claim points for Criterion 5.8c</t>
        </r>
      </text>
    </comment>
    <comment ref="D78" authorId="0">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 ref="D79"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80"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81"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2.xml><?xml version="1.0" encoding="utf-8"?>
<comments xmlns="http://schemas.openxmlformats.org/spreadsheetml/2006/main">
  <authors>
    <author>Harrington, Sean (COM)</author>
  </authors>
  <commentList>
    <comment ref="N23" authorId="0">
      <text>
        <r>
          <rPr>
            <b/>
            <sz val="9"/>
            <color indexed="81"/>
            <rFont val="Tahoma"/>
            <family val="2"/>
          </rPr>
          <t>Commerce</t>
        </r>
        <r>
          <rPr>
            <sz val="9"/>
            <color indexed="81"/>
            <rFont val="Tahoma"/>
            <family val="2"/>
          </rPr>
          <t xml:space="preserve">
(e.g. deferred, cash flow only)</t>
        </r>
      </text>
    </comment>
    <comment ref="N38" authorId="0">
      <text>
        <r>
          <rPr>
            <b/>
            <sz val="9"/>
            <color indexed="81"/>
            <rFont val="Tahoma"/>
            <family val="2"/>
          </rPr>
          <t xml:space="preserve">Commerce
</t>
        </r>
        <r>
          <rPr>
            <sz val="9"/>
            <color indexed="81"/>
            <rFont val="Tahoma"/>
            <family val="2"/>
          </rPr>
          <t>(e.g. deferred, cash flow only)</t>
        </r>
      </text>
    </comment>
  </commentList>
</comments>
</file>

<file path=xl/comments3.xml><?xml version="1.0" encoding="utf-8"?>
<comments xmlns="http://schemas.openxmlformats.org/spreadsheetml/2006/main">
  <authors>
    <author>Harrington, Sean (COM)</author>
  </authors>
  <commentList>
    <comment ref="I14" authorId="0">
      <text>
        <r>
          <rPr>
            <b/>
            <sz val="9"/>
            <color indexed="81"/>
            <rFont val="Tahoma"/>
            <family val="2"/>
          </rPr>
          <t xml:space="preserve">Commerce:
</t>
        </r>
        <r>
          <rPr>
            <sz val="9"/>
            <color indexed="81"/>
            <rFont val="Tahoma"/>
            <family val="2"/>
          </rPr>
          <t xml:space="preserve">List "Current" if still managing
</t>
        </r>
      </text>
    </comment>
    <comment ref="J14" authorId="0">
      <text>
        <r>
          <rPr>
            <b/>
            <sz val="9"/>
            <color indexed="81"/>
            <rFont val="Tahoma"/>
            <family val="2"/>
          </rPr>
          <t>Commerce:</t>
        </r>
        <r>
          <rPr>
            <sz val="9"/>
            <color indexed="81"/>
            <rFont val="Tahoma"/>
            <family val="2"/>
          </rPr>
          <t xml:space="preserve">
HUD, HTF, LIHTC, etc.</t>
        </r>
      </text>
    </comment>
  </commentList>
</comments>
</file>

<file path=xl/sharedStrings.xml><?xml version="1.0" encoding="utf-8"?>
<sst xmlns="http://schemas.openxmlformats.org/spreadsheetml/2006/main" count="4405" uniqueCount="1595">
  <si>
    <t>Form 1A: Project Summary</t>
  </si>
  <si>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</si>
  <si>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</si>
  <si>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</si>
  <si>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</si>
  <si>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</si>
  <si>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</si>
  <si>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</si>
  <si>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</si>
  <si>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</si>
  <si>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</si>
  <si>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</si>
  <si>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</si>
  <si>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</si>
  <si>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</si>
  <si>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</si>
  <si>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</si>
  <si>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</si>
  <si>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</si>
  <si>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</si>
  <si>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</si>
  <si>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</si>
  <si>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</si>
  <si>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</si>
  <si>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</si>
  <si>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</si>
  <si>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</si>
  <si>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</si>
  <si>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</si>
  <si>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</si>
  <si>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</si>
  <si>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</si>
  <si>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</si>
  <si>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</si>
  <si>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</si>
  <si>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</si>
  <si>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</si>
  <si>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Form 1B: Unit Configuration and Affordability</t>
  </si>
  <si>
    <t>AMI 
Targets</t>
  </si>
  <si>
    <t>Beds</t>
  </si>
  <si>
    <t>SRO</t>
  </si>
  <si>
    <t>Studio</t>
  </si>
  <si>
    <t>1BR</t>
  </si>
  <si>
    <t>2BR</t>
  </si>
  <si>
    <t>3BR</t>
  </si>
  <si>
    <t>4BR</t>
  </si>
  <si>
    <t>5BR</t>
  </si>
  <si>
    <t>Total Units</t>
  </si>
  <si>
    <t>Total Low-Income Units</t>
  </si>
  <si>
    <t xml:space="preserve">Market Rate </t>
  </si>
  <si>
    <t>Common Area</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</si>
  <si>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</si>
  <si>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</si>
  <si>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</si>
  <si>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</si>
  <si>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</si>
  <si>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</si>
  <si>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</si>
  <si>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</si>
  <si>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</si>
  <si>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</si>
  <si>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Expected Placed-In-Service Date</t>
  </si>
  <si>
    <t>Form 2B: Square Footage Details</t>
  </si>
  <si>
    <t>Project Name</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</si>
  <si>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</si>
  <si>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</si>
  <si>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</si>
  <si>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</si>
  <si>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</si>
  <si>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</si>
  <si>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</si>
  <si>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</si>
  <si>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</si>
  <si>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</si>
  <si>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</si>
  <si>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</si>
  <si>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</si>
  <si>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</si>
  <si>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</si>
  <si>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</si>
  <si>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</si>
  <si>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</si>
  <si>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</si>
  <si>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</si>
  <si>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 Units /Beds</t>
  </si>
  <si>
    <t>Population Type Notes</t>
  </si>
  <si>
    <t>Form 4: Relocation Budget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</si>
  <si>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</si>
  <si>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</si>
  <si>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</si>
  <si>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</si>
  <si>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</si>
  <si>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</si>
  <si>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</si>
  <si>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</si>
  <si>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</si>
  <si>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</si>
  <si>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</si>
  <si>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</si>
  <si>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</si>
  <si>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</si>
  <si>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</si>
  <si>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</si>
  <si>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</si>
  <si>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</si>
  <si>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</si>
  <si>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Status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</si>
  <si>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</si>
  <si>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</si>
  <si>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</si>
  <si>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</si>
  <si>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</si>
  <si>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</si>
  <si>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</si>
  <si>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</si>
  <si>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</si>
  <si>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</si>
  <si>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</si>
  <si>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</si>
  <si>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</si>
  <si>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</si>
  <si>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</si>
  <si>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</si>
  <si>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</si>
  <si>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</si>
  <si>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</si>
  <si>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</si>
  <si>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</si>
  <si>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</si>
  <si>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</si>
  <si>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</si>
  <si>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</si>
  <si>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</si>
  <si>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</si>
  <si>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</si>
  <si>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</si>
  <si>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Construction cost estimate</t>
  </si>
  <si>
    <t>Lender selection</t>
  </si>
  <si>
    <t>Funding for services</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</si>
  <si>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</si>
  <si>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</si>
  <si>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</si>
  <si>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</si>
  <si>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</si>
  <si>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</si>
  <si>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</si>
  <si>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</si>
  <si>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</si>
  <si>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Form 5: Project Schedule (Page 2)</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</si>
  <si>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</si>
  <si>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</si>
  <si>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</si>
  <si>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</si>
  <si>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</si>
  <si>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</si>
  <si>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</si>
  <si>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</si>
  <si>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</si>
  <si>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</si>
  <si>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</si>
  <si>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</si>
  <si>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</si>
  <si>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</si>
  <si>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</si>
  <si>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</si>
  <si>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</si>
  <si>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</si>
  <si>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</si>
  <si>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</si>
  <si>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(Specify)</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</si>
  <si>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</si>
  <si>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</si>
  <si>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</si>
  <si>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</si>
  <si>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</si>
  <si>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</si>
  <si>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</si>
  <si>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</si>
  <si>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</si>
  <si>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</si>
  <si>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</si>
  <si>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</si>
  <si>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</si>
  <si>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</si>
  <si>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</si>
  <si>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</si>
  <si>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</si>
  <si>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</si>
  <si>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</si>
  <si>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</si>
  <si>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</si>
  <si>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</si>
  <si>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</si>
  <si>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</si>
  <si>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</si>
  <si>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</si>
  <si>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</si>
  <si>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</si>
  <si>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</si>
  <si>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</si>
  <si>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</si>
  <si>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</si>
  <si>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</si>
  <si>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</si>
  <si>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</si>
  <si>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</si>
  <si>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</si>
  <si>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</si>
  <si>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</si>
  <si>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</si>
  <si>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</si>
  <si>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</si>
  <si>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</si>
  <si>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</si>
  <si>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</si>
  <si>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</si>
  <si>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</si>
  <si>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</si>
  <si>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</si>
  <si>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</si>
  <si>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</si>
  <si>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</si>
  <si>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</si>
  <si>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</si>
  <si>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</si>
  <si>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</si>
  <si>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</si>
  <si>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</si>
  <si>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</si>
  <si>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</si>
  <si>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</si>
  <si>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</si>
  <si>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</si>
  <si>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</si>
  <si>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</si>
  <si>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</si>
  <si>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</si>
  <si>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</si>
  <si>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</si>
  <si>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</si>
  <si>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</si>
  <si>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</si>
  <si>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</si>
  <si>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</si>
  <si>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</si>
  <si>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</si>
  <si>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</si>
  <si>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</si>
  <si>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</si>
  <si>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</si>
  <si>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</si>
  <si>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</si>
  <si>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</si>
  <si>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</si>
  <si>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</si>
  <si>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</si>
  <si>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</si>
  <si>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</si>
  <si>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</si>
  <si>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</si>
  <si>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</si>
  <si>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</si>
  <si>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</si>
  <si>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</si>
  <si>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</si>
  <si>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</si>
  <si>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</si>
  <si>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</si>
  <si>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</si>
  <si>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</si>
  <si>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</si>
  <si>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</si>
  <si>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</si>
  <si>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</si>
  <si>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</si>
  <si>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</si>
  <si>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</si>
  <si>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</si>
  <si>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</si>
  <si>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</si>
  <si>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</si>
  <si>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</si>
  <si>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</si>
  <si>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</si>
  <si>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</si>
  <si>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</si>
  <si>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</si>
  <si>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</si>
  <si>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</si>
  <si>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</si>
  <si>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</si>
  <si>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</si>
  <si>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</si>
  <si>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</si>
  <si>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</si>
  <si>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</si>
  <si>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</si>
  <si>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</si>
  <si>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</si>
  <si>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</si>
  <si>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</si>
  <si>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</si>
  <si>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</si>
  <si>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</si>
  <si>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</si>
  <si>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</si>
  <si>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</si>
  <si>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</si>
  <si>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</si>
  <si>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</si>
  <si>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</si>
  <si>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</si>
  <si>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</si>
  <si>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</si>
  <si>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</si>
  <si>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</si>
  <si>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</si>
  <si>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</si>
  <si>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</si>
  <si>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</si>
  <si>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</si>
  <si>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</si>
  <si>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</si>
  <si>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</si>
  <si>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</si>
  <si>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</si>
  <si>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Residential Sources</t>
  </si>
  <si>
    <t>Grant / Loan</t>
  </si>
  <si>
    <t>Public / Private</t>
  </si>
  <si>
    <t>Application Date</t>
  </si>
  <si>
    <t>(Projected) Award Date</t>
  </si>
  <si>
    <t xml:space="preserve"> Loan Term</t>
  </si>
  <si>
    <t>Subtotal</t>
  </si>
  <si>
    <t>Residential Sources (excluding LIHTC Equity)</t>
  </si>
  <si>
    <t>Expected LIHTC Equity (Form 6D)</t>
  </si>
  <si>
    <t xml:space="preserve"> </t>
  </si>
  <si>
    <t>Total Residential Sources</t>
  </si>
  <si>
    <t>Permanent Financing - Non-Residential</t>
  </si>
  <si>
    <t>Total Non Residential Sources</t>
  </si>
  <si>
    <t xml:space="preserve">Project Name: </t>
  </si>
  <si>
    <t>Date:</t>
  </si>
  <si>
    <t>Sources and Amounts of Revenue</t>
  </si>
  <si>
    <t>Quarter 4</t>
  </si>
  <si>
    <t>Quarter 1</t>
  </si>
  <si>
    <t>Quarter 2</t>
  </si>
  <si>
    <t>Quarter 3</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</si>
  <si>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</si>
  <si>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</si>
  <si>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</si>
  <si>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</si>
  <si>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</si>
  <si>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</si>
  <si>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</si>
  <si>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</si>
  <si>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</si>
  <si>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</si>
  <si>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</si>
  <si>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cross-check</t>
  </si>
  <si>
    <t>% of Median 
Income Served</t>
  </si>
  <si>
    <t>Unit Size</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</si>
  <si>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</si>
  <si>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</si>
  <si>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</si>
  <si>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</si>
  <si>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</si>
  <si>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</si>
  <si>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</si>
  <si>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</si>
  <si>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</si>
  <si>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ANNUAL RENT SUBSIDY SOURCES (Do Not Include Operating or Service Funding Sources Here)</t>
  </si>
  <si>
    <t>Proposed 
Funding</t>
  </si>
  <si>
    <t>Committed/ 
Conditional Funding</t>
  </si>
  <si>
    <t>Total 
Funding</t>
  </si>
  <si>
    <t>Length of Commitment</t>
  </si>
  <si>
    <t>Total Annual Rent Subsidy</t>
  </si>
  <si>
    <t>ANNUAL OPERATING SUBSIDY SOURCES (Do Not Include Service or Rent Subsidy Dollars Here)</t>
  </si>
  <si>
    <t>Total Annual Operating Subsidy Sources</t>
  </si>
  <si>
    <t>ANNUAL SERVICE FUNDING SOURCES (Do Not Include Operating or Rent Subsidy Dollars Here)</t>
  </si>
  <si>
    <t>Form 8C: Operating Personnel Expenses</t>
  </si>
  <si>
    <t>On-Site Staff</t>
  </si>
  <si>
    <t>Staff Title</t>
  </si>
  <si>
    <t>Name of agency that employs this person</t>
  </si>
  <si>
    <t xml:space="preserve">Full-time Annual Salary of an FTE in this position. </t>
  </si>
  <si>
    <t>% of time this person will work on this project</t>
  </si>
  <si>
    <t>Total cost for this person on this project</t>
  </si>
  <si>
    <t>Benefit Rate (%)</t>
  </si>
  <si>
    <t>Benefit Amount</t>
  </si>
  <si>
    <t>Total Project Cost for This  Person</t>
  </si>
  <si>
    <t>Total On-Site Staff Expenses</t>
  </si>
  <si>
    <t>Off-Site Staff</t>
  </si>
  <si>
    <t>Total Off-Site Staff Expenses</t>
  </si>
  <si>
    <t>Total Operating Personnel Expenses</t>
  </si>
  <si>
    <t>Form 8D: Service Expenses</t>
  </si>
  <si>
    <t>Service Personnel Expenses for First Year of Project</t>
  </si>
  <si>
    <t>Staff Title*</t>
  </si>
  <si>
    <t>Total Project Cost for this  person</t>
  </si>
  <si>
    <t>Service Sources</t>
  </si>
  <si>
    <t>Project Cash Flow</t>
  </si>
  <si>
    <t>Total Service Personnel Expenses</t>
  </si>
  <si>
    <t>Non-Personnel Expenses for First Year of Project</t>
  </si>
  <si>
    <t>Client Assistance Costs**</t>
  </si>
  <si>
    <t>Local Travel/Mileage</t>
  </si>
  <si>
    <t>Equipment***</t>
  </si>
  <si>
    <t>Supplies</t>
  </si>
  <si>
    <t>Telecommunications/Computers</t>
  </si>
  <si>
    <t>Printing/Duplication</t>
  </si>
  <si>
    <t>Project Administrative Costs****</t>
  </si>
  <si>
    <t>Total Services:</t>
  </si>
  <si>
    <t>Form 8E: Operating Pro Forma</t>
  </si>
  <si>
    <t>Pro Forma Date</t>
  </si>
  <si>
    <t>REVENUES</t>
  </si>
  <si>
    <t>Year 1</t>
  </si>
  <si>
    <t>Year 2</t>
  </si>
  <si>
    <t>Year 3</t>
  </si>
  <si>
    <t>Year 4</t>
  </si>
  <si>
    <t>Year 5</t>
  </si>
  <si>
    <t>Year 6</t>
  </si>
  <si>
    <t>Year 7</t>
  </si>
  <si>
    <t xml:space="preserve">Residential Income </t>
  </si>
  <si>
    <t>Escalator</t>
  </si>
  <si>
    <t>Annual Gross Tenant Paid Rental Income</t>
  </si>
  <si>
    <t>Other Source:</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</si>
  <si>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</si>
  <si>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</si>
  <si>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</si>
  <si>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</si>
  <si>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</si>
  <si>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</si>
  <si>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</si>
  <si>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</si>
  <si>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</si>
  <si>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EXPENSES </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</si>
  <si>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</si>
  <si>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</si>
  <si>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</si>
  <si>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</si>
  <si>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</si>
  <si>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</si>
  <si>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</si>
  <si>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</si>
  <si>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</si>
  <si>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</si>
  <si>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</si>
  <si>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</si>
  <si>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</si>
  <si>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</si>
  <si>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</si>
  <si>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</si>
  <si>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</si>
  <si>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</si>
  <si>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</si>
  <si>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</si>
  <si>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</si>
  <si>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</si>
  <si>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</si>
  <si>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</si>
  <si>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</si>
  <si>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</si>
  <si>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</si>
  <si>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</si>
  <si>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</si>
  <si>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</si>
  <si>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</si>
  <si>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</si>
  <si>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</si>
  <si>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Non-Residential Lender</t>
  </si>
  <si>
    <t>Total Hard Debt Service</t>
  </si>
  <si>
    <t>Debt Coverage Ratio (Hard Debt)</t>
  </si>
  <si>
    <t>Gross Cash Flow</t>
  </si>
  <si>
    <t>Soft Debt</t>
  </si>
  <si>
    <t>Total Soft Debt Service</t>
  </si>
  <si>
    <t>Overall Debt Coverage Ratio</t>
  </si>
  <si>
    <t>Net Cash Flow</t>
  </si>
  <si>
    <t>Year 8</t>
  </si>
  <si>
    <t>Year 9</t>
  </si>
  <si>
    <t>Year 10</t>
  </si>
  <si>
    <t>Year 11</t>
  </si>
  <si>
    <t>Year 12</t>
  </si>
  <si>
    <t>Year 13</t>
  </si>
  <si>
    <t>Year 14</t>
  </si>
  <si>
    <t>Year 15</t>
  </si>
  <si>
    <t>Other:</t>
  </si>
  <si>
    <t>Less Residential Vacancy</t>
  </si>
  <si>
    <t xml:space="preserve">Less Non-Residential Vacancy </t>
  </si>
  <si>
    <t>Vacancy Rates and Inflation Factors</t>
  </si>
  <si>
    <t>Please explain how you arrived at the vacancy and inflation factors used in the Operating Pro Forma</t>
  </si>
  <si>
    <t xml:space="preserve">Operating Expense Estimates </t>
  </si>
  <si>
    <t>Heat</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</si>
  <si>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</si>
  <si>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</si>
  <si>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</si>
  <si>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</si>
  <si>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</si>
  <si>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</si>
  <si>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</si>
  <si>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</si>
  <si>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</si>
  <si>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</si>
  <si>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</si>
  <si>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</si>
  <si>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</si>
  <si>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</si>
  <si>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</si>
  <si>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</si>
  <si>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</si>
  <si>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</si>
  <si>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</si>
  <si>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</si>
  <si>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</si>
  <si>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</si>
  <si>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</si>
  <si>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</si>
  <si>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</si>
  <si>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</si>
  <si>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</si>
  <si>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</si>
  <si>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</si>
  <si>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</si>
  <si>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</si>
  <si>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</si>
  <si>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</si>
  <si>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</si>
  <si>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</si>
  <si>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</si>
  <si>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</si>
  <si>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</si>
  <si>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</si>
  <si>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</si>
  <si>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</si>
  <si>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</si>
  <si>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</si>
  <si>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</si>
  <si>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</si>
  <si>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</si>
  <si>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</si>
  <si>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</si>
  <si>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</si>
  <si>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</si>
  <si>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</si>
  <si>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</si>
  <si>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</si>
  <si>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</si>
  <si>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</si>
  <si>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</si>
  <si>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</si>
  <si>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</si>
  <si>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</si>
  <si>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</si>
  <si>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End (projected Placed in Service Date)</t>
  </si>
  <si>
    <t>Development Consultant History</t>
  </si>
  <si>
    <t>Developer Consultant Name:</t>
  </si>
  <si>
    <t xml:space="preserve">Development Consultant Pipeline </t>
  </si>
  <si>
    <t>Management Company:</t>
  </si>
  <si>
    <t xml:space="preserve"> Projects</t>
  </si>
  <si>
    <t>Population Served</t>
  </si>
  <si>
    <t>Effective Date of Mangement Contract</t>
  </si>
  <si>
    <t>Form 11A: 9% LIHTC Scoring Synopsis</t>
  </si>
  <si>
    <t>POINTS
SELECTED</t>
  </si>
  <si>
    <t>The Applicant commits the Project to serve the following combination of Income Set-Asides:</t>
  </si>
  <si>
    <t>Lower Income County:</t>
  </si>
  <si>
    <t>Select Lower Income County</t>
  </si>
  <si>
    <t>Set-Aside Combination:</t>
  </si>
  <si>
    <t>None</t>
  </si>
  <si>
    <t>Higher Income County:</t>
  </si>
  <si>
    <t>Select Higher Income County</t>
  </si>
  <si>
    <t>2 points will be awarded for every year of the Additional Low-Income Housing Use Period up to 22 years.</t>
  </si>
  <si>
    <t>No Points Taken</t>
  </si>
  <si>
    <t>Indicate the Priority Population set-aside(s) below.  If you select Category A, you many not select anything under Category B.</t>
  </si>
  <si>
    <t>Five points will be awarded to projects in King County or Metro Counties that have received a funding commitment from a local or county government.  Please see Policies for minimum funding thresholds by county.</t>
  </si>
  <si>
    <t>Points will be awarded to projects that have leveraged federal resources.</t>
  </si>
  <si>
    <t xml:space="preserve">CAPITAL FUNDS: </t>
  </si>
  <si>
    <t>Source of Funds:</t>
  </si>
  <si>
    <t>Amount of Funds:</t>
  </si>
  <si>
    <t>% of Total Project Cost:</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</si>
  <si>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</si>
  <si>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</si>
  <si>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</si>
  <si>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</si>
  <si>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</si>
  <si>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</si>
  <si>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</si>
  <si>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</si>
  <si>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</si>
  <si>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</si>
  <si>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</si>
  <si>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</si>
  <si>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</si>
  <si>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</si>
  <si>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</si>
  <si>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</si>
  <si>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</si>
  <si>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</si>
  <si>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</si>
  <si>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Points will be awarded to those Projects located on an eligible Indian Reservation or within the service area of an eligible tribe.</t>
  </si>
  <si>
    <t>Eligible Tribe:</t>
  </si>
  <si>
    <t>**Projects claiming these points are not eligible for points under #12-17 below.</t>
  </si>
  <si>
    <t>Two Points will be awarded to those Projects that provide nearby access to food and exceed the minimum Access to Services criterion of ESDS.</t>
  </si>
  <si>
    <t>Select one:</t>
  </si>
  <si>
    <t xml:space="preserve">Project is located in </t>
  </si>
  <si>
    <t>Select location</t>
  </si>
  <si>
    <t>One Point will be awarded to Projects in or near the top 50 Metro or Non-Metro job growth places.</t>
  </si>
  <si>
    <t>Project is located</t>
  </si>
  <si>
    <t>Select Location</t>
  </si>
  <si>
    <t>Select Job Growth Place</t>
  </si>
  <si>
    <t>Five points will be awarded to those Projects that qualify under one of the three scenarios below.  Indicate Nonprofit involvement below:</t>
  </si>
  <si>
    <t>Five points will be awarded to Projects whose Owners agree to contribute to a local Nonprofit Organization an amount equal to the greater of 25 basis points (0.25%) of Total Project Costs; or $10,000.</t>
  </si>
  <si>
    <t>Two points will be awarded to Projects that have a preapproved plan for eventual tenant ownership after the initial 15-year Compliance Period.</t>
  </si>
  <si>
    <t>TOTAL POINTS SELECTED BY APPLICANT</t>
  </si>
  <si>
    <t>Select Additional Low-Income Set-Asides</t>
  </si>
  <si>
    <t>1 point will be awarded for every year of the Additional Low-Income Housing Use Period selected up to 22 years.</t>
  </si>
  <si>
    <t>Indicate Priority Population set-aside(s) below.  Up to two set-asides may be selected, but the same population cannot be selected in both Category A and B.</t>
  </si>
  <si>
    <t xml:space="preserve">Please indicate at least 3 onsite services that will be provided.  </t>
  </si>
  <si>
    <t>Onsite food service</t>
  </si>
  <si>
    <t>Onsite housekeeping and linen service</t>
  </si>
  <si>
    <t>Transportation services</t>
  </si>
  <si>
    <t>Onsite Social Coordinator and regularly scheduled social activities</t>
  </si>
  <si>
    <t>Other service to be approved by the Commission</t>
  </si>
  <si>
    <t>Points will be awarded to projects that create or preserve project-based government rental assistance covering at least 25% of the low-income units.</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</si>
  <si>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</si>
  <si>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</si>
  <si>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</si>
  <si>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</si>
  <si>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</si>
  <si>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</si>
  <si>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</si>
  <si>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</si>
  <si>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</si>
  <si>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</si>
  <si>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</si>
  <si>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</si>
  <si>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</si>
  <si>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Three points will be awarded to Projects meeting the definition of Rehabilitation Project.</t>
  </si>
  <si>
    <t>Five points will be awarded to Projects meeting the definition of At-Risk Property.</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</si>
  <si>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</si>
  <si>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</si>
  <si>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</si>
  <si>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</si>
  <si>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Two points will be awarded to Projects that qualify under one of the scenarios below.</t>
  </si>
  <si>
    <t>Five points will be awarded to Projects whose Owners agree to contribute funds to a local Nonprofit Organization an amount equal to the greater of 20 basis points (0.20%) of the total bond issue; or $10,000.</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</si>
  <si>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</si>
  <si>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</si>
  <si>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</si>
  <si>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</si>
  <si>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</si>
  <si>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</si>
  <si>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</si>
  <si>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</si>
  <si>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</si>
  <si>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</si>
  <si>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</si>
  <si>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</si>
  <si>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</si>
  <si>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</si>
  <si>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</si>
  <si>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</si>
  <si>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</si>
  <si>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</si>
  <si>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r>
      <t xml:space="preserve">Divided by Tax Credit Factor </t>
    </r>
    <r>
      <rPr>
        <sz val="8"/>
        <rFont val="Calibri"/>
        <family val="2"/>
        <scheme val="minor"/>
      </rPr>
      <t>(</t>
    </r>
    <r>
      <rPr>
        <i/>
        <sz val="8"/>
        <rFont val="Calibri"/>
        <family val="2"/>
        <scheme val="minor"/>
      </rPr>
      <t>ESTIMATED 2015 minimum for King County = $0.92, non-King County = $0.85)</t>
    </r>
  </si>
  <si>
    <t>Non Residential Sources</t>
  </si>
  <si>
    <t>Repayment Structure</t>
  </si>
  <si>
    <t xml:space="preserve">Repayment Structure
</t>
  </si>
  <si>
    <t>Loan 
Term</t>
  </si>
  <si>
    <t>Notes</t>
  </si>
  <si>
    <t>#Units /
 Beds</t>
  </si>
  <si>
    <t xml:space="preserve">Market Rate 
Units </t>
  </si>
  <si>
    <t>Total Annual Operating Subsidy</t>
  </si>
  <si>
    <t>Total Annual Services Funding</t>
  </si>
  <si>
    <t>Other (identify and include cost estimate for each)</t>
  </si>
  <si>
    <t># Units</t>
  </si>
  <si>
    <t>End Date</t>
  </si>
  <si>
    <t>Type of Financing</t>
  </si>
  <si>
    <t>Projected PIS Date</t>
  </si>
  <si>
    <t>Additional Low-Income Housing Setasides</t>
  </si>
  <si>
    <t>Additional Low-Income Housing Use Period</t>
  </si>
  <si>
    <t>Housing Commitments for Priority Populations</t>
  </si>
  <si>
    <t>Local Funding Commitment</t>
  </si>
  <si>
    <t>Federal Leverage</t>
  </si>
  <si>
    <t>State Funding Coordination</t>
  </si>
  <si>
    <t>Project-Based Rental Assistance (PBRA)</t>
  </si>
  <si>
    <t>Developer Fees</t>
  </si>
  <si>
    <t>At Risk of Market Conversion</t>
  </si>
  <si>
    <t>Historic Property</t>
  </si>
  <si>
    <r>
      <t xml:space="preserve">Five points will be awarded to </t>
    </r>
    <r>
      <rPr>
        <u/>
        <sz val="10"/>
        <rFont val="Calibri"/>
        <family val="2"/>
        <scheme val="minor"/>
      </rPr>
      <t>New Production</t>
    </r>
    <r>
      <rPr>
        <sz val="10"/>
        <rFont val="Calibri"/>
        <family val="2"/>
        <scheme val="minor"/>
      </rPr>
      <t xml:space="preserve"> Projects meeting the definition of an Historic Property </t>
    </r>
    <r>
      <rPr>
        <u/>
        <sz val="10"/>
        <rFont val="Calibri"/>
        <family val="2"/>
        <scheme val="minor"/>
      </rPr>
      <t>and</t>
    </r>
    <r>
      <rPr>
        <sz val="10"/>
        <rFont val="Calibri"/>
        <family val="2"/>
        <scheme val="minor"/>
      </rPr>
      <t xml:space="preserve"> using the federal Historic Tax Credit in their financing.</t>
    </r>
  </si>
  <si>
    <t>Eligible Tribal Area</t>
  </si>
  <si>
    <t>Area Targeted By a Local Jurisdiction</t>
  </si>
  <si>
    <r>
      <t xml:space="preserve">Two Points will be awared to Projects  in </t>
    </r>
    <r>
      <rPr>
        <u/>
        <sz val="10"/>
        <rFont val="Calibri"/>
        <family val="2"/>
        <scheme val="minor"/>
      </rPr>
      <t>King County or Metro Counties</t>
    </r>
    <r>
      <rPr>
        <sz val="10"/>
        <rFont val="Calibri"/>
        <family val="2"/>
        <scheme val="minor"/>
      </rPr>
      <t xml:space="preserve"> that are located in a specific geographic area that is targeted by the local jurisdiction for affordable housing.</t>
    </r>
  </si>
  <si>
    <t>Community Revitalization Plan</t>
  </si>
  <si>
    <r>
      <t xml:space="preserve">One Point will be awarded to Projects  in </t>
    </r>
    <r>
      <rPr>
        <u/>
        <sz val="10"/>
        <rFont val="Calibri"/>
        <family val="2"/>
        <scheme val="minor"/>
      </rPr>
      <t>King County or Metro Counties</t>
    </r>
    <r>
      <rPr>
        <sz val="10"/>
        <rFont val="Calibri"/>
        <family val="2"/>
        <scheme val="minor"/>
      </rPr>
      <t xml:space="preserve"> that contribute to a preapproved Community Revitalization Plan.</t>
    </r>
  </si>
  <si>
    <t>Transit-Oriented Development (TOD)</t>
  </si>
  <si>
    <r>
      <t xml:space="preserve">One Point will be awarded to Projects  in </t>
    </r>
    <r>
      <rPr>
        <u/>
        <sz val="10"/>
        <rFont val="Calibri"/>
        <family val="2"/>
        <scheme val="minor"/>
      </rPr>
      <t>King County</t>
    </r>
    <r>
      <rPr>
        <sz val="10"/>
        <rFont val="Calibri"/>
        <family val="2"/>
        <scheme val="minor"/>
      </rPr>
      <t xml:space="preserve"> that are located within the 10-minute walkshed of a Transit Oriented Development.</t>
    </r>
  </si>
  <si>
    <t>High and Very High Opportunity Areas</t>
  </si>
  <si>
    <r>
      <t xml:space="preserve">One Point will be awarded to Projects  in </t>
    </r>
    <r>
      <rPr>
        <u/>
        <sz val="10"/>
        <rFont val="Calibri"/>
        <family val="2"/>
        <scheme val="minor"/>
      </rPr>
      <t>King County</t>
    </r>
    <r>
      <rPr>
        <sz val="10"/>
        <rFont val="Calibri"/>
        <family val="2"/>
        <scheme val="minor"/>
      </rPr>
      <t xml:space="preserve"> that are located in a census tract determined to be a High or Very High Opportunity Area.</t>
    </r>
  </si>
  <si>
    <t>Job Centers</t>
  </si>
  <si>
    <t>Nonprofit Sponsor</t>
  </si>
  <si>
    <t>Donation in Support of Local Housing Needs</t>
  </si>
  <si>
    <t>Eventual Tenant Ownership</t>
  </si>
  <si>
    <t>• Elderly Housing Project: RD Section 515 program or a HUD elderly program - 10 Points</t>
  </si>
  <si>
    <t>King County, has not selected #4 and is not eligible for these points.</t>
  </si>
  <si>
    <t>• 22 years - 44 points</t>
  </si>
  <si>
    <t>75% of Total Housing Units as Supportive Housing for the Homeless - 35 Points</t>
  </si>
  <si>
    <r>
      <rPr>
        <i/>
        <sz val="10"/>
        <rFont val="Calibri"/>
        <family val="2"/>
        <scheme val="minor"/>
      </rPr>
      <t>Category A</t>
    </r>
    <r>
      <rPr>
        <sz val="10"/>
        <rFont val="Calibri"/>
        <family val="2"/>
        <scheme val="minor"/>
      </rPr>
      <t>.  75% Supportive Housing for the Homeless (35 points)</t>
    </r>
  </si>
  <si>
    <r>
      <rPr>
        <i/>
        <sz val="10"/>
        <rFont val="Calibri"/>
        <family val="2"/>
        <scheme val="minor"/>
      </rPr>
      <t>Category B</t>
    </r>
    <r>
      <rPr>
        <sz val="10"/>
        <rFont val="Calibri"/>
        <family val="2"/>
        <scheme val="minor"/>
      </rPr>
      <t>.  Housing Commitments for other Priority Populations (Up to Two - 10 points each)</t>
    </r>
  </si>
  <si>
    <t>Expiring Federal Use Restriction</t>
  </si>
  <si>
    <t>Location-Efficient Projects</t>
  </si>
  <si>
    <r>
      <rPr>
        <i/>
        <sz val="10"/>
        <rFont val="Calibri"/>
        <family val="2"/>
        <scheme val="minor"/>
      </rPr>
      <t>Category A</t>
    </r>
    <r>
      <rPr>
        <sz val="10"/>
        <rFont val="Calibri"/>
        <family val="2"/>
        <scheme val="minor"/>
      </rPr>
      <t>.  10% Large Households and/or 10% Persons with Disabilities (5 points each)</t>
    </r>
  </si>
  <si>
    <r>
      <rPr>
        <i/>
        <sz val="10"/>
        <rFont val="Calibri"/>
        <family val="2"/>
        <scheme val="minor"/>
      </rPr>
      <t>Category B</t>
    </r>
    <r>
      <rPr>
        <sz val="10"/>
        <rFont val="Calibri"/>
        <family val="2"/>
        <scheme val="minor"/>
      </rPr>
      <t>.  20% Large Households and/or 20% Persons with Disabilities (10 points each)</t>
    </r>
  </si>
  <si>
    <t>Additional Low-Income Housing Set-Asides</t>
  </si>
  <si>
    <r>
      <rPr>
        <i/>
        <sz val="10"/>
        <color indexed="8"/>
        <rFont val="Calibri"/>
        <family val="2"/>
        <scheme val="minor"/>
      </rPr>
      <t>Category C</t>
    </r>
    <r>
      <rPr>
        <b/>
        <sz val="10"/>
        <color indexed="8"/>
        <rFont val="Calibri"/>
        <family val="2"/>
        <scheme val="minor"/>
      </rPr>
      <t>.</t>
    </r>
    <r>
      <rPr>
        <sz val="10"/>
        <color indexed="8"/>
        <rFont val="Calibri"/>
        <family val="2"/>
        <scheme val="minor"/>
      </rPr>
      <t xml:space="preserve">  100% Seniors with Some Services (10 points)</t>
    </r>
  </si>
  <si>
    <t>Total Project Cost (Form 6D, Cell R116):</t>
  </si>
  <si>
    <t>Leveraging of Public Resources</t>
  </si>
  <si>
    <t>Leveraging of Taxable Bonds</t>
  </si>
  <si>
    <t>Rehabilitation Project</t>
  </si>
  <si>
    <t>At-Risk Property</t>
  </si>
  <si>
    <t>Property Type</t>
  </si>
  <si>
    <t>Area Targeted by a Local Jurisdiction</t>
  </si>
  <si>
    <t>Donation in Support of Nonprofit Programs</t>
  </si>
  <si>
    <t>Development Amenities</t>
  </si>
  <si>
    <t>General</t>
  </si>
  <si>
    <t>Individuals</t>
  </si>
  <si>
    <t>Households with Children</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</si>
  <si>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</si>
  <si>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</si>
  <si>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</si>
  <si>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</si>
  <si>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</si>
  <si>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</si>
  <si>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</si>
  <si>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</si>
  <si>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</si>
  <si>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</si>
  <si>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</si>
  <si>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</si>
  <si>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</si>
  <si>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</si>
  <si>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</si>
  <si>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Lower Income Housing Commitment</t>
  </si>
  <si>
    <t xml:space="preserve">• 100% of low-income units at 60% AMI (0 points) </t>
  </si>
  <si>
    <t xml:space="preserve">• 90% of  low-income units at 60% AMI, 10% at 40% AMI (5 points) </t>
  </si>
  <si>
    <t xml:space="preserve">• 70% of low-income units at 60% AMI, 30% at 50% AMI (10 points) </t>
  </si>
  <si>
    <t xml:space="preserve">• 50% of low-income units at 60% AMI, 50% at 50% AMI (15 points) </t>
  </si>
  <si>
    <t>• 30% of low-income units at 60% AMI, 70% at 50% AMI (20 points)</t>
  </si>
  <si>
    <t xml:space="preserve">• 100% of low-income units at 50% AMI (25 points) </t>
  </si>
  <si>
    <t>% of Units</t>
  </si>
  <si>
    <t>Inc_percent</t>
  </si>
  <si>
    <t>Years</t>
  </si>
  <si>
    <t>• 1 year - 1 point</t>
  </si>
  <si>
    <t>• 2 years - 2 points</t>
  </si>
  <si>
    <t>• 3 years - 3 points</t>
  </si>
  <si>
    <t>• 4 years - 4 points</t>
  </si>
  <si>
    <t>• 5 years - 5 points</t>
  </si>
  <si>
    <t>• 6 years - 6 points</t>
  </si>
  <si>
    <t>• 7 years - 7 points</t>
  </si>
  <si>
    <t>• 8 years - 8 points</t>
  </si>
  <si>
    <t>• 9 years - 9 points</t>
  </si>
  <si>
    <t>• 10 years - 10 points</t>
  </si>
  <si>
    <t>• 11 years - 11 points</t>
  </si>
  <si>
    <t>• 12 years - 12 points</t>
  </si>
  <si>
    <t>• 13 years - 13 points</t>
  </si>
  <si>
    <t>• 14 years - 14 points</t>
  </si>
  <si>
    <t>• 15 years - 15 points</t>
  </si>
  <si>
    <t>• 16 years - 16 points</t>
  </si>
  <si>
    <t>• 17 years - 17 points</t>
  </si>
  <si>
    <t>• 18 years - 18 points</t>
  </si>
  <si>
    <t>• 19 years - 19 points</t>
  </si>
  <si>
    <t>• 20 years - 20 points</t>
  </si>
  <si>
    <t>• 21 years - 21 points</t>
  </si>
  <si>
    <t>• 22 years - 22 points</t>
  </si>
  <si>
    <t>PriorityPopulations10</t>
  </si>
  <si>
    <r>
      <t xml:space="preserve">Option 1: </t>
    </r>
    <r>
      <rPr>
        <sz val="11"/>
        <color rgb="FF000000"/>
        <rFont val="Calibri"/>
        <family val="2"/>
        <scheme val="minor"/>
      </rPr>
      <t>10% for Large Households - 5 Points</t>
    </r>
  </si>
  <si>
    <r>
      <t xml:space="preserve">Option 2: </t>
    </r>
    <r>
      <rPr>
        <sz val="11"/>
        <color rgb="FF000000"/>
        <rFont val="Calibri"/>
        <family val="2"/>
        <scheme val="minor"/>
      </rPr>
      <t>10% for Persons with Disabilities - 5 Points</t>
    </r>
  </si>
  <si>
    <r>
      <t xml:space="preserve">Option 3: </t>
    </r>
    <r>
      <rPr>
        <sz val="11"/>
        <color rgb="FF000000"/>
        <rFont val="Calibri"/>
        <family val="2"/>
        <scheme val="minor"/>
      </rPr>
      <t>10% for Large Households, 10% for Persons with Disabilities - 10 Points</t>
    </r>
  </si>
  <si>
    <t>PriorityPopulations20</t>
  </si>
  <si>
    <r>
      <t xml:space="preserve">Option 1: </t>
    </r>
    <r>
      <rPr>
        <sz val="11"/>
        <color rgb="FF000000"/>
        <rFont val="Calibri"/>
        <family val="2"/>
        <scheme val="minor"/>
      </rPr>
      <t>20% for Large Households - 10 Points</t>
    </r>
  </si>
  <si>
    <r>
      <t>Option 2:</t>
    </r>
    <r>
      <rPr>
        <sz val="11"/>
        <color rgb="FF000000"/>
        <rFont val="Calibri"/>
        <family val="2"/>
        <scheme val="minor"/>
      </rPr>
      <t xml:space="preserve"> 20% for Persons with Disabilities- 10 Points</t>
    </r>
  </si>
  <si>
    <r>
      <t xml:space="preserve">Option 3: </t>
    </r>
    <r>
      <rPr>
        <sz val="11"/>
        <color rgb="FF000000"/>
        <rFont val="Calibri"/>
        <family val="2"/>
        <scheme val="minor"/>
      </rPr>
      <t>20% for Large Households, 20% for Persons with Disabilities - 20 Points</t>
    </r>
  </si>
  <si>
    <t>SeniorHousing10</t>
  </si>
  <si>
    <t>senior_housing_10</t>
  </si>
  <si>
    <t>Option 1: 100%  for Seniors with some services - 10 Points</t>
  </si>
  <si>
    <t>Project-Based Rental Assistance</t>
  </si>
  <si>
    <t>Project_Based_Rental_Assistance</t>
  </si>
  <si>
    <t>Less than 25% of the low-income housing units - 0 points</t>
  </si>
  <si>
    <t>25-49% of the low-income housing units - 10 points</t>
  </si>
  <si>
    <t>50-74% of the low-income housing units - 15 points</t>
  </si>
  <si>
    <t xml:space="preserve">75% or more of the low-income housing units - 20 points </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</si>
  <si>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</si>
  <si>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</si>
  <si>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</si>
  <si>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</si>
  <si>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</si>
  <si>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</si>
  <si>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</si>
  <si>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</si>
  <si>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</si>
  <si>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</si>
  <si>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</si>
  <si>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</si>
  <si>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</si>
  <si>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</si>
  <si>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DevFees</t>
  </si>
  <si>
    <t>PropertyType10</t>
  </si>
  <si>
    <t>property_type_10</t>
  </si>
  <si>
    <r>
      <t>Option 1:</t>
    </r>
    <r>
      <rPr>
        <sz val="11"/>
        <color theme="1"/>
        <rFont val="Calibri"/>
        <family val="2"/>
        <scheme val="minor"/>
      </rPr>
      <t xml:space="preserve"> Grayfield Site - 3 points</t>
    </r>
  </si>
  <si>
    <r>
      <t xml:space="preserve">Option 2: </t>
    </r>
    <r>
      <rPr>
        <sz val="11"/>
        <color theme="1"/>
        <rFont val="Calibri"/>
        <family val="2"/>
        <scheme val="minor"/>
      </rPr>
      <t>Adaptive Reuse Site - 3 points</t>
    </r>
  </si>
  <si>
    <r>
      <t>Option 3:</t>
    </r>
    <r>
      <rPr>
        <sz val="11"/>
        <color theme="1"/>
        <rFont val="Calibri"/>
        <family val="2"/>
        <scheme val="minor"/>
      </rPr>
      <t xml:space="preserve"> Historic Property being financed by the federal Historic Tax Credit (RTC) - 3 points</t>
    </r>
  </si>
  <si>
    <r>
      <t>Option 4:</t>
    </r>
    <r>
      <rPr>
        <sz val="11"/>
        <color theme="1"/>
        <rFont val="Calibri"/>
        <family val="2"/>
        <scheme val="minor"/>
      </rPr>
      <t xml:space="preserve"> Brownfield site - 10 points</t>
    </r>
  </si>
  <si>
    <t>Location Efficient Projects</t>
  </si>
  <si>
    <t>Location_eff</t>
  </si>
  <si>
    <t>NP Sponsor</t>
  </si>
  <si>
    <t>Nonprofit Only - 2 Points</t>
  </si>
  <si>
    <t>For Profit / Nonprofit Partnership - 2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</si>
  <si>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</si>
  <si>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</si>
  <si>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</si>
  <si>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</si>
  <si>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</si>
  <si>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</si>
  <si>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</si>
  <si>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</si>
  <si>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</si>
  <si>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</si>
  <si>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</si>
  <si>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</si>
  <si>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</si>
  <si>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</si>
  <si>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</si>
  <si>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</si>
  <si>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</si>
  <si>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</si>
  <si>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</si>
  <si>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</si>
  <si>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</si>
  <si>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</si>
  <si>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</si>
  <si>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</si>
  <si>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</si>
  <si>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</si>
  <si>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</si>
  <si>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</si>
  <si>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</si>
  <si>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</si>
  <si>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</si>
  <si>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</si>
  <si>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</si>
  <si>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</si>
  <si>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</si>
  <si>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</si>
  <si>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</si>
  <si>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</si>
  <si>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</si>
  <si>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</si>
  <si>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</si>
  <si>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</si>
  <si>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</si>
  <si>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</si>
  <si>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</si>
  <si>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</si>
  <si>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</si>
  <si>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</si>
  <si>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</si>
  <si>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</si>
  <si>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</si>
  <si>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</si>
  <si>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</si>
  <si>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</si>
  <si>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</si>
  <si>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</si>
  <si>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</si>
  <si>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</si>
  <si>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</si>
  <si>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</si>
  <si>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</si>
  <si>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</si>
  <si>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</si>
  <si>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</si>
  <si>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</si>
  <si>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</si>
  <si>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</si>
  <si>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</si>
  <si>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</si>
  <si>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</si>
  <si>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</si>
  <si>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</si>
  <si>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</si>
  <si>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</si>
  <si>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</si>
  <si>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</si>
  <si>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</si>
  <si>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</si>
  <si>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</si>
  <si>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</si>
  <si>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</si>
  <si>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</si>
  <si>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</si>
  <si>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</si>
  <si>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</si>
  <si>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</si>
  <si>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</si>
  <si>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</si>
  <si>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</si>
  <si>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</si>
  <si>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</si>
  <si>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</si>
  <si>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</si>
  <si>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</si>
  <si>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</si>
  <si>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</si>
  <si>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</si>
  <si>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</si>
  <si>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</si>
  <si>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</si>
  <si>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</si>
  <si>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</si>
  <si>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</si>
  <si>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</si>
  <si>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</si>
  <si>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</si>
  <si>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</si>
  <si>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</si>
  <si>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</si>
  <si>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</si>
  <si>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Homeless75</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</si>
  <si>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</si>
  <si>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</si>
  <si>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</si>
  <si>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</si>
  <si>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</si>
  <si>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</si>
  <si>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</si>
  <si>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</si>
  <si>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</si>
  <si>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</si>
  <si>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</si>
  <si>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</si>
  <si>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</si>
  <si>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</si>
  <si>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</si>
  <si>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</si>
  <si>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</si>
  <si>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</si>
  <si>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</si>
  <si>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</si>
  <si>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</si>
  <si>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</si>
  <si>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</si>
  <si>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</si>
  <si>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</si>
  <si>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</si>
  <si>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</si>
  <si>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</si>
  <si>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</si>
  <si>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</si>
  <si>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</si>
  <si>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</si>
  <si>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</si>
  <si>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</si>
  <si>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</si>
  <si>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</si>
  <si>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</si>
  <si>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</si>
  <si>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</si>
  <si>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</si>
  <si>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</si>
  <si>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</si>
  <si>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</si>
  <si>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</si>
  <si>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</si>
  <si>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</si>
  <si>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</si>
  <si>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PBRA_units</t>
  </si>
  <si>
    <t>0 points</t>
  </si>
  <si>
    <t>30-49 units = 2 points</t>
  </si>
  <si>
    <t>50-79 units = 3 points</t>
  </si>
  <si>
    <t>80 units or more = 4 points</t>
  </si>
  <si>
    <t>10% - 10 Points</t>
  </si>
  <si>
    <t>11% - 8 Points</t>
  </si>
  <si>
    <t>12% - 6 Points</t>
  </si>
  <si>
    <t>13% - 4 Points</t>
  </si>
  <si>
    <t>14% - 2 Points</t>
  </si>
  <si>
    <t>Historic</t>
  </si>
  <si>
    <t>Not a Historic property</t>
  </si>
  <si>
    <t>Listed, or determined eligible for listing, in the National Register of Historic Places</t>
  </si>
  <si>
    <t xml:space="preserve">Located in a registered Historic District </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</si>
  <si>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</si>
  <si>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</si>
  <si>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</si>
  <si>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</si>
  <si>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</si>
  <si>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</si>
  <si>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</si>
  <si>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</si>
  <si>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</si>
  <si>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</si>
  <si>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</si>
  <si>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</si>
  <si>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</si>
  <si>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</si>
  <si>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</si>
  <si>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</si>
  <si>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</si>
  <si>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</si>
  <si>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</si>
  <si>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</si>
  <si>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</si>
  <si>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</si>
  <si>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</si>
  <si>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</si>
  <si>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</si>
  <si>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</si>
  <si>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</si>
  <si>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</si>
  <si>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</si>
  <si>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</si>
  <si>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</si>
  <si>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</si>
  <si>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</si>
  <si>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</si>
  <si>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</si>
  <si>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</si>
  <si>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</si>
  <si>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</si>
  <si>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</si>
  <si>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</si>
  <si>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</si>
  <si>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</si>
  <si>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</si>
  <si>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</si>
  <si>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</si>
  <si>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</si>
  <si>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</si>
  <si>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</si>
  <si>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</si>
  <si>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</si>
  <si>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</si>
  <si>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</si>
  <si>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</si>
  <si>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</si>
  <si>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</si>
  <si>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</si>
  <si>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</si>
  <si>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</si>
  <si>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</si>
  <si>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</si>
  <si>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</si>
  <si>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</si>
  <si>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</si>
  <si>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</si>
  <si>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</si>
  <si>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</si>
  <si>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</si>
  <si>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</si>
  <si>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</si>
  <si>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</si>
  <si>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</si>
  <si>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</si>
  <si>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</si>
  <si>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</si>
  <si>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</si>
  <si>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</si>
  <si>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</si>
  <si>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</si>
  <si>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Nonprofit Only</t>
  </si>
  <si>
    <t>For Profit Nonprofit Partnership</t>
  </si>
  <si>
    <t>Nonprofit Sponsor Waiver</t>
  </si>
  <si>
    <t>TDC_Limit</t>
  </si>
  <si>
    <t>King-Pierce-Snohomish County TDC Limits</t>
  </si>
  <si>
    <t>Balance of State TDC Limits</t>
  </si>
  <si>
    <t>NP_Sponsor</t>
  </si>
  <si>
    <t>Incomes_4_Perc</t>
  </si>
  <si>
    <t>Years_4_Perc</t>
  </si>
  <si>
    <t>NP_Sponsor_4_Perc</t>
  </si>
  <si>
    <r>
      <t>Total Residential Project Cost</t>
    </r>
    <r>
      <rPr>
        <sz val="9"/>
        <color indexed="8"/>
        <rFont val="Calibri"/>
        <family val="2"/>
        <scheme val="minor"/>
      </rPr>
      <t xml:space="preserve"> (Form 6A)</t>
    </r>
    <r>
      <rPr>
        <sz val="11"/>
        <color indexed="8"/>
        <rFont val="Calibri"/>
        <family val="2"/>
        <scheme val="minor"/>
      </rPr>
      <t>:</t>
    </r>
  </si>
  <si>
    <t>LIH_commit</t>
  </si>
  <si>
    <t>Avg Unit Square Footage</t>
  </si>
  <si>
    <t>Form 7A: Financing Sources</t>
  </si>
  <si>
    <t>Form 7B: Estimate of Cash Flow During Development</t>
  </si>
  <si>
    <t>Form 7B: Estimate of Cash Flow During Development (Page 2)</t>
  </si>
  <si>
    <t>Form 8E: Operating Pro Forma (Page 2)</t>
  </si>
  <si>
    <t>Form 9A: Project Team (Page 2)</t>
  </si>
  <si>
    <t>Form 11A: 9% LIHTC Scoring Synopsis (Page 2)</t>
  </si>
  <si>
    <t>Form 11A: 9% LIHTC Scoring Synopsis (Page 3)</t>
  </si>
  <si>
    <t>Form 11B: 4%/ Bond LIHTC Scoring Synopsis (Page 2)</t>
  </si>
  <si>
    <t>Form 11B: 4%/ Bond LIHTC Scoring Synopsis (Page 3)</t>
  </si>
  <si>
    <t>Wastewater</t>
  </si>
  <si>
    <t>Water District</t>
  </si>
  <si>
    <t>No Rent Subsidy</t>
  </si>
  <si>
    <t xml:space="preserve">Overall Checklist Total </t>
  </si>
  <si>
    <t>Section 8</t>
  </si>
  <si>
    <t>Section 7</t>
  </si>
  <si>
    <t>Section 6</t>
  </si>
  <si>
    <t>Section 5</t>
  </si>
  <si>
    <t>Section 4</t>
  </si>
  <si>
    <t>Section 3</t>
  </si>
  <si>
    <t>Section 2</t>
  </si>
  <si>
    <t>Section 1</t>
  </si>
  <si>
    <t>Section 8 SUBTOTAL</t>
  </si>
  <si>
    <t>Educational Signage</t>
  </si>
  <si>
    <t>8.5</t>
  </si>
  <si>
    <t>Project Data Collection</t>
  </si>
  <si>
    <t>8.4</t>
  </si>
  <si>
    <t>Mandatory</t>
  </si>
  <si>
    <t>Resident &amp; Property Manager Orientation</t>
  </si>
  <si>
    <t>8.3</t>
  </si>
  <si>
    <t>Resident Manual</t>
  </si>
  <si>
    <t>8.2</t>
  </si>
  <si>
    <t>Building Maintenance Manual</t>
  </si>
  <si>
    <t>8.1</t>
  </si>
  <si>
    <t>Points</t>
  </si>
  <si>
    <t>Requirement Type/Optional Points</t>
  </si>
  <si>
    <t>Design Element: Operations &amp; Maintenance</t>
  </si>
  <si>
    <t>Section 7 SUBTOTAL</t>
  </si>
  <si>
    <t>Smoke-Free Bulding</t>
  </si>
  <si>
    <t>Lead-Safe Work Practices</t>
  </si>
  <si>
    <t>Integrated Pest Management</t>
  </si>
  <si>
    <t>Garage Isolation</t>
  </si>
  <si>
    <t>Enhanced Building Envelope Design</t>
  </si>
  <si>
    <t>Water Drainage</t>
  </si>
  <si>
    <t>Radon Mitigation</t>
  </si>
  <si>
    <t>Vapor Barrier Strategies</t>
  </si>
  <si>
    <t>7.10</t>
  </si>
  <si>
    <t>Mold Prevention: Tub &amp; Shower Enclosures</t>
  </si>
  <si>
    <t>7.9c</t>
  </si>
  <si>
    <t>Mold Prevention: Surfaces</t>
  </si>
  <si>
    <t>7.9b</t>
  </si>
  <si>
    <t>7.9a</t>
  </si>
  <si>
    <t>Cold Water &amp; Hot Water Pipe Insulation</t>
  </si>
  <si>
    <t>Combustion Equipment</t>
  </si>
  <si>
    <t>Clothes Dryer Exhaust</t>
  </si>
  <si>
    <t>Ventilation</t>
  </si>
  <si>
    <t>7.4a</t>
  </si>
  <si>
    <t>7.3a</t>
  </si>
  <si>
    <t>Healthy Flooring Materials</t>
  </si>
  <si>
    <t>7.2b</t>
  </si>
  <si>
    <t>Mandatory if providing floor coverings</t>
  </si>
  <si>
    <t>7.2a</t>
  </si>
  <si>
    <t>Composite Wood Products that Contain No Added Urea Formaldehyde</t>
  </si>
  <si>
    <t>7.1</t>
  </si>
  <si>
    <t>Design Element: Healthy Living Environment</t>
  </si>
  <si>
    <t>Section 6 SUBTOTAL</t>
  </si>
  <si>
    <t>Socially Sustainable Products</t>
  </si>
  <si>
    <t>6.8</t>
  </si>
  <si>
    <t>Reduced Heat-Island Effect: Paving</t>
  </si>
  <si>
    <t>6.7b</t>
  </si>
  <si>
    <t>Reduced Heat-Island Effect: Roofing</t>
  </si>
  <si>
    <t>6.7a</t>
  </si>
  <si>
    <t>Water-Permeable Parking Areas</t>
  </si>
  <si>
    <t>6.6</t>
  </si>
  <si>
    <t>Water-Permeable Walkways</t>
  </si>
  <si>
    <t>6.5</t>
  </si>
  <si>
    <t>Environmentally Preferable Materials</t>
  </si>
  <si>
    <t>6.4</t>
  </si>
  <si>
    <t>Construction Waste Management</t>
  </si>
  <si>
    <t>6.3</t>
  </si>
  <si>
    <t>Low/No VOC Adhesives &amp; Sealants</t>
  </si>
  <si>
    <t>6.2</t>
  </si>
  <si>
    <t>Low/No VOC Paints &amp; Primers</t>
  </si>
  <si>
    <t>6.1</t>
  </si>
  <si>
    <t>Design Element: Materials Beneficial to the Environment</t>
  </si>
  <si>
    <t>Section 5 SUBTOTAL</t>
  </si>
  <si>
    <t>5.10</t>
  </si>
  <si>
    <t>Domestic Water Heating</t>
  </si>
  <si>
    <t>5.9</t>
  </si>
  <si>
    <t>5.8c</t>
  </si>
  <si>
    <t>Photovoltaic/Solar Hot Water Ready</t>
  </si>
  <si>
    <t>5.8b</t>
  </si>
  <si>
    <t>5.8a</t>
  </si>
  <si>
    <t>5.7a</t>
  </si>
  <si>
    <t>Efficient Lighting</t>
  </si>
  <si>
    <t>5.6</t>
  </si>
  <si>
    <t>Central Laundry</t>
  </si>
  <si>
    <t>5.5</t>
  </si>
  <si>
    <t>Mandatory if providing appliances</t>
  </si>
  <si>
    <t>EnergyStar Applicances</t>
  </si>
  <si>
    <t>5.4</t>
  </si>
  <si>
    <t>Sizing of Heating &amp; Cooling Equipment</t>
  </si>
  <si>
    <t>5.3</t>
  </si>
  <si>
    <t>5.2a</t>
  </si>
  <si>
    <t>5.1a</t>
  </si>
  <si>
    <t>Design Element: Energy Efficiency</t>
  </si>
  <si>
    <t>Section 4 SUBTOTAL</t>
  </si>
  <si>
    <t>Water Reuse</t>
  </si>
  <si>
    <t>4.3</t>
  </si>
  <si>
    <t>4.2</t>
  </si>
  <si>
    <t>4.1</t>
  </si>
  <si>
    <t>Design Element: Water Conservation</t>
  </si>
  <si>
    <t>Section 3 SUBTOTAL</t>
  </si>
  <si>
    <t>Storm Drain Labels</t>
  </si>
  <si>
    <t>3.6</t>
  </si>
  <si>
    <t>Surface Water Management</t>
  </si>
  <si>
    <t>3.5</t>
  </si>
  <si>
    <t>Mandatory if irrigation is utilized</t>
  </si>
  <si>
    <t>Efficient Irrigation</t>
  </si>
  <si>
    <t>3.4</t>
  </si>
  <si>
    <t>Landscaping-Significant Trees</t>
  </si>
  <si>
    <t>3.3c</t>
  </si>
  <si>
    <t>3.3b</t>
  </si>
  <si>
    <t>Mandatory if providing Landscaping</t>
  </si>
  <si>
    <t>3.3a</t>
  </si>
  <si>
    <t>Erosion &amp; Sedimentation Control</t>
  </si>
  <si>
    <t>3.2</t>
  </si>
  <si>
    <t>Environmental Remediation</t>
  </si>
  <si>
    <t>3.1</t>
  </si>
  <si>
    <t>Design Element: Site Improvements</t>
  </si>
  <si>
    <t>Section 2 SUBTOTAL</t>
  </si>
  <si>
    <t>Access to Fresh, Local Foods</t>
  </si>
  <si>
    <t>2.10</t>
  </si>
  <si>
    <t>Brownfield or Adaptive Reuse Site</t>
  </si>
  <si>
    <t>Smart Site Location: Passive Design</t>
  </si>
  <si>
    <t>Walkable Neighborhoods- Connections to Surrounding Neighborhood</t>
  </si>
  <si>
    <t>2.7b</t>
  </si>
  <si>
    <t>Preservation of &amp; Access to Open Space</t>
  </si>
  <si>
    <t>Access to Services &amp; Public Transportation</t>
  </si>
  <si>
    <t>Maximizing Density</t>
  </si>
  <si>
    <t>Compact Development</t>
  </si>
  <si>
    <t>Connections to Existing Development &amp; Infrastructure</t>
  </si>
  <si>
    <t>Sensitive Site Protection</t>
  </si>
  <si>
    <t>Design Element: Location &amp; Neighborhood Fabric</t>
  </si>
  <si>
    <t>Section 1 SUBTOTAL</t>
  </si>
  <si>
    <t>Universal Design</t>
  </si>
  <si>
    <t>Green Development Plan</t>
  </si>
  <si>
    <t>Design Element: Integrative Design</t>
  </si>
  <si>
    <t>5.1b</t>
  </si>
  <si>
    <t>5.2b</t>
  </si>
  <si>
    <t>5.7b</t>
  </si>
  <si>
    <t>7.3b</t>
  </si>
  <si>
    <t>7.4b</t>
  </si>
  <si>
    <t>Building Performance Standard - New Construction</t>
  </si>
  <si>
    <t>Walkable Neighborhoods- Sidewalks &amp; Pathways</t>
  </si>
  <si>
    <t>2.7a</t>
  </si>
  <si>
    <r>
      <t xml:space="preserve">Advanced Water-Conserving </t>
    </r>
    <r>
      <rPr>
        <sz val="11"/>
        <rFont val="Calibri"/>
        <family val="2"/>
        <scheme val="minor"/>
      </rPr>
      <t>Fixtures</t>
    </r>
  </si>
  <si>
    <r>
      <t xml:space="preserve">Water-Conserving </t>
    </r>
    <r>
      <rPr>
        <sz val="11"/>
        <rFont val="Calibri"/>
        <family val="2"/>
        <scheme val="minor"/>
      </rPr>
      <t>Fixtures</t>
    </r>
  </si>
  <si>
    <t>Project Region:</t>
  </si>
  <si>
    <t>Project Activity:</t>
  </si>
  <si>
    <t>Building Performance Standard - Rehab</t>
  </si>
  <si>
    <r>
      <t xml:space="preserve">Exhaust Fans-Bathroom - NC and </t>
    </r>
    <r>
      <rPr>
        <u/>
        <sz val="11"/>
        <color theme="1"/>
        <rFont val="Calibri"/>
        <family val="2"/>
        <scheme val="minor"/>
      </rPr>
      <t>Substantial</t>
    </r>
    <r>
      <rPr>
        <sz val="11"/>
        <color theme="1"/>
        <rFont val="Calibri"/>
        <family val="2"/>
        <scheme val="minor"/>
      </rPr>
      <t xml:space="preserve"> Rehab</t>
    </r>
  </si>
  <si>
    <t>Exhaust Fans-Bathroom - Moderate Rehab</t>
  </si>
  <si>
    <t>Exhaust Fans-Kitchen - New Construction</t>
  </si>
  <si>
    <t>Exhaust Fans-Kitchen -Rehab</t>
  </si>
  <si>
    <t>Mold Prevention: Water Heaters, Condensing Boilers, etc.</t>
  </si>
  <si>
    <t>Criterion #</t>
  </si>
  <si>
    <t>Criterion Title</t>
  </si>
  <si>
    <t>0, 0.5 to 5</t>
  </si>
  <si>
    <t>0, 1 to 10</t>
  </si>
  <si>
    <t>0, 1 to 5</t>
  </si>
  <si>
    <t>0, 0.5 to 10</t>
  </si>
  <si>
    <t>0 to 3</t>
  </si>
  <si>
    <t>0 or 5</t>
  </si>
  <si>
    <t>0 or 3</t>
  </si>
  <si>
    <t>0 or 10</t>
  </si>
  <si>
    <t>0, 1, 2, 4 or 6</t>
  </si>
  <si>
    <t>0, 2, 4, 6 or 7</t>
  </si>
  <si>
    <t>0, 4, 6 or 8</t>
  </si>
  <si>
    <t>0 or 1</t>
  </si>
  <si>
    <t>0, 2, 3 or 5</t>
  </si>
  <si>
    <t>0, 1, 2 or 3</t>
  </si>
  <si>
    <t>0 or 4</t>
  </si>
  <si>
    <t>0 or 7</t>
  </si>
  <si>
    <t>0 or 2</t>
  </si>
  <si>
    <r>
      <t>Additional Reduction in Energy Use - New Construction (</t>
    </r>
    <r>
      <rPr>
        <sz val="11"/>
        <color indexed="10"/>
        <rFont val="Calibri"/>
        <family val="2"/>
        <scheme val="minor"/>
      </rPr>
      <t>SEE NOTE</t>
    </r>
    <r>
      <rPr>
        <sz val="11"/>
        <color theme="1"/>
        <rFont val="Calibri"/>
        <family val="2"/>
        <scheme val="minor"/>
      </rPr>
      <t>)</t>
    </r>
  </si>
  <si>
    <t>Electricity Meter - New Construction</t>
  </si>
  <si>
    <t>Electricity Meter - Rehab</t>
  </si>
  <si>
    <r>
      <t>Additional Reduction in Energy Use - Rehab (</t>
    </r>
    <r>
      <rPr>
        <sz val="11"/>
        <color indexed="10"/>
        <rFont val="Calibri"/>
        <family val="2"/>
        <scheme val="minor"/>
      </rPr>
      <t>SEE NOTE</t>
    </r>
    <r>
      <rPr>
        <sz val="11"/>
        <rFont val="Calibri"/>
        <family val="2"/>
        <scheme val="minor"/>
      </rPr>
      <t>)</t>
    </r>
  </si>
  <si>
    <r>
      <t>Renewable Energy (</t>
    </r>
    <r>
      <rPr>
        <sz val="11"/>
        <color rgb="FFFF0000"/>
        <rFont val="Calibri"/>
        <family val="2"/>
        <scheme val="minor"/>
      </rPr>
      <t>SEE NOTE</t>
    </r>
    <r>
      <rPr>
        <sz val="11"/>
        <color theme="1"/>
        <rFont val="Calibri"/>
        <family val="2"/>
        <scheme val="minor"/>
      </rPr>
      <t>)</t>
    </r>
  </si>
  <si>
    <r>
      <t>Solar Water Heating (</t>
    </r>
    <r>
      <rPr>
        <sz val="11"/>
        <color rgb="FFFF0000"/>
        <rFont val="Calibri"/>
        <family val="2"/>
        <scheme val="minor"/>
      </rPr>
      <t>SEE NOTE</t>
    </r>
    <r>
      <rPr>
        <sz val="11"/>
        <color theme="1"/>
        <rFont val="Calibri"/>
        <family val="2"/>
        <scheme val="minor"/>
      </rPr>
      <t>)</t>
    </r>
  </si>
  <si>
    <r>
      <t>Domestic Water Heating (</t>
    </r>
    <r>
      <rPr>
        <sz val="11"/>
        <color rgb="FFFF0000"/>
        <rFont val="Calibri"/>
        <family val="2"/>
        <scheme val="minor"/>
      </rPr>
      <t>SEE NOTE</t>
    </r>
    <r>
      <rPr>
        <sz val="11"/>
        <color theme="1"/>
        <rFont val="Calibri"/>
        <family val="2"/>
        <scheme val="minor"/>
      </rPr>
      <t>)</t>
    </r>
  </si>
  <si>
    <r>
      <t>Performance Tested Building Air Sealing (</t>
    </r>
    <r>
      <rPr>
        <sz val="11"/>
        <color indexed="10"/>
        <rFont val="Calibri"/>
        <family val="2"/>
        <scheme val="minor"/>
      </rPr>
      <t>SEE NOTE</t>
    </r>
    <r>
      <rPr>
        <sz val="10"/>
        <rFont val="Calibri"/>
        <family val="2"/>
        <scheme val="minor"/>
      </rPr>
      <t>)</t>
    </r>
  </si>
  <si>
    <r>
      <t>Performance Tested Duct Sealing (</t>
    </r>
    <r>
      <rPr>
        <sz val="11"/>
        <color indexed="10"/>
        <rFont val="Calibri"/>
        <family val="2"/>
        <scheme val="minor"/>
      </rPr>
      <t>SEE NOTE</t>
    </r>
    <r>
      <rPr>
        <sz val="10"/>
        <rFont val="Calibri"/>
        <family val="2"/>
        <scheme val="minor"/>
      </rPr>
      <t>)</t>
    </r>
  </si>
  <si>
    <r>
      <t>Space Heating &amp; Cooling Equipment Replacement (</t>
    </r>
    <r>
      <rPr>
        <sz val="11"/>
        <color indexed="10"/>
        <rFont val="Calibri"/>
        <family val="2"/>
        <scheme val="minor"/>
      </rPr>
      <t>SEE NOTE</t>
    </r>
    <r>
      <rPr>
        <sz val="10"/>
        <rFont val="Calibri"/>
        <family val="2"/>
        <scheme val="minor"/>
      </rPr>
      <t>)</t>
    </r>
  </si>
  <si>
    <t>Total Points Claimed</t>
  </si>
  <si>
    <t>Form 2C: Evergreen Standard Checklist</t>
  </si>
  <si>
    <t>Form 6B: Development Budget Details</t>
  </si>
  <si>
    <t>Form 8F: Operating Pro Forma Details</t>
  </si>
  <si>
    <t>Form 8B: Operating, Service and Rent Subsidy Sources</t>
  </si>
  <si>
    <t>* 2015 Maximum Annual Credit Per Low-Income Unit Limit</t>
  </si>
  <si>
    <t>Applicant Name</t>
  </si>
  <si>
    <t xml:space="preserve">City </t>
  </si>
  <si>
    <t>County</t>
  </si>
  <si>
    <t>GeoRegion</t>
  </si>
  <si>
    <t>Leg District</t>
  </si>
  <si>
    <t>HO/MF</t>
  </si>
  <si>
    <t>Act.Typ</t>
  </si>
  <si>
    <t>Unit Notes</t>
  </si>
  <si>
    <t>SizeCat.</t>
  </si>
  <si>
    <t>Eunits</t>
  </si>
  <si>
    <t>CAU</t>
  </si>
  <si>
    <t>MR</t>
  </si>
  <si>
    <t>1 BR</t>
  </si>
  <si>
    <t>2 BR</t>
  </si>
  <si>
    <t>3 BR</t>
  </si>
  <si>
    <t>4 BR</t>
  </si>
  <si>
    <t>5 BR</t>
  </si>
  <si>
    <t>ResSqFt</t>
  </si>
  <si>
    <t>NonResSqFt</t>
  </si>
  <si>
    <t>S1</t>
  </si>
  <si>
    <t>S2</t>
  </si>
  <si>
    <t>S3</t>
  </si>
  <si>
    <t>S4</t>
  </si>
  <si>
    <t>S5</t>
  </si>
  <si>
    <t>S6</t>
  </si>
  <si>
    <t>S7</t>
  </si>
  <si>
    <t>S8</t>
  </si>
  <si>
    <t>Target Pops</t>
  </si>
  <si>
    <t>Permits</t>
  </si>
  <si>
    <t>Const Start Date</t>
  </si>
  <si>
    <t>Completion Date</t>
  </si>
  <si>
    <r>
      <t>Land</t>
    </r>
    <r>
      <rPr>
        <b/>
        <vertAlign val="subscript"/>
        <sz val="11"/>
        <color theme="1"/>
        <rFont val="Calibri"/>
        <family val="2"/>
        <scheme val="minor"/>
      </rPr>
      <t>TDC</t>
    </r>
  </si>
  <si>
    <r>
      <t>Land</t>
    </r>
    <r>
      <rPr>
        <b/>
        <vertAlign val="subscript"/>
        <sz val="11"/>
        <color theme="1"/>
        <rFont val="Calibri"/>
        <family val="2"/>
        <scheme val="minor"/>
      </rPr>
      <t>RDC</t>
    </r>
  </si>
  <si>
    <r>
      <t>ContingTDC</t>
    </r>
    <r>
      <rPr>
        <b/>
        <vertAlign val="subscript"/>
        <sz val="11"/>
        <color theme="1"/>
        <rFont val="Calibri"/>
        <family val="2"/>
        <scheme val="minor"/>
      </rPr>
      <t>nc</t>
    </r>
  </si>
  <si>
    <r>
      <t>ContingTDC</t>
    </r>
    <r>
      <rPr>
        <b/>
        <vertAlign val="subscript"/>
        <sz val="11"/>
        <color theme="1"/>
        <rFont val="Calibri"/>
        <family val="2"/>
        <scheme val="minor"/>
      </rPr>
      <t>rehab</t>
    </r>
  </si>
  <si>
    <r>
      <t>ConstTDC</t>
    </r>
    <r>
      <rPr>
        <b/>
        <vertAlign val="subscript"/>
        <sz val="11"/>
        <color theme="1"/>
        <rFont val="Calibri"/>
        <family val="2"/>
        <scheme val="minor"/>
      </rPr>
      <t>nc</t>
    </r>
  </si>
  <si>
    <r>
      <t>ConstTDC</t>
    </r>
    <r>
      <rPr>
        <b/>
        <vertAlign val="subscript"/>
        <sz val="11"/>
        <color theme="1"/>
        <rFont val="Calibri"/>
        <family val="2"/>
        <scheme val="minor"/>
      </rPr>
      <t>rehab</t>
    </r>
  </si>
  <si>
    <t>ConstrTDC</t>
  </si>
  <si>
    <t>ConstrRDC</t>
  </si>
  <si>
    <t>DevFeeTDC</t>
  </si>
  <si>
    <t>ProjManTDC</t>
  </si>
  <si>
    <t>DevFeeHTF</t>
  </si>
  <si>
    <t>ProjManHTF</t>
  </si>
  <si>
    <t>OpResTDC</t>
  </si>
  <si>
    <t>OpResRDC</t>
  </si>
  <si>
    <t>RepResTDC</t>
  </si>
  <si>
    <t>RepResRDC</t>
  </si>
  <si>
    <t>TDC</t>
  </si>
  <si>
    <t>RDC</t>
  </si>
  <si>
    <t>LIHTC Type</t>
  </si>
  <si>
    <t>TCF</t>
  </si>
  <si>
    <t>HTF Funds</t>
  </si>
  <si>
    <t>LIHTC Amt</t>
  </si>
  <si>
    <t>Total Res</t>
  </si>
  <si>
    <t>Total NonRes</t>
  </si>
  <si>
    <t>Proposed</t>
  </si>
  <si>
    <t>Commit</t>
  </si>
  <si>
    <t>HTF O&amp;M</t>
  </si>
  <si>
    <t>Operating Subs</t>
  </si>
  <si>
    <t>Rent Subs</t>
  </si>
  <si>
    <t>Svc Subs</t>
  </si>
  <si>
    <t>EGI(Y1)</t>
  </si>
  <si>
    <t>MGMTonsite</t>
  </si>
  <si>
    <t>MGMToffsite</t>
  </si>
  <si>
    <t>Total ResidOps Exp (Y1)</t>
  </si>
  <si>
    <t>RepRes(Y1)</t>
  </si>
  <si>
    <t>OpResY1</t>
  </si>
  <si>
    <t>OpResY2</t>
  </si>
  <si>
    <t>SVCs(Y1)</t>
  </si>
  <si>
    <t>DCR (Hard Debt)</t>
  </si>
  <si>
    <t>CashFlowY1</t>
  </si>
  <si>
    <t>CashFlowY2</t>
  </si>
  <si>
    <t>CashFlowY3</t>
  </si>
  <si>
    <t>Services</t>
  </si>
  <si>
    <t>MF</t>
  </si>
  <si>
    <t>61-80%</t>
  </si>
  <si>
    <t>SRO/Studio</t>
  </si>
  <si>
    <t>SRO+Studio</t>
  </si>
  <si>
    <t>9% Points</t>
  </si>
  <si>
    <t>4% Points</t>
  </si>
  <si>
    <t>Bridge?</t>
  </si>
  <si>
    <t>Form 8E(2): Operating Pro Forma (Alternate Without Susidy)</t>
  </si>
  <si>
    <t>Form 9D: Project Development Consultant Experience</t>
  </si>
  <si>
    <t>Form 11B: 4% LIHTC / Bond LIHTC Scoring Synopsis</t>
  </si>
  <si>
    <t>Form 9E: Project Property Management Firm Experience</t>
  </si>
  <si>
    <t>Building Street Address</t>
  </si>
  <si>
    <t>Multiple Targets (describe below)</t>
  </si>
  <si>
    <t>Multiple Special Needs (describe below)</t>
  </si>
  <si>
    <t>Form 8A: Proposed Rents and AMIs Served</t>
  </si>
  <si>
    <t>Urban</t>
  </si>
  <si>
    <t>Criterion</t>
  </si>
  <si>
    <t>v2.2 Points</t>
  </si>
  <si>
    <t>Region</t>
  </si>
  <si>
    <t>Type</t>
  </si>
  <si>
    <t>Rural</t>
  </si>
  <si>
    <t>Mandatory and optional 5</t>
  </si>
  <si>
    <t>n/a</t>
  </si>
  <si>
    <t>0, 3 or 5</t>
  </si>
  <si>
    <t>0, 5 or 10, or 5, 7, 9, 12 or 15</t>
  </si>
  <si>
    <t>0, 2 to 8</t>
  </si>
  <si>
    <t>Rehab - Mod</t>
  </si>
  <si>
    <t>0, 3 or 7</t>
  </si>
  <si>
    <t>0, 2, 5 or 7</t>
  </si>
  <si>
    <t>Rehab - Subs</t>
  </si>
  <si>
    <t>n/a (3 or 5 if Tribal)</t>
  </si>
  <si>
    <t>Liberty Bank Building</t>
  </si>
  <si>
    <t>Capitol Hill Housing</t>
  </si>
  <si>
    <t>Katie Porter</t>
  </si>
  <si>
    <t>206.307.8314</t>
  </si>
  <si>
    <t>kporter@capitolhillhousing.org</t>
  </si>
  <si>
    <t>Seattle</t>
  </si>
  <si>
    <t>X</t>
  </si>
  <si>
    <t>Billie Abers, Director of Property Management</t>
  </si>
  <si>
    <t xml:space="preserve">1620 12th Ave. Suite 205 </t>
  </si>
  <si>
    <t>WA</t>
  </si>
  <si>
    <t>206.204.3802</t>
  </si>
  <si>
    <t>babers@capitolhillhousing.org</t>
  </si>
  <si>
    <t>2320 E. Union St.</t>
  </si>
  <si>
    <t>77-3017</t>
  </si>
  <si>
    <t>7217400035/7217400040/7217400045</t>
  </si>
  <si>
    <t>The zoning requires ground floor commercial for the portion of the building that is in the pedestrian overlay.</t>
  </si>
  <si>
    <t>Mid-Rise (4-6 floors w elevator)</t>
  </si>
  <si>
    <t>No</t>
  </si>
  <si>
    <t>Key Bank</t>
  </si>
  <si>
    <t>Andrew Latimer, Senior Vice President</t>
  </si>
  <si>
    <t>MC: OH-01-10-0605, 100 Public Square, Suite 600</t>
  </si>
  <si>
    <t>Cleveland</t>
  </si>
  <si>
    <t>OH</t>
  </si>
  <si>
    <t>216-471-2699</t>
  </si>
  <si>
    <t>andrew_p_latimer@keybank.com</t>
  </si>
  <si>
    <t>CHH will serve as the Managing Member of the tax credit LLC. CHH is also the sponsor, developer, and property manager.</t>
  </si>
  <si>
    <t>Christopher Person</t>
  </si>
  <si>
    <t>cpersons@capitolhillhousing.org</t>
  </si>
  <si>
    <t>206-329-7303</t>
  </si>
  <si>
    <t>206-329-1857</t>
  </si>
  <si>
    <t>TBD</t>
  </si>
  <si>
    <t>Colliers International</t>
  </si>
  <si>
    <t>12th Avenue Arts</t>
  </si>
  <si>
    <t>NC</t>
  </si>
  <si>
    <t>Owner, developer, property manager</t>
  </si>
  <si>
    <t>Seattle, WA</t>
  </si>
  <si>
    <t>88</t>
  </si>
  <si>
    <t>5/2011</t>
  </si>
  <si>
    <t>9/2014</t>
  </si>
  <si>
    <t>Seattle OH, HTF, 4% LIHTC, TEX Bonds, NMTC, HUD 108, Private Debt, Capital Campaign</t>
  </si>
  <si>
    <t>The Jefferson</t>
  </si>
  <si>
    <t>40</t>
  </si>
  <si>
    <t>6/2011</t>
  </si>
  <si>
    <t>10/2012</t>
  </si>
  <si>
    <t>Seattle OH, Washington Works, 4% LIHTC, TEX Bonds, HUD Grant</t>
  </si>
  <si>
    <t>Unity Village</t>
  </si>
  <si>
    <t>White Center, WA</t>
  </si>
  <si>
    <t>30</t>
  </si>
  <si>
    <t>6/2010</t>
  </si>
  <si>
    <t>9/2011</t>
  </si>
  <si>
    <t>King County, HTF, ARRA, Sound Families, 9% LIHTC</t>
  </si>
  <si>
    <t>Holiday Apartments</t>
  </si>
  <si>
    <t>R</t>
  </si>
  <si>
    <t>1/2010</t>
  </si>
  <si>
    <t>7/2010</t>
  </si>
  <si>
    <t>Seattle OH, HTF, Sound Families, 4% LIHTC, TEX Bonds</t>
  </si>
  <si>
    <t>12/2016</t>
  </si>
  <si>
    <t>Broadway TOD (B-North)</t>
  </si>
  <si>
    <t>N/A</t>
  </si>
  <si>
    <t>Multifamily Rental</t>
  </si>
  <si>
    <t>Rental Subsidy</t>
  </si>
  <si>
    <t>Commercial Loan</t>
  </si>
  <si>
    <t>Lucky 7 Foundation</t>
  </si>
  <si>
    <t>Predevelopment Loans</t>
  </si>
  <si>
    <t>Seattle OH</t>
  </si>
  <si>
    <t>Washington State HTF</t>
  </si>
  <si>
    <t>Site Manager</t>
  </si>
  <si>
    <t>CHH</t>
  </si>
  <si>
    <t>Maintenance Staff</t>
  </si>
  <si>
    <t>Property Management Fee</t>
  </si>
  <si>
    <t xml:space="preserve">We take a property management fee to operate the building. </t>
  </si>
  <si>
    <t>Leasing and compliance</t>
  </si>
  <si>
    <t>Administrative expenses such as a computer software, training for staff, internet, etc. This also includes resident services and WSHFC annual fees, and bad debt.</t>
  </si>
  <si>
    <t>One site manager and one maintenance staff.</t>
  </si>
  <si>
    <t xml:space="preserve">Property management fee </t>
  </si>
  <si>
    <t>Audit and accounting fees</t>
  </si>
  <si>
    <t>Nominal amount based on previous experience</t>
  </si>
  <si>
    <t>Estimate based on typical costs for similar projects</t>
  </si>
  <si>
    <t>Based on typical CHH costs for MFTE projects (land is still taxed)</t>
  </si>
  <si>
    <t>Electric baseboard</t>
  </si>
  <si>
    <t>350/unit</t>
  </si>
  <si>
    <t>Seattle OH, HTF, 4% LIHTC</t>
  </si>
  <si>
    <t>John Campbell</t>
  </si>
  <si>
    <t>206-965-1129</t>
  </si>
  <si>
    <t>john.campbell@colliers.com</t>
  </si>
  <si>
    <t>1620 12th Ave Suite 205</t>
  </si>
  <si>
    <t>91-0979968</t>
  </si>
  <si>
    <t>98</t>
  </si>
  <si>
    <t>12/2018</t>
  </si>
  <si>
    <t>Executed PSA</t>
  </si>
  <si>
    <t>Completed</t>
  </si>
  <si>
    <t>Complete</t>
  </si>
  <si>
    <t>Prepared for current application</t>
  </si>
  <si>
    <t>Combined Phase 1 and 2</t>
  </si>
  <si>
    <t>Letter to neighbors within 500' per OH policy</t>
  </si>
  <si>
    <t>Application for funding (OH):*</t>
  </si>
  <si>
    <t>Application for funding (HTF):</t>
  </si>
  <si>
    <t>Application for funding (4% LIHTC):</t>
  </si>
  <si>
    <t>Award date for funding source (OH):*</t>
  </si>
  <si>
    <t>Award date for funding source (HTF):</t>
  </si>
  <si>
    <t>Award date for funding source (4% LIHTC):</t>
  </si>
  <si>
    <t>application for Master Use Permit (zoning approval)</t>
  </si>
  <si>
    <t>approved MUP</t>
  </si>
  <si>
    <t>Same as zoning approval</t>
  </si>
  <si>
    <t>after zoning approval</t>
  </si>
  <si>
    <t>Devonshire</t>
  </si>
  <si>
    <t>Villa Apartments</t>
  </si>
  <si>
    <t>Elizabeth James House</t>
  </si>
  <si>
    <t>The Bremer</t>
  </si>
  <si>
    <t>49</t>
  </si>
  <si>
    <t>The Brewster</t>
  </si>
  <si>
    <t>35</t>
  </si>
  <si>
    <t>El Nor</t>
  </si>
  <si>
    <t>55</t>
  </si>
  <si>
    <t>Seattle OH, HTF, LIHTC</t>
  </si>
  <si>
    <t>Broadway Crossing</t>
  </si>
  <si>
    <t>Pantages</t>
  </si>
  <si>
    <t>2014</t>
  </si>
  <si>
    <t>2012</t>
  </si>
  <si>
    <t>2007</t>
  </si>
  <si>
    <t>2002</t>
  </si>
  <si>
    <t>1993</t>
  </si>
  <si>
    <t>1997</t>
  </si>
  <si>
    <t>1995</t>
  </si>
  <si>
    <t>1984</t>
  </si>
  <si>
    <t>1994</t>
  </si>
  <si>
    <t>Seattle OH, State, HTF, CHH cash, Green communities, Bank loan, LIHTC</t>
  </si>
  <si>
    <t>Seattle OH, State, HTF, CHH cash, Bank loan, LIHTC</t>
  </si>
  <si>
    <t>2000</t>
  </si>
  <si>
    <t>Seattle OH, State, FHLB, LIHTC</t>
  </si>
  <si>
    <t>Transfer of Development rights, Seattle OH, Bank loan</t>
  </si>
  <si>
    <t>HUD Section 241(f) (preservation)</t>
  </si>
  <si>
    <t>Current</t>
  </si>
  <si>
    <t>Perm Loan</t>
  </si>
  <si>
    <t>OH Levy</t>
  </si>
  <si>
    <t>HTF</t>
  </si>
  <si>
    <t>Deferred Fee</t>
  </si>
  <si>
    <t>LIHTC Equity</t>
  </si>
  <si>
    <t>Land sold at a discount from Key Bank</t>
  </si>
  <si>
    <t>Comm. Loan</t>
  </si>
  <si>
    <t>Escalation and Design Contingency</t>
  </si>
  <si>
    <t>Architect and engingeer</t>
  </si>
  <si>
    <t>Cost estimator, preconstruction services, historic consultants</t>
  </si>
  <si>
    <t>Special inspections, envelope review, balancing, bidding</t>
  </si>
  <si>
    <t>SIT, Envelope review, balancing</t>
  </si>
  <si>
    <t>Title &amp; Escrow</t>
  </si>
  <si>
    <t>Acquistion legal</t>
  </si>
  <si>
    <t>I/O</t>
  </si>
  <si>
    <t>Senior Perm Loan</t>
  </si>
  <si>
    <t>State HTF</t>
  </si>
  <si>
    <t>Deferred fee</t>
  </si>
  <si>
    <t>Misc Income</t>
  </si>
  <si>
    <t>Senior Perm Debt</t>
  </si>
  <si>
    <t>Loan</t>
  </si>
  <si>
    <t>Public</t>
  </si>
  <si>
    <t>Private</t>
  </si>
  <si>
    <t>hard debt</t>
  </si>
  <si>
    <t>deferred</t>
  </si>
  <si>
    <t>paid out of cash</t>
  </si>
  <si>
    <t>MUP fees</t>
  </si>
  <si>
    <t xml:space="preserve">SDOT </t>
  </si>
  <si>
    <t>KC capacity charge</t>
  </si>
  <si>
    <t>Yes</t>
  </si>
  <si>
    <t>Acquition legal</t>
  </si>
  <si>
    <t>Per cost estimate</t>
  </si>
  <si>
    <t>6% of hard costs</t>
  </si>
  <si>
    <t>Estimate based on discussions with environmental consultants</t>
  </si>
  <si>
    <t>9.6% of hard costs</t>
  </si>
  <si>
    <t>Title, escrow for acquisition</t>
  </si>
  <si>
    <t>Based on similar experiences</t>
  </si>
  <si>
    <t>Escalation at 4% a year and a 5% design contingency</t>
  </si>
  <si>
    <t>Based on recent appraisals</t>
  </si>
  <si>
    <t>Based on costs for market studies for applications</t>
  </si>
  <si>
    <t>Early design engineering</t>
  </si>
  <si>
    <t>Phase I &amp; II</t>
  </si>
  <si>
    <t>Based on consultant estimate</t>
  </si>
  <si>
    <t>For acquisition survey, topo survey, additional survey work at closing, foundation and as built surveys</t>
  </si>
  <si>
    <t>Based on 10% max fee</t>
  </si>
  <si>
    <t>5% of soft costs</t>
  </si>
  <si>
    <t>Based on our predevelopment loans</t>
  </si>
  <si>
    <t>Calculated based on anticipated draw down schedule</t>
  </si>
  <si>
    <t>Based on conversions with lenders</t>
  </si>
  <si>
    <t>Document reviews and inspection site reports</t>
  </si>
  <si>
    <t>Owner and lender</t>
  </si>
  <si>
    <t>Calculated based on draw schedule</t>
  </si>
  <si>
    <t>Calculated based on WHSFC policies</t>
  </si>
  <si>
    <t>Based on conversations with legal counsel</t>
  </si>
  <si>
    <t>Calculated based on HTF policies</t>
  </si>
  <si>
    <t>Title and escrow for construction financing and permanent conversion</t>
  </si>
  <si>
    <t>Calculated based on 6 months of operating expenses, debt service, and insurance</t>
  </si>
  <si>
    <t>Calculated at $1000 per unit</t>
  </si>
  <si>
    <t>Based on real estate taxes for the holding period and construction</t>
  </si>
  <si>
    <t>Based on conversations with insurance broker</t>
  </si>
  <si>
    <t>Based on recent experience</t>
  </si>
  <si>
    <t>See other page - based on conversations with construction manager and market experience.</t>
  </si>
  <si>
    <t>0.50% issuance fee</t>
  </si>
  <si>
    <t>In process</t>
  </si>
  <si>
    <t>Predev Work</t>
  </si>
  <si>
    <t>Asbestos abatement and demolition</t>
  </si>
  <si>
    <t>Apply for a contract rezone</t>
  </si>
  <si>
    <t>Reliant on funding</t>
  </si>
  <si>
    <t>LLAA and CHH agree to work together</t>
  </si>
  <si>
    <t>Begin soil/environmental clean up</t>
  </si>
  <si>
    <t>Contingent on field results</t>
  </si>
  <si>
    <t>Finish soil/environmental clean up</t>
  </si>
  <si>
    <t>Laundry</t>
  </si>
  <si>
    <t>115</t>
  </si>
  <si>
    <t>5/2013</t>
  </si>
  <si>
    <t>9/2018</t>
  </si>
  <si>
    <t>Seattle HSD</t>
  </si>
  <si>
    <t>annual</t>
  </si>
  <si>
    <t>Lifelong</t>
  </si>
  <si>
    <t>Lead Housing Case Manager</t>
  </si>
  <si>
    <t>CHH provides property management</t>
  </si>
  <si>
    <t>Seattle OH, State, Private Debt</t>
  </si>
  <si>
    <t>Tax-exempt Bond Financing, State, Seattle OH</t>
  </si>
  <si>
    <t xml:space="preserve">Our portfolio vacancy rate is 3%, however, the underwriting figure that is regularly used is 5%.  The inflation factors of 2.5% and 3.5% for income and expense, respectively, were kept to be conservative.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</si>
</sst>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quot;$&quot;* #,##0_);_(&quot;$&quot;* \(#,##0\);_(&quot;$&quot;* &quot;-&quot;??_);_(@_)"/>
    <numFmt numFmtId="170" formatCode="0;\-0;;@"/>
    <numFmt numFmtId="171" formatCode="_(* #,##0_);_(* \(#,##0\);_(* &quot;-&quot;??_);_(@_)"/>
    <numFmt numFmtId="172" formatCode="_(* #,##0.000000_);_(* \(#,##0.000000\);_(* &quot;-&quot;??_);_(@_)"/>
  </numFmts>
  <fonts count="1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color indexed="8"/>
      <name val="Arial"/>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u/>
      <sz val="10"/>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i/>
      <sz val="8"/>
      <name val="Calibri"/>
      <family val="2"/>
      <scheme val="minor"/>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b/>
      <sz val="11"/>
      <color rgb="FF000000"/>
      <name val="Calibri"/>
      <family val="2"/>
      <scheme val="minor"/>
    </font>
    <font>
      <i/>
      <sz val="11"/>
      <color indexed="8"/>
      <name val="Calibri"/>
      <family val="2"/>
      <scheme val="minor"/>
    </font>
    <font>
      <b/>
      <sz val="10"/>
      <color indexed="8"/>
      <name val="Calibri"/>
      <family val="2"/>
      <scheme val="minor"/>
    </font>
    <font>
      <i/>
      <sz val="10"/>
      <color indexed="8"/>
      <name val="Calibri"/>
      <family val="2"/>
      <scheme val="minor"/>
    </font>
    <font>
      <sz val="11"/>
      <color rgb="FF000000"/>
      <name val="Calibri"/>
      <family val="2"/>
      <scheme val="minor"/>
    </font>
    <font>
      <b/>
      <sz val="11"/>
      <name val="Calibri"/>
      <family val="2"/>
    </font>
    <font>
      <sz val="11"/>
      <name val="Calibri"/>
      <family val="2"/>
    </font>
    <font>
      <u/>
      <sz val="11"/>
      <color indexed="8"/>
      <name val="Calibri"/>
      <family val="2"/>
    </font>
    <font>
      <u/>
      <sz val="11"/>
      <color theme="1"/>
      <name val="Calibri"/>
      <family val="2"/>
      <scheme val="minor"/>
    </font>
    <font>
      <sz val="11"/>
      <color indexed="10"/>
      <name val="Calibri"/>
      <family val="2"/>
      <scheme val="minor"/>
    </font>
    <font>
      <sz val="11"/>
      <color rgb="FFFF0000"/>
      <name val="Calibri"/>
      <family val="2"/>
      <scheme val="minor"/>
    </font>
    <font>
      <b/>
      <sz val="14"/>
      <color theme="1"/>
      <name val="Calibri"/>
      <family val="2"/>
      <scheme val="minor"/>
    </font>
    <font>
      <sz val="10"/>
      <color rgb="FFFF0000"/>
      <name val="Calibri"/>
      <family val="2"/>
      <scheme val="minor"/>
    </font>
    <font>
      <b/>
      <vertAlign val="subscript"/>
      <sz val="11"/>
      <color theme="1"/>
      <name val="Calibri"/>
      <family val="2"/>
      <scheme val="minor"/>
    </font>
    <font>
      <sz val="10"/>
      <color indexed="8"/>
      <name val="Calibri"/>
      <family val="2"/>
    </font>
    <font>
      <sz val="11"/>
      <color theme="1"/>
      <name val="Agency FB"/>
      <family val="2"/>
    </font>
    <font>
      <sz val="10"/>
      <color indexed="9"/>
      <name val="Calibri"/>
      <family val="2"/>
    </font>
    <font>
      <sz val="10"/>
      <color indexed="20"/>
      <name val="Calibri"/>
      <family val="2"/>
    </font>
    <font>
      <b/>
      <sz val="11"/>
      <color rgb="FFFA7D00"/>
      <name val="Agency FB"/>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rgb="FF3F3F76"/>
      <name val="Agency FB"/>
      <family val="2"/>
    </font>
    <font>
      <sz val="10"/>
      <color indexed="62"/>
      <name val="Calibri"/>
      <family val="2"/>
    </font>
    <font>
      <sz val="10"/>
      <color indexed="52"/>
      <name val="Calibri"/>
      <family val="2"/>
    </font>
    <font>
      <sz val="10"/>
      <color indexed="60"/>
      <name val="Calibri"/>
      <family val="2"/>
    </font>
    <font>
      <sz val="10"/>
      <name val="Calibri"/>
      <family val="1"/>
      <scheme val="minor"/>
    </font>
    <font>
      <b/>
      <sz val="10"/>
      <color indexed="63"/>
      <name val="Calibri"/>
      <family val="2"/>
    </font>
    <font>
      <b/>
      <sz val="18"/>
      <color indexed="56"/>
      <name val="Cambria"/>
      <family val="2"/>
    </font>
    <font>
      <b/>
      <sz val="10"/>
      <color indexed="8"/>
      <name val="Calibri"/>
      <family val="2"/>
    </font>
    <font>
      <sz val="10"/>
      <color indexed="10"/>
      <name val="Calibri"/>
      <family val="2"/>
    </font>
    <font>
      <sz val="14"/>
      <name val="Arial"/>
      <family val="2"/>
    </font>
  </fonts>
  <fills count="5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theme="4" tint="0.79998168889431442"/>
        <bgColor indexed="64"/>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rgb="FFCCECFF"/>
        <bgColor indexed="64"/>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rgb="FF339933"/>
        <bgColor indexed="64"/>
      </patternFill>
    </fill>
  </fills>
  <borders count="585">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top style="thin">
        <color theme="0" tint="-0.14996795556505021"/>
      </top>
      <bottom style="thin">
        <color theme="0" tint="-0.14996795556505021"/>
      </bottom>
      <diagonal/>
    </border>
    <border>
      <left/>
      <right/>
      <top style="medium">
        <color indexed="64"/>
      </top>
      <bottom style="medium">
        <color theme="4" tint="-0.499984740745262"/>
      </bottom>
      <diagonal/>
    </border>
    <border>
      <left style="thin">
        <color indexed="64"/>
      </left>
      <right/>
      <top style="thin">
        <color theme="0" tint="-0.14996795556505021"/>
      </top>
      <bottom style="thin">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top style="thin">
        <color theme="0" tint="-0.14996795556505021"/>
      </top>
      <bottom style="thin">
        <color theme="0" tint="-0.1499679555650502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14996795556505021"/>
      </left>
      <right/>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style="thin">
        <color theme="0" tint="-0.14996795556505021"/>
      </left>
      <right/>
      <top style="thin">
        <color theme="0" tint="-0.24994659260841701"/>
      </top>
      <bottom style="double">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theme="0" tint="-0.24994659260841701"/>
      </top>
      <bottom/>
      <diagonal/>
    </border>
    <border>
      <left style="thin">
        <color indexed="64"/>
      </left>
      <right style="thin">
        <color theme="0" tint="-0.14996795556505021"/>
      </right>
      <top style="thin">
        <color theme="0" tint="-0.1499679555650502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double">
        <color indexed="64"/>
      </left>
      <right/>
      <top/>
      <bottom style="medium">
        <color indexed="64"/>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14993743705557422"/>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theme="0" tint="-0.14993743705557422"/>
      </left>
      <right/>
      <top style="thin">
        <color theme="0" tint="-0.24994659260841701"/>
      </top>
      <bottom style="medium">
        <color indexed="64"/>
      </bottom>
      <diagonal/>
    </border>
    <border>
      <left style="thin">
        <color theme="0" tint="-0.14993743705557422"/>
      </left>
      <right style="medium">
        <color indexed="64"/>
      </right>
      <top style="thin">
        <color theme="0" tint="-0.24994659260841701"/>
      </top>
      <bottom style="thin">
        <color theme="0" tint="-0.24994659260841701"/>
      </bottom>
      <diagonal/>
    </border>
    <border>
      <left style="thin">
        <color theme="0" tint="-0.14993743705557422"/>
      </left>
      <right style="medium">
        <color indexed="64"/>
      </right>
      <top style="thin">
        <color theme="0" tint="-0.24994659260841701"/>
      </top>
      <bottom style="medium">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indexed="64"/>
      </left>
      <right style="medium">
        <color indexed="64"/>
      </right>
      <top/>
      <bottom/>
      <diagonal/>
    </border>
    <border>
      <left style="thin">
        <color theme="0" tint="-0.24994659260841701"/>
      </left>
      <right style="medium">
        <color indexed="64"/>
      </right>
      <top style="thin">
        <color theme="0" tint="-0.24994659260841701"/>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theme="0" tint="-0.24994659260841701"/>
      </top>
      <bottom style="double">
        <color indexed="64"/>
      </bottom>
      <diagonal/>
    </border>
    <border>
      <left style="thin">
        <color indexed="64"/>
      </left>
      <right style="medium">
        <color indexed="64"/>
      </right>
      <top style="thin">
        <color theme="0" tint="-0.24994659260841701"/>
      </top>
      <bottom style="thin">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indexed="64"/>
      </left>
      <right style="thin">
        <color indexed="64"/>
      </right>
      <top style="thin">
        <color theme="0" tint="-0.24994659260841701"/>
      </top>
      <bottom style="thin">
        <color indexed="64"/>
      </bottom>
      <diagonal/>
    </border>
    <border>
      <left/>
      <right style="thin">
        <color theme="0" tint="-0.14996795556505021"/>
      </right>
      <top style="thin">
        <color theme="0" tint="-0.14996795556505021"/>
      </top>
      <bottom style="medium">
        <color indexed="64"/>
      </bottom>
      <diagonal/>
    </border>
    <border>
      <left style="medium">
        <color indexed="64"/>
      </left>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style="thin">
        <color theme="0" tint="-0.24994659260841701"/>
      </right>
      <top style="thin">
        <color theme="0" tint="-0.24994659260841701"/>
      </top>
      <bottom style="thin">
        <color auto="1"/>
      </bottom>
      <diagonal/>
    </border>
    <border>
      <left style="medium">
        <color indexed="64"/>
      </left>
      <right style="thin">
        <color theme="0" tint="-0.24994659260841701"/>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style="double">
        <color auto="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auto="1"/>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theme="0" tint="-0.24994659260841701"/>
      </right>
      <top style="medium">
        <color indexed="64"/>
      </top>
      <bottom/>
      <diagonal/>
    </border>
    <border>
      <left style="medium">
        <color indexed="64"/>
      </left>
      <right style="thin">
        <color auto="1"/>
      </right>
      <top style="medium">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24994659260841701"/>
      </left>
      <right style="medium">
        <color indexed="64"/>
      </right>
      <top style="thin">
        <color indexed="64"/>
      </top>
      <bottom style="thin">
        <color theme="0" tint="-0.24994659260841701"/>
      </bottom>
      <diagonal/>
    </border>
    <border>
      <left/>
      <right style="medium">
        <color indexed="64"/>
      </right>
      <top/>
      <bottom style="medium">
        <color auto="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top style="thin">
        <color theme="0" tint="-0.24994659260841701"/>
      </top>
      <bottom style="double">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theme="3" tint="-0.24994659260841701"/>
      </left>
      <right/>
      <top/>
      <bottom style="medium">
        <color theme="3" tint="-0.499984740745262"/>
      </bottom>
      <diagonal/>
    </border>
    <border>
      <left/>
      <right style="medium">
        <color theme="3" tint="-0.24994659260841701"/>
      </right>
      <top/>
      <bottom style="medium">
        <color theme="3" tint="-0.499984740745262"/>
      </bottom>
      <diagonal/>
    </border>
    <border>
      <left style="medium">
        <color theme="4" tint="-0.499984740745262"/>
      </left>
      <right/>
      <top style="medium">
        <color theme="3" tint="-0.499984740745262"/>
      </top>
      <bottom/>
      <diagonal/>
    </border>
    <border>
      <left/>
      <right style="medium">
        <color theme="4" tint="-0.499984740745262"/>
      </right>
      <top style="medium">
        <color theme="3" tint="-0.499984740745262"/>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right/>
      <top style="medium">
        <color indexed="64"/>
      </top>
      <bottom style="medium">
        <color indexed="64"/>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indexed="64"/>
      </left>
      <right/>
      <top style="medium">
        <color indexed="64"/>
      </top>
      <bottom/>
      <diagonal/>
    </border>
    <border>
      <left style="thin">
        <color theme="0" tint="-0.14996795556505021"/>
      </left>
      <right/>
      <top style="medium">
        <color indexed="64"/>
      </top>
      <bottom style="thin">
        <color theme="0" tint="-0.14996795556505021"/>
      </bottom>
      <diagonal/>
    </border>
    <border>
      <left/>
      <right style="medium">
        <color indexed="64"/>
      </right>
      <top style="medium">
        <color indexed="64"/>
      </top>
      <bottom style="thin">
        <color indexed="64"/>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theme="0" tint="-0.24994659260841701"/>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style="thin">
        <color theme="0" tint="-0.14996795556505021"/>
      </left>
      <right style="medium">
        <color indexed="64"/>
      </right>
      <top style="medium">
        <color indexed="64"/>
      </top>
      <bottom style="thin">
        <color theme="0" tint="-0.24994659260841701"/>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theme="0" tint="-0.1499679555650502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14996795556505021"/>
      </left>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14993743705557422"/>
      </left>
      <right/>
      <top style="medium">
        <color indexed="64"/>
      </top>
      <bottom style="thin">
        <color theme="0" tint="-0.24994659260841701"/>
      </bottom>
      <diagonal/>
    </border>
    <border>
      <left style="thin">
        <color theme="0" tint="-0.14993743705557422"/>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right style="thin">
        <color indexed="64"/>
      </right>
      <top style="medium">
        <color indexed="64"/>
      </top>
      <bottom style="thin">
        <color theme="0" tint="-0.24994659260841701"/>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64"/>
      </left>
      <right style="thin">
        <color indexed="64"/>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right style="thin">
        <color indexed="22"/>
      </right>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style="medium">
        <color indexed="64"/>
      </right>
      <top style="thin">
        <color theme="0" tint="-0.14996795556505021"/>
      </top>
      <bottom style="thin">
        <color theme="0" tint="-0.14996795556505021"/>
      </bottom>
      <diagonal/>
    </border>
    <border>
      <left style="medium">
        <color indexed="64"/>
      </left>
      <right/>
      <top style="medium">
        <color indexed="64"/>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thin">
        <color theme="0" tint="-0.14996795556505021"/>
      </top>
      <bottom style="medium">
        <color indexed="64"/>
      </bottom>
      <diagonal/>
    </border>
    <border>
      <left style="thin">
        <color indexed="22"/>
      </left>
      <right style="medium">
        <color indexed="64"/>
      </right>
      <top style="thin">
        <color indexed="22"/>
      </top>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style="thin">
        <color indexed="22"/>
      </right>
      <top style="medium">
        <color indexed="64"/>
      </top>
      <bottom style="thin">
        <color theme="0" tint="-0.24994659260841701"/>
      </bottom>
      <diagonal/>
    </border>
    <border>
      <left style="thin">
        <color indexed="22"/>
      </left>
      <right/>
      <top style="medium">
        <color indexed="64"/>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thin">
        <color indexed="22"/>
      </right>
      <top style="thin">
        <color theme="0" tint="-0.24994659260841701"/>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medium">
        <color indexed="64"/>
      </left>
      <right style="thin">
        <color theme="0" tint="-0.24994659260841701"/>
      </right>
      <top style="thin">
        <color theme="0" tint="-0.14996795556505021"/>
      </top>
      <bottom style="double">
        <color indexed="64"/>
      </bottom>
      <diagonal/>
    </border>
    <border>
      <left style="thin">
        <color theme="0" tint="-0.24994659260841701"/>
      </left>
      <right style="thin">
        <color theme="0" tint="-0.24994659260841701"/>
      </right>
      <top style="thin">
        <color theme="0" tint="-0.14996795556505021"/>
      </top>
      <bottom style="double">
        <color indexed="64"/>
      </bottom>
      <diagonal/>
    </border>
    <border>
      <left style="thin">
        <color theme="0" tint="-0.24994659260841701"/>
      </left>
      <right style="medium">
        <color indexed="64"/>
      </right>
      <top style="thin">
        <color theme="0" tint="-0.14996795556505021"/>
      </top>
      <bottom style="double">
        <color indexed="64"/>
      </bottom>
      <diagonal/>
    </border>
    <border>
      <left style="medium">
        <color indexed="64"/>
      </left>
      <right style="thin">
        <color theme="0" tint="-0.34998626667073579"/>
      </right>
      <top style="medium">
        <color indexed="64"/>
      </top>
      <bottom style="thin">
        <color theme="0" tint="-0.14996795556505021"/>
      </bottom>
      <diagonal/>
    </border>
    <border>
      <left style="thin">
        <color theme="0" tint="-0.34998626667073579"/>
      </left>
      <right style="thin">
        <color theme="0" tint="-0.34998626667073579"/>
      </right>
      <top style="medium">
        <color indexed="64"/>
      </top>
      <bottom style="thin">
        <color theme="0" tint="-0.14996795556505021"/>
      </bottom>
      <diagonal/>
    </border>
    <border>
      <left style="thin">
        <color theme="0" tint="-0.34998626667073579"/>
      </left>
      <right style="medium">
        <color indexed="64"/>
      </right>
      <top style="medium">
        <color indexed="64"/>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thin">
        <color indexed="64"/>
      </bottom>
      <diagonal/>
    </border>
    <border>
      <left style="thin">
        <color theme="0" tint="-0.34998626667073579"/>
      </left>
      <right style="thin">
        <color theme="0" tint="-0.34998626667073579"/>
      </right>
      <top style="thin">
        <color theme="0" tint="-0.14996795556505021"/>
      </top>
      <bottom style="thin">
        <color indexed="64"/>
      </bottom>
      <diagonal/>
    </border>
    <border>
      <left style="thin">
        <color theme="0" tint="-0.34998626667073579"/>
      </left>
      <right style="medium">
        <color indexed="64"/>
      </right>
      <top style="thin">
        <color theme="0" tint="-0.14996795556505021"/>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medium">
        <color indexed="64"/>
      </right>
      <top style="hair">
        <color theme="0" tint="-0.14993743705557422"/>
      </top>
      <bottom style="medium">
        <color indexed="64"/>
      </bottom>
      <diagonal/>
    </border>
    <border>
      <left style="thin">
        <color indexed="22"/>
      </left>
      <right style="thin">
        <color indexed="22"/>
      </right>
      <top style="thin">
        <color indexed="22"/>
      </top>
      <bottom style="medium">
        <color indexed="64"/>
      </bottom>
      <diagonal/>
    </border>
    <border>
      <left style="medium">
        <color indexed="64"/>
      </left>
      <right style="medium">
        <color indexed="64"/>
      </right>
      <top style="medium">
        <color indexed="64"/>
      </top>
      <bottom style="hair">
        <color theme="0" tint="-0.14996795556505021"/>
      </bottom>
      <diagonal/>
    </border>
    <border>
      <left style="medium">
        <color indexed="64"/>
      </left>
      <right/>
      <top style="thin">
        <color indexed="64"/>
      </top>
      <bottom style="thin">
        <color theme="0" tint="-0.24994659260841701"/>
      </bottom>
      <diagonal/>
    </border>
    <border>
      <left/>
      <right/>
      <top style="thin">
        <color theme="0" tint="-0.14996795556505021"/>
      </top>
      <bottom/>
      <diagonal/>
    </border>
    <border>
      <left style="thin">
        <color theme="0" tint="-0.34998626667073579"/>
      </left>
      <right style="medium">
        <color indexed="64"/>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top/>
      <bottom style="thin">
        <color rgb="FF08A8CE"/>
      </bottom>
      <diagonal/>
    </border>
    <border>
      <left style="thin">
        <color indexed="22"/>
      </left>
      <right/>
      <top style="thin">
        <color theme="0" tint="-0.24994659260841701"/>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double">
        <color indexed="64"/>
      </bottom>
      <diagonal/>
    </border>
    <border>
      <left/>
      <right/>
      <top style="thin">
        <color indexed="64"/>
      </top>
      <bottom style="thin">
        <color theme="0" tint="-0.14996795556505021"/>
      </bottom>
      <diagonal/>
    </border>
    <border>
      <left style="thin">
        <color theme="0" tint="-0.24994659260841701"/>
      </left>
      <right style="thin">
        <color theme="0" tint="-0.14996795556505021"/>
      </right>
      <top style="thin">
        <color indexed="64"/>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medium">
        <color indexed="64"/>
      </bottom>
      <diagonal/>
    </border>
    <border>
      <left style="thin">
        <color indexed="64"/>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medium">
        <color indexed="64"/>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22"/>
      </right>
      <top style="double">
        <color indexed="64"/>
      </top>
      <bottom/>
      <diagonal/>
    </border>
    <border>
      <left style="thin">
        <color indexed="22"/>
      </left>
      <right style="thin">
        <color indexed="22"/>
      </right>
      <top style="double">
        <color indexed="64"/>
      </top>
      <bottom/>
      <diagonal/>
    </border>
    <border>
      <left style="thin">
        <color indexed="22"/>
      </left>
      <right style="medium">
        <color indexed="64"/>
      </right>
      <top style="double">
        <color indexed="64"/>
      </top>
      <bottom/>
      <diagonal/>
    </border>
    <border>
      <left style="medium">
        <color indexed="64"/>
      </left>
      <right style="thin">
        <color theme="0" tint="-0.14996795556505021"/>
      </right>
      <top style="thin">
        <color theme="0" tint="-0.24994659260841701"/>
      </top>
      <bottom style="medium">
        <color auto="1"/>
      </bottom>
      <diagonal/>
    </border>
    <border>
      <left style="thin">
        <color theme="0" tint="-0.14996795556505021"/>
      </left>
      <right style="thin">
        <color theme="0" tint="-0.14996795556505021"/>
      </right>
      <top style="thin">
        <color theme="0" tint="-0.24994659260841701"/>
      </top>
      <bottom style="medium">
        <color auto="1"/>
      </bottom>
      <diagonal/>
    </border>
    <border>
      <left style="thin">
        <color theme="0" tint="-0.14996795556505021"/>
      </left>
      <right style="medium">
        <color indexed="64"/>
      </right>
      <top style="thin">
        <color theme="0" tint="-0.24994659260841701"/>
      </top>
      <bottom style="medium">
        <color auto="1"/>
      </bottom>
      <diagonal/>
    </border>
    <border>
      <left/>
      <right style="hair">
        <color indexed="64"/>
      </right>
      <top style="hair">
        <color indexed="64"/>
      </top>
      <bottom/>
      <diagonal/>
    </border>
    <border>
      <left style="medium">
        <color indexed="64"/>
      </left>
      <right/>
      <top/>
      <bottom style="thin">
        <color theme="0" tint="-0.14996795556505021"/>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theme="0" tint="-0.24994659260841701"/>
      </right>
      <top style="thin">
        <color theme="0" tint="-0.24994659260841701"/>
      </top>
      <bottom style="double">
        <color auto="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medium">
        <color indexed="64"/>
      </left>
      <right/>
      <top style="medium">
        <color indexed="64"/>
      </top>
      <bottom/>
      <diagonal/>
    </border>
    <border>
      <left style="thin">
        <color theme="0" tint="-0.24994659260841701"/>
      </left>
      <right/>
      <top style="medium">
        <color indexed="64"/>
      </top>
      <bottom/>
      <diagonal/>
    </border>
    <border>
      <left style="thin">
        <color theme="0" tint="-0.24994659260841701"/>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style="medium">
        <color indexed="64"/>
      </left>
      <right/>
      <top style="medium">
        <color indexed="64"/>
      </top>
      <bottom style="thin">
        <color indexed="64"/>
      </bottom>
      <diagonal/>
    </border>
    <border>
      <left/>
      <right style="thin">
        <color theme="0" tint="-0.24994659260841701"/>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medium">
        <color indexed="64"/>
      </right>
      <top/>
      <bottom style="thin">
        <color theme="0" tint="-0.24994659260841701"/>
      </bottom>
      <diagonal/>
    </border>
    <border>
      <left style="thin">
        <color theme="0" tint="-0.14996795556505021"/>
      </left>
      <right style="medium">
        <color indexed="64"/>
      </right>
      <top style="thin">
        <color theme="0" tint="-0.24994659260841701"/>
      </top>
      <bottom style="double">
        <color indexed="64"/>
      </bottom>
      <diagonal/>
    </border>
    <border>
      <left style="thin">
        <color theme="0" tint="-0.14996795556505021"/>
      </left>
      <right style="double">
        <color indexed="64"/>
      </right>
      <top style="double">
        <color indexed="64"/>
      </top>
      <bottom style="double">
        <color indexed="64"/>
      </bottom>
      <diagonal/>
    </border>
    <border>
      <left/>
      <right/>
      <top style="medium">
        <color indexed="64"/>
      </top>
      <bottom style="thin">
        <color theme="0" tint="-0.2499465926084170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style="thin">
        <color theme="0" tint="-0.24994659260841701"/>
      </right>
      <top style="medium">
        <color indexed="64"/>
      </top>
      <bottom style="thin">
        <color theme="0"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diagonal/>
    </border>
    <border>
      <left/>
      <right/>
      <top/>
      <bottom style="medium">
        <color indexed="64"/>
      </bottom>
      <diagonal/>
    </border>
    <border>
      <left/>
      <right style="medium">
        <color indexed="64"/>
      </right>
      <top/>
      <bottom style="medium">
        <color indexed="64"/>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right style="thin">
        <color indexed="64"/>
      </right>
      <top style="thin">
        <color indexed="64"/>
      </top>
      <bottom style="thin">
        <color theme="0" tint="-0.24994659260841701"/>
      </bottom>
      <diagonal/>
    </border>
    <border>
      <left/>
      <right style="double">
        <color auto="1"/>
      </right>
      <top style="medium">
        <color auto="1"/>
      </top>
      <bottom style="medium">
        <color auto="1"/>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top style="medium">
        <color indexed="64"/>
      </top>
      <bottom style="thin">
        <color theme="0" tint="-0.24994659260841701"/>
      </bottom>
      <diagonal/>
    </border>
    <border>
      <left/>
      <right style="thin">
        <color theme="0" tint="-0.14996795556505021"/>
      </right>
      <top/>
      <bottom style="thin">
        <color theme="0" tint="-0.1499679555650502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theme="0" tint="-0.14996795556505021"/>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medium">
        <color auto="1"/>
      </top>
      <bottom style="thin">
        <color theme="0" tint="-0.14996795556505021"/>
      </bottom>
      <diagonal/>
    </border>
    <border>
      <left/>
      <right style="thin">
        <color theme="0" tint="-0.14996795556505021"/>
      </right>
      <top style="medium">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4" tint="0.39994506668294322"/>
      </top>
      <bottom style="double">
        <color indexed="64"/>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medium">
        <color indexed="64"/>
      </top>
      <bottom style="thin">
        <color theme="4" tint="0.39994506668294322"/>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indexed="64"/>
      </top>
      <bottom style="thin">
        <color theme="3" tint="0.59996337778862885"/>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indexed="64"/>
      </bottom>
      <diagonal/>
    </border>
    <border>
      <left/>
      <right/>
      <top style="thin">
        <color theme="4" tint="0.39994506668294322"/>
      </top>
      <bottom style="thin">
        <color indexed="64"/>
      </bottom>
      <diagonal/>
    </border>
    <border>
      <left/>
      <right/>
      <top style="thin">
        <color indexed="64"/>
      </top>
      <bottom style="thin">
        <color theme="4" tint="0.39994506668294322"/>
      </bottom>
      <diagonal/>
    </border>
    <border>
      <left style="thin">
        <color indexed="64"/>
      </left>
      <right style="thin">
        <color theme="0" tint="-0.14996795556505021"/>
      </right>
      <top/>
      <bottom/>
      <diagonal/>
    </border>
    <border>
      <left/>
      <right style="thin">
        <color theme="0" tint="-0.14996795556505021"/>
      </right>
      <top style="thin">
        <color indexed="64"/>
      </top>
      <bottom style="thin">
        <color theme="3" tint="0.59996337778862885"/>
      </bottom>
      <diagonal/>
    </border>
    <border>
      <left/>
      <right style="thin">
        <color theme="0" tint="-0.14996795556505021"/>
      </right>
      <top style="thin">
        <color theme="3" tint="0.59996337778862885"/>
      </top>
      <bottom style="thin">
        <color indexed="64"/>
      </bottom>
      <diagonal/>
    </border>
    <border>
      <left/>
      <right style="thin">
        <color theme="0" tint="-0.14996795556505021"/>
      </right>
      <top style="thin">
        <color theme="3" tint="0.59996337778862885"/>
      </top>
      <bottom style="thin">
        <color theme="3" tint="0.59996337778862885"/>
      </bottom>
      <diagonal/>
    </border>
    <border>
      <left/>
      <right/>
      <top style="thin">
        <color indexed="64"/>
      </top>
      <bottom style="thin">
        <color theme="3" tint="0.59996337778862885"/>
      </bottom>
      <diagonal/>
    </border>
    <border>
      <left/>
      <right/>
      <top style="thin">
        <color theme="3" tint="0.59996337778862885"/>
      </top>
      <bottom style="thin">
        <color theme="3" tint="0.59996337778862885"/>
      </bottom>
      <diagonal/>
    </border>
    <border>
      <left/>
      <right/>
      <top style="thin">
        <color theme="3" tint="0.59996337778862885"/>
      </top>
      <bottom style="thin">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indexed="64"/>
      </left>
      <right/>
      <top style="thin">
        <color theme="3" tint="0.59996337778862885"/>
      </top>
      <bottom style="thin">
        <color theme="4" tint="0.39994506668294322"/>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3743705557422"/>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theme="0" tint="-0.14993743705557422"/>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style="thin">
        <color theme="0" tint="-0.14996795556505021"/>
      </left>
      <right/>
      <top style="medium">
        <color indexed="64"/>
      </top>
      <bottom style="thin">
        <color theme="0" tint="-0.14993743705557422"/>
      </bottom>
      <diagonal/>
    </border>
    <border>
      <left style="thin">
        <color theme="0" tint="-0.14993743705557422"/>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style="thin">
        <color theme="0" tint="-0.14993743705557422"/>
      </left>
      <right/>
      <top style="thin">
        <color theme="0" tint="-0.14993743705557422"/>
      </top>
      <bottom style="medium">
        <color indexed="64"/>
      </bottom>
      <diagonal/>
    </border>
    <border>
      <left/>
      <right style="medium">
        <color indexed="64"/>
      </right>
      <top style="thin">
        <color theme="0" tint="-0.14993743705557422"/>
      </top>
      <bottom style="medium">
        <color indexed="64"/>
      </bottom>
      <diagonal/>
    </border>
    <border>
      <left style="thin">
        <color theme="0" tint="-0.24994659260841701"/>
      </left>
      <right/>
      <top style="thin">
        <color indexed="64"/>
      </top>
      <bottom style="thin">
        <color indexed="64"/>
      </bottom>
      <diagonal/>
    </border>
    <border>
      <left style="thin">
        <color indexed="64"/>
      </left>
      <right style="medium">
        <color indexed="64"/>
      </right>
      <top style="thin">
        <color theme="0" tint="-0.24994659260841701"/>
      </top>
      <bottom style="double">
        <color auto="1"/>
      </bottom>
      <diagonal/>
    </border>
    <border>
      <left/>
      <right/>
      <top style="thin">
        <color indexed="64"/>
      </top>
      <bottom style="thin">
        <color theme="0" tint="-0.24994659260841701"/>
      </bottom>
      <diagonal/>
    </border>
    <border>
      <left/>
      <right/>
      <top style="thin">
        <color theme="0" tint="-0.24994659260841701"/>
      </top>
      <bottom style="double">
        <color auto="1"/>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double">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double">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medium">
        <color indexed="64"/>
      </left>
      <right style="medium">
        <color indexed="64"/>
      </right>
      <top style="thin">
        <color theme="0" tint="-0.24994659260841701"/>
      </top>
      <bottom/>
      <diagonal/>
    </border>
    <border>
      <left style="double">
        <color indexed="64"/>
      </left>
      <right/>
      <top style="thin">
        <color indexed="64"/>
      </top>
      <bottom style="medium">
        <color auto="1"/>
      </bottom>
      <diagonal/>
    </border>
    <border>
      <left style="thin">
        <color theme="0" tint="-0.14993743705557422"/>
      </left>
      <right style="thin">
        <color theme="0" tint="-0.14990691854609822"/>
      </right>
      <top style="medium">
        <color indexed="64"/>
      </top>
      <bottom style="thin">
        <color theme="0" tint="-0.24994659260841701"/>
      </bottom>
      <diagonal/>
    </border>
    <border>
      <left style="thin">
        <color theme="0" tint="-0.14990691854609822"/>
      </left>
      <right style="thin">
        <color theme="0" tint="-0.14993743705557422"/>
      </right>
      <top style="medium">
        <color indexed="64"/>
      </top>
      <bottom style="thin">
        <color theme="0" tint="-0.24994659260841701"/>
      </bottom>
      <diagonal/>
    </border>
    <border>
      <left style="thin">
        <color theme="0" tint="-0.14993743705557422"/>
      </left>
      <right style="thin">
        <color theme="0" tint="-0.14990691854609822"/>
      </right>
      <top style="thin">
        <color theme="0" tint="-0.24994659260841701"/>
      </top>
      <bottom style="thin">
        <color theme="0" tint="-0.24994659260841701"/>
      </bottom>
      <diagonal/>
    </border>
    <border>
      <left style="thin">
        <color theme="0" tint="-0.14990691854609822"/>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14990691854609822"/>
      </right>
      <top style="thin">
        <color theme="0" tint="-0.24994659260841701"/>
      </top>
      <bottom style="medium">
        <color indexed="64"/>
      </bottom>
      <diagonal/>
    </border>
    <border>
      <left style="thin">
        <color theme="0" tint="-0.14990691854609822"/>
      </left>
      <right style="thin">
        <color theme="0" tint="-0.14993743705557422"/>
      </right>
      <top style="thin">
        <color theme="0" tint="-0.24994659260841701"/>
      </top>
      <bottom style="medium">
        <color indexed="64"/>
      </bottom>
      <diagonal/>
    </border>
    <border>
      <left style="thin">
        <color theme="0" tint="-0.14990691854609822"/>
      </left>
      <right style="thin">
        <color theme="0" tint="-0.24994659260841701"/>
      </right>
      <top style="medium">
        <color indexed="64"/>
      </top>
      <bottom style="thin">
        <color theme="0" tint="-0.24994659260841701"/>
      </bottom>
      <diagonal/>
    </border>
    <border>
      <left style="thin">
        <color theme="0" tint="-0.14990691854609822"/>
      </left>
      <right style="thin">
        <color theme="0" tint="-0.24994659260841701"/>
      </right>
      <top style="thin">
        <color theme="0" tint="-0.24994659260841701"/>
      </top>
      <bottom style="medium">
        <color indexed="64"/>
      </bottom>
      <diagonal/>
    </border>
    <border>
      <left style="thin">
        <color rgb="FF7F7F7F"/>
      </left>
      <right style="thin">
        <color rgb="FF7F7F7F"/>
      </right>
      <top style="thin">
        <color rgb="FF7F7F7F"/>
      </top>
      <bottom style="thin">
        <color rgb="FF7F7F7F"/>
      </bottom>
      <diagonal/>
    </border>
    <border>
      <left style="thin">
        <color theme="0" tint="-0.14996795556505021"/>
      </left>
      <right style="thin">
        <color indexed="64"/>
      </right>
      <top style="thin">
        <color indexed="64"/>
      </top>
      <bottom style="thin">
        <color theme="4"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6795556505021"/>
      </left>
      <right style="medium">
        <color indexed="64"/>
      </right>
      <top style="medium">
        <color indexed="64"/>
      </top>
      <bottom/>
      <diagonal/>
    </border>
    <border>
      <left style="thin">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64"/>
      </left>
      <right style="thin">
        <color indexed="22"/>
      </right>
      <top/>
      <bottom style="medium">
        <color indexed="64"/>
      </bottom>
      <diagonal/>
    </border>
    <border>
      <left style="thin">
        <color indexed="22"/>
      </left>
      <right style="medium">
        <color indexed="64"/>
      </right>
      <top style="thin">
        <color theme="0" tint="-0.14996795556505021"/>
      </top>
      <bottom style="medium">
        <color indexed="64"/>
      </bottom>
      <diagonal/>
    </border>
    <border>
      <left style="medium">
        <color indexed="64"/>
      </left>
      <right style="medium">
        <color indexed="18"/>
      </right>
      <top/>
      <bottom/>
      <diagonal/>
    </border>
  </borders>
  <cellStyleXfs count="68">
    <xf numFmtId="0" fontId="0" fillId="0" borderId="0"/>
    <xf numFmtId="0" fontId="3" fillId="0" borderId="0"/>
    <xf numFmtId="0" fontId="87" fillId="33" borderId="0" applyNumberFormat="0" applyBorder="0" applyAlignment="0" applyProtection="0"/>
    <xf numFmtId="0" fontId="87" fillId="34" borderId="0" applyNumberFormat="0" applyBorder="0" applyAlignment="0" applyProtection="0"/>
    <xf numFmtId="0" fontId="88"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37" borderId="0" applyNumberFormat="0" applyBorder="0" applyAlignment="0" applyProtection="0"/>
    <xf numFmtId="0" fontId="87" fillId="40" borderId="0" applyNumberFormat="0" applyBorder="0" applyAlignment="0" applyProtection="0"/>
    <xf numFmtId="0" fontId="87" fillId="43" borderId="0" applyNumberFormat="0" applyBorder="0" applyAlignment="0" applyProtection="0"/>
    <xf numFmtId="0" fontId="89" fillId="44"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45"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45" borderId="0" applyNumberFormat="0" applyBorder="0" applyAlignment="0" applyProtection="0"/>
    <xf numFmtId="0" fontId="89" fillId="46" borderId="0" applyNumberFormat="0" applyBorder="0" applyAlignment="0" applyProtection="0"/>
    <xf numFmtId="0" fontId="89" fillId="51" borderId="0" applyNumberFormat="0" applyBorder="0" applyAlignment="0" applyProtection="0"/>
    <xf numFmtId="0" fontId="90" fillId="34" borderId="0" applyNumberFormat="0" applyBorder="0" applyAlignment="0" applyProtection="0"/>
    <xf numFmtId="0" fontId="91" fillId="32" borderId="568" applyNumberFormat="0" applyAlignment="0" applyProtection="0"/>
    <xf numFmtId="0" fontId="92" fillId="52" borderId="570" applyNumberFormat="0" applyAlignment="0" applyProtection="0"/>
    <xf numFmtId="0" fontId="93" fillId="53" borderId="571"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4" fillId="0" borderId="0" applyNumberFormat="0" applyFill="0" applyBorder="0" applyAlignment="0" applyProtection="0"/>
    <xf numFmtId="0" fontId="95" fillId="36" borderId="0" applyNumberFormat="0" applyBorder="0" applyAlignment="0" applyProtection="0"/>
    <xf numFmtId="0" fontId="96" fillId="0" borderId="572" applyNumberFormat="0" applyFill="0" applyAlignment="0" applyProtection="0"/>
    <xf numFmtId="0" fontId="97" fillId="0" borderId="573" applyNumberFormat="0" applyFill="0" applyAlignment="0" applyProtection="0"/>
    <xf numFmtId="0" fontId="98" fillId="0" borderId="574"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alignment vertical="top"/>
      <protection locked="0"/>
    </xf>
    <xf numFmtId="0" fontId="100" fillId="31" borderId="568" applyNumberFormat="0" applyAlignment="0" applyProtection="0"/>
    <xf numFmtId="0" fontId="101" fillId="39" borderId="570" applyNumberFormat="0" applyAlignment="0" applyProtection="0"/>
    <xf numFmtId="0" fontId="102" fillId="0" borderId="575" applyNumberFormat="0" applyFill="0" applyAlignment="0" applyProtection="0"/>
    <xf numFmtId="0" fontId="103" fillId="54" borderId="0" applyNumberFormat="0" applyBorder="0" applyAlignment="0" applyProtection="0"/>
    <xf numFmtId="0" fontId="4" fillId="0" borderId="0"/>
    <xf numFmtId="0" fontId="104" fillId="0" borderId="0"/>
    <xf numFmtId="0" fontId="3" fillId="0" borderId="0"/>
    <xf numFmtId="0" fontId="1" fillId="0" borderId="0"/>
    <xf numFmtId="0" fontId="1" fillId="0" borderId="0"/>
    <xf numFmtId="0" fontId="3" fillId="0" borderId="0"/>
    <xf numFmtId="0" fontId="4"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55" borderId="75" applyNumberFormat="0" applyFont="0" applyAlignment="0" applyProtection="0"/>
    <xf numFmtId="0" fontId="105" fillId="52" borderId="57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6" fillId="0" borderId="0" applyNumberFormat="0" applyFill="0" applyBorder="0" applyAlignment="0" applyProtection="0"/>
    <xf numFmtId="0" fontId="107" fillId="0" borderId="577" applyNumberFormat="0" applyFill="0" applyAlignment="0" applyProtection="0"/>
    <xf numFmtId="0" fontId="108" fillId="0" borderId="0" applyNumberFormat="0" applyFill="0" applyBorder="0" applyAlignment="0" applyProtection="0"/>
    <xf numFmtId="43" fontId="1" fillId="0" borderId="0" applyFont="0" applyFill="0" applyBorder="0" applyAlignment="0" applyProtection="0"/>
  </cellStyleXfs>
  <cellXfs count="2401">
    <xf numFmtId="0" fontId="0" fillId="0" borderId="0" xfId="0"/>
    <xf numFmtId="0" fontId="3" fillId="3" borderId="104" xfId="0" applyFont="1" applyFill="1" applyBorder="1" applyAlignment="1" applyProtection="1">
      <protection locked="0"/>
    </xf>
    <xf numFmtId="0" fontId="3" fillId="3" borderId="101" xfId="0" applyFont="1" applyFill="1" applyBorder="1" applyAlignment="1" applyProtection="1">
      <protection locked="0"/>
    </xf>
    <xf numFmtId="44" fontId="3" fillId="3" borderId="96" xfId="0" applyNumberFormat="1" applyFont="1" applyFill="1" applyBorder="1" applyAlignment="1" applyProtection="1">
      <protection locked="0"/>
    </xf>
    <xf numFmtId="0" fontId="3" fillId="3" borderId="34" xfId="0" applyFont="1" applyFill="1" applyBorder="1" applyProtection="1"/>
    <xf numFmtId="0" fontId="3"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68" xfId="0" applyFont="1" applyFill="1" applyBorder="1" applyAlignment="1" applyProtection="1">
      <alignment vertical="center" wrapText="1"/>
      <protection locked="0"/>
    </xf>
    <xf numFmtId="0" fontId="5" fillId="0" borderId="68" xfId="0" applyFont="1" applyBorder="1" applyAlignment="1" applyProtection="1">
      <alignment vertical="center" wrapText="1"/>
      <protection locked="0"/>
    </xf>
    <xf numFmtId="0" fontId="3" fillId="0" borderId="68" xfId="0" applyFont="1" applyBorder="1" applyAlignment="1" applyProtection="1">
      <alignment vertical="center" wrapText="1"/>
      <protection locked="0"/>
    </xf>
    <xf numFmtId="0" fontId="3" fillId="0" borderId="68" xfId="0" applyFont="1" applyFill="1" applyBorder="1" applyAlignment="1" applyProtection="1">
      <alignment vertical="center"/>
      <protection locked="0"/>
    </xf>
    <xf numFmtId="0" fontId="3" fillId="0" borderId="68" xfId="0" applyFont="1" applyBorder="1" applyAlignment="1" applyProtection="1">
      <alignment vertical="center"/>
      <protection locked="0"/>
    </xf>
    <xf numFmtId="0" fontId="3" fillId="0" borderId="71" xfId="0" applyFont="1" applyBorder="1" applyAlignment="1" applyProtection="1">
      <alignment vertical="center" wrapText="1"/>
      <protection locked="0"/>
    </xf>
    <xf numFmtId="0" fontId="5" fillId="0" borderId="178" xfId="0" applyFont="1" applyBorder="1" applyAlignment="1" applyProtection="1">
      <alignment vertical="center" wrapText="1"/>
      <protection locked="0"/>
    </xf>
    <xf numFmtId="0" fontId="3" fillId="0" borderId="105" xfId="0" applyFont="1" applyBorder="1" applyAlignment="1" applyProtection="1">
      <alignment vertical="center"/>
      <protection locked="0"/>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44" xfId="0" applyFont="1" applyBorder="1" applyAlignment="1" applyProtection="1">
      <alignment vertical="center"/>
    </xf>
    <xf numFmtId="0" fontId="3" fillId="0" borderId="105" xfId="0" applyFont="1" applyFill="1" applyBorder="1" applyAlignment="1" applyProtection="1">
      <alignment vertical="center"/>
      <protection locked="0"/>
    </xf>
    <xf numFmtId="0" fontId="3" fillId="0" borderId="106" xfId="0" applyFont="1" applyFill="1" applyBorder="1" applyAlignment="1" applyProtection="1">
      <alignment vertical="center" wrapText="1"/>
      <protection locked="0"/>
    </xf>
    <xf numFmtId="0" fontId="3" fillId="0" borderId="134" xfId="0" applyFont="1" applyFill="1" applyBorder="1" applyAlignment="1" applyProtection="1">
      <alignment vertical="center"/>
      <protection locked="0"/>
    </xf>
    <xf numFmtId="14" fontId="3" fillId="0" borderId="105" xfId="0" applyNumberFormat="1" applyFont="1" applyBorder="1" applyAlignment="1" applyProtection="1">
      <alignment vertical="center"/>
      <protection locked="0"/>
    </xf>
    <xf numFmtId="0" fontId="3" fillId="0" borderId="107" xfId="0" applyFont="1" applyBorder="1" applyAlignment="1" applyProtection="1">
      <alignment vertical="center"/>
      <protection locked="0"/>
    </xf>
    <xf numFmtId="0" fontId="3" fillId="0" borderId="106" xfId="0" applyFont="1" applyFill="1" applyBorder="1" applyAlignment="1" applyProtection="1">
      <alignment vertical="center"/>
      <protection locked="0"/>
    </xf>
    <xf numFmtId="0" fontId="3" fillId="0" borderId="161" xfId="0" applyFont="1" applyFill="1" applyBorder="1" applyAlignment="1" applyProtection="1">
      <alignment vertical="center"/>
      <protection locked="0"/>
    </xf>
    <xf numFmtId="0" fontId="3" fillId="0" borderId="213" xfId="0" applyFont="1" applyFill="1" applyBorder="1" applyAlignment="1" applyProtection="1">
      <alignment vertical="center"/>
    </xf>
    <xf numFmtId="0" fontId="3" fillId="0" borderId="214" xfId="0" applyFont="1" applyFill="1" applyBorder="1" applyAlignment="1" applyProtection="1">
      <alignment vertical="center"/>
    </xf>
    <xf numFmtId="0" fontId="3" fillId="0" borderId="237" xfId="0" applyFont="1" applyBorder="1" applyAlignment="1" applyProtection="1">
      <alignment vertical="center"/>
      <protection locked="0"/>
    </xf>
    <xf numFmtId="0" fontId="5" fillId="0" borderId="233" xfId="0" applyFont="1" applyBorder="1" applyAlignment="1" applyProtection="1">
      <alignment vertical="center" wrapText="1"/>
      <protection locked="0"/>
    </xf>
    <xf numFmtId="0" fontId="3" fillId="0" borderId="215" xfId="0" applyFont="1" applyFill="1" applyBorder="1" applyAlignment="1" applyProtection="1">
      <alignment vertical="center"/>
    </xf>
    <xf numFmtId="0" fontId="3" fillId="0" borderId="216" xfId="0" applyFont="1" applyBorder="1" applyAlignment="1" applyProtection="1">
      <alignment vertical="center"/>
    </xf>
    <xf numFmtId="0" fontId="3" fillId="0" borderId="217" xfId="0" applyFont="1" applyBorder="1" applyAlignment="1" applyProtection="1">
      <alignment vertical="center"/>
    </xf>
    <xf numFmtId="0" fontId="3" fillId="0" borderId="169" xfId="0" applyFont="1" applyBorder="1" applyAlignment="1" applyProtection="1">
      <alignment vertical="center"/>
    </xf>
    <xf numFmtId="0" fontId="3" fillId="0" borderId="218" xfId="0" applyFont="1" applyBorder="1" applyAlignment="1" applyProtection="1">
      <alignment vertical="center"/>
    </xf>
    <xf numFmtId="0" fontId="29" fillId="0" borderId="0" xfId="0" applyFont="1" applyFill="1" applyBorder="1" applyAlignment="1" applyProtection="1">
      <alignment horizontal="center" vertical="center" wrapText="1"/>
    </xf>
    <xf numFmtId="42" fontId="25" fillId="0" borderId="0" xfId="0" applyNumberFormat="1" applyFont="1" applyFill="1" applyBorder="1" applyAlignment="1" applyProtection="1">
      <alignment vertical="center"/>
    </xf>
    <xf numFmtId="0" fontId="17" fillId="0" borderId="0" xfId="0" applyFont="1" applyFill="1" applyBorder="1" applyProtection="1"/>
    <xf numFmtId="0" fontId="28" fillId="0" borderId="0" xfId="0" applyFont="1" applyFill="1" applyBorder="1" applyAlignment="1" applyProtection="1"/>
    <xf numFmtId="42" fontId="18" fillId="0" borderId="0" xfId="0" applyNumberFormat="1" applyFont="1" applyFill="1" applyBorder="1" applyProtection="1"/>
    <xf numFmtId="42" fontId="25" fillId="0" borderId="0" xfId="0" applyNumberFormat="1" applyFont="1" applyBorder="1" applyAlignment="1" applyProtection="1">
      <alignment vertical="center"/>
    </xf>
    <xf numFmtId="42" fontId="25" fillId="6" borderId="111" xfId="0" applyNumberFormat="1" applyFont="1" applyFill="1" applyBorder="1" applyAlignment="1" applyProtection="1">
      <alignment vertical="center"/>
    </xf>
    <xf numFmtId="42" fontId="25" fillId="0" borderId="105" xfId="0" applyNumberFormat="1" applyFont="1" applyFill="1" applyBorder="1" applyAlignment="1" applyProtection="1">
      <alignment vertical="center" wrapText="1"/>
      <protection locked="0"/>
    </xf>
    <xf numFmtId="42" fontId="25" fillId="0" borderId="237" xfId="0" applyNumberFormat="1" applyFont="1" applyFill="1" applyBorder="1" applyAlignment="1" applyProtection="1">
      <alignment vertical="center"/>
      <protection locked="0"/>
    </xf>
    <xf numFmtId="42" fontId="25" fillId="0" borderId="105" xfId="0" applyNumberFormat="1" applyFont="1" applyFill="1" applyBorder="1" applyAlignment="1" applyProtection="1">
      <alignment vertical="center"/>
      <protection locked="0"/>
    </xf>
    <xf numFmtId="42" fontId="25" fillId="0" borderId="68" xfId="0" applyNumberFormat="1" applyFont="1" applyFill="1" applyBorder="1" applyAlignment="1" applyProtection="1">
      <alignment vertical="center" wrapText="1"/>
      <protection locked="0"/>
    </xf>
    <xf numFmtId="42" fontId="25" fillId="0" borderId="235" xfId="0" applyNumberFormat="1" applyFont="1" applyFill="1" applyBorder="1" applyAlignment="1" applyProtection="1">
      <alignment vertical="center"/>
      <protection locked="0"/>
    </xf>
    <xf numFmtId="42" fontId="25" fillId="0" borderId="125" xfId="0" applyNumberFormat="1" applyFont="1" applyFill="1" applyBorder="1" applyAlignment="1" applyProtection="1">
      <alignment vertical="center"/>
      <protection locked="0"/>
    </xf>
    <xf numFmtId="42" fontId="25" fillId="0" borderId="125" xfId="0" applyNumberFormat="1" applyFont="1" applyFill="1" applyBorder="1" applyAlignment="1" applyProtection="1">
      <alignment vertical="center" wrapText="1"/>
      <protection locked="0"/>
    </xf>
    <xf numFmtId="42" fontId="25" fillId="0" borderId="77" xfId="0" applyNumberFormat="1" applyFont="1" applyFill="1" applyBorder="1" applyAlignment="1" applyProtection="1">
      <alignment vertical="center"/>
      <protection locked="0"/>
    </xf>
    <xf numFmtId="42" fontId="25" fillId="0" borderId="124" xfId="0" applyNumberFormat="1" applyFont="1" applyFill="1" applyBorder="1" applyAlignment="1" applyProtection="1">
      <alignment vertical="center" wrapText="1"/>
      <protection locked="0"/>
    </xf>
    <xf numFmtId="42" fontId="25" fillId="0" borderId="233" xfId="0" applyNumberFormat="1" applyFont="1" applyFill="1" applyBorder="1" applyAlignment="1" applyProtection="1">
      <alignment vertical="center"/>
      <protection locked="0"/>
    </xf>
    <xf numFmtId="42" fontId="25" fillId="0" borderId="68" xfId="0" applyNumberFormat="1" applyFont="1" applyFill="1" applyBorder="1" applyAlignment="1" applyProtection="1">
      <alignment vertical="center"/>
      <protection locked="0"/>
    </xf>
    <xf numFmtId="42" fontId="25" fillId="12" borderId="238" xfId="0" applyNumberFormat="1" applyFont="1" applyFill="1" applyBorder="1" applyAlignment="1" applyProtection="1">
      <alignment vertical="center"/>
    </xf>
    <xf numFmtId="42" fontId="25" fillId="12" borderId="239" xfId="0" applyNumberFormat="1" applyFont="1" applyFill="1" applyBorder="1" applyAlignment="1" applyProtection="1">
      <alignment vertical="center"/>
    </xf>
    <xf numFmtId="42" fontId="25" fillId="12" borderId="231" xfId="0" applyNumberFormat="1" applyFont="1" applyFill="1" applyBorder="1" applyAlignment="1" applyProtection="1">
      <alignment vertical="center"/>
    </xf>
    <xf numFmtId="42" fontId="25" fillId="6" borderId="113" xfId="0" applyNumberFormat="1" applyFont="1" applyFill="1" applyBorder="1" applyAlignment="1" applyProtection="1">
      <alignment vertical="center"/>
    </xf>
    <xf numFmtId="42" fontId="25" fillId="12" borderId="111" xfId="0" applyNumberFormat="1" applyFont="1" applyFill="1" applyBorder="1" applyAlignment="1" applyProtection="1">
      <alignment vertical="center"/>
    </xf>
    <xf numFmtId="42" fontId="25" fillId="6" borderId="112" xfId="0" applyNumberFormat="1" applyFont="1" applyFill="1" applyBorder="1" applyAlignment="1" applyProtection="1">
      <alignment vertical="center"/>
    </xf>
    <xf numFmtId="42" fontId="25" fillId="6" borderId="55" xfId="0" applyNumberFormat="1" applyFont="1" applyFill="1" applyBorder="1" applyAlignment="1" applyProtection="1">
      <alignment vertical="center"/>
    </xf>
    <xf numFmtId="42" fontId="25" fillId="6" borderId="110" xfId="0" applyNumberFormat="1" applyFont="1" applyFill="1" applyBorder="1" applyAlignment="1" applyProtection="1">
      <alignment vertical="center"/>
    </xf>
    <xf numFmtId="42" fontId="25" fillId="6" borderId="222" xfId="0" applyNumberFormat="1" applyFont="1" applyFill="1" applyBorder="1" applyAlignment="1" applyProtection="1">
      <alignment vertical="center"/>
    </xf>
    <xf numFmtId="42" fontId="25" fillId="0" borderId="223" xfId="0" applyNumberFormat="1" applyFont="1" applyFill="1" applyBorder="1" applyAlignment="1" applyProtection="1">
      <alignment vertical="center"/>
      <protection locked="0"/>
    </xf>
    <xf numFmtId="42" fontId="25" fillId="0" borderId="239" xfId="0" applyNumberFormat="1" applyFont="1" applyFill="1" applyBorder="1" applyAlignment="1" applyProtection="1">
      <alignment vertical="center"/>
      <protection locked="0"/>
    </xf>
    <xf numFmtId="42" fontId="25" fillId="0" borderId="63" xfId="0" applyNumberFormat="1" applyFont="1" applyFill="1" applyBorder="1" applyAlignment="1" applyProtection="1">
      <alignment vertical="center"/>
      <protection locked="0"/>
    </xf>
    <xf numFmtId="42" fontId="25" fillId="0" borderId="122" xfId="0" applyNumberFormat="1" applyFont="1" applyFill="1" applyBorder="1" applyAlignment="1" applyProtection="1">
      <alignment vertical="center"/>
      <protection locked="0"/>
    </xf>
    <xf numFmtId="42" fontId="25" fillId="0" borderId="65" xfId="0" applyNumberFormat="1" applyFont="1" applyFill="1" applyBorder="1" applyAlignment="1" applyProtection="1">
      <alignment vertical="center" wrapText="1"/>
      <protection locked="0"/>
    </xf>
    <xf numFmtId="42" fontId="25" fillId="0" borderId="136" xfId="0" applyNumberFormat="1" applyFont="1" applyFill="1" applyBorder="1" applyAlignment="1" applyProtection="1">
      <alignment vertical="center" wrapText="1"/>
      <protection locked="0"/>
    </xf>
    <xf numFmtId="42" fontId="25" fillId="6" borderId="87" xfId="0" applyNumberFormat="1" applyFont="1" applyFill="1" applyBorder="1" applyAlignment="1" applyProtection="1">
      <alignment vertical="center"/>
    </xf>
    <xf numFmtId="42" fontId="25" fillId="6" borderId="126" xfId="0" applyNumberFormat="1" applyFont="1" applyFill="1" applyBorder="1" applyAlignment="1" applyProtection="1">
      <alignment vertical="center"/>
    </xf>
    <xf numFmtId="42" fontId="25" fillId="0" borderId="122" xfId="0" applyNumberFormat="1" applyFont="1" applyFill="1" applyBorder="1" applyAlignment="1" applyProtection="1">
      <alignment vertical="center" wrapText="1"/>
      <protection locked="0"/>
    </xf>
    <xf numFmtId="42" fontId="25" fillId="0" borderId="136" xfId="0" applyNumberFormat="1" applyFont="1" applyFill="1" applyBorder="1" applyAlignment="1" applyProtection="1">
      <alignment vertical="center"/>
      <protection locked="0"/>
    </xf>
    <xf numFmtId="42" fontId="25" fillId="12" borderId="87" xfId="0" applyNumberFormat="1" applyFont="1" applyFill="1" applyBorder="1" applyAlignment="1" applyProtection="1">
      <alignment vertical="center"/>
    </xf>
    <xf numFmtId="42" fontId="25" fillId="12" borderId="126" xfId="0" applyNumberFormat="1" applyFont="1" applyFill="1" applyBorder="1" applyAlignment="1" applyProtection="1">
      <alignment vertical="center"/>
    </xf>
    <xf numFmtId="42" fontId="25" fillId="12" borderId="229" xfId="0" applyNumberFormat="1" applyFont="1" applyFill="1" applyBorder="1" applyAlignment="1" applyProtection="1">
      <alignment vertical="center"/>
    </xf>
    <xf numFmtId="42" fontId="25" fillId="0" borderId="138" xfId="0" applyNumberFormat="1" applyFont="1" applyFill="1" applyBorder="1" applyAlignment="1" applyProtection="1">
      <alignment vertical="center"/>
      <protection locked="0"/>
    </xf>
    <xf numFmtId="42" fontId="25" fillId="0" borderId="138" xfId="0" applyNumberFormat="1" applyFont="1" applyFill="1" applyBorder="1" applyAlignment="1" applyProtection="1">
      <alignment vertical="center" wrapText="1"/>
      <protection locked="0"/>
    </xf>
    <xf numFmtId="42" fontId="25" fillId="18" borderId="115" xfId="0" applyNumberFormat="1" applyFont="1" applyFill="1" applyBorder="1" applyAlignment="1" applyProtection="1">
      <alignment vertical="center"/>
    </xf>
    <xf numFmtId="42" fontId="25" fillId="18" borderId="240" xfId="0" applyNumberFormat="1" applyFont="1" applyFill="1" applyBorder="1" applyAlignment="1" applyProtection="1">
      <alignment vertical="center"/>
    </xf>
    <xf numFmtId="0" fontId="28" fillId="0" borderId="169" xfId="0" applyFont="1" applyFill="1" applyBorder="1" applyAlignment="1" applyProtection="1"/>
    <xf numFmtId="0" fontId="28" fillId="0" borderId="170" xfId="0" applyFont="1" applyFill="1" applyBorder="1" applyAlignment="1" applyProtection="1"/>
    <xf numFmtId="5" fontId="27" fillId="0" borderId="166" xfId="0" applyNumberFormat="1" applyFont="1" applyFill="1" applyBorder="1" applyAlignment="1" applyProtection="1">
      <alignment vertical="center"/>
    </xf>
    <xf numFmtId="42" fontId="25" fillId="0" borderId="246" xfId="0" applyNumberFormat="1" applyFont="1" applyFill="1" applyBorder="1" applyAlignment="1" applyProtection="1">
      <alignment vertical="center"/>
    </xf>
    <xf numFmtId="5" fontId="32" fillId="0" borderId="166" xfId="0" applyNumberFormat="1" applyFont="1" applyFill="1" applyBorder="1" applyAlignment="1" applyProtection="1">
      <alignment vertical="center"/>
    </xf>
    <xf numFmtId="5" fontId="29" fillId="0" borderId="166" xfId="0" applyNumberFormat="1" applyFont="1" applyFill="1" applyBorder="1" applyAlignment="1" applyProtection="1">
      <alignment vertical="center"/>
    </xf>
    <xf numFmtId="42" fontId="25" fillId="0" borderId="166" xfId="0" applyNumberFormat="1" applyFont="1" applyFill="1" applyBorder="1" applyAlignment="1" applyProtection="1">
      <alignment vertical="center"/>
    </xf>
    <xf numFmtId="0" fontId="28" fillId="0" borderId="172" xfId="0" applyFont="1" applyFill="1" applyBorder="1" applyAlignment="1" applyProtection="1"/>
    <xf numFmtId="5" fontId="32" fillId="10" borderId="228" xfId="0" applyNumberFormat="1" applyFont="1" applyFill="1" applyBorder="1" applyAlignment="1" applyProtection="1">
      <alignment vertical="center"/>
    </xf>
    <xf numFmtId="0" fontId="32" fillId="10" borderId="207" xfId="0" applyFont="1" applyFill="1" applyBorder="1" applyProtection="1"/>
    <xf numFmtId="42" fontId="25" fillId="18" borderId="231" xfId="0" applyNumberFormat="1" applyFont="1" applyFill="1" applyBorder="1" applyAlignment="1" applyProtection="1">
      <alignment vertical="center"/>
    </xf>
    <xf numFmtId="42" fontId="25" fillId="18" borderId="87" xfId="0" applyNumberFormat="1" applyFont="1" applyFill="1" applyBorder="1" applyAlignment="1" applyProtection="1">
      <alignment vertical="center"/>
    </xf>
    <xf numFmtId="42" fontId="25" fillId="18" borderId="126" xfId="0" applyNumberFormat="1" applyFont="1" applyFill="1" applyBorder="1" applyAlignment="1" applyProtection="1">
      <alignment vertical="center"/>
    </xf>
    <xf numFmtId="42" fontId="25" fillId="18" borderId="241" xfId="0" applyNumberFormat="1" applyFont="1" applyFill="1" applyBorder="1" applyAlignment="1" applyProtection="1">
      <alignment vertical="center"/>
    </xf>
    <xf numFmtId="42" fontId="25" fillId="18" borderId="123" xfId="0" applyNumberFormat="1" applyFont="1" applyFill="1" applyBorder="1" applyAlignment="1" applyProtection="1">
      <alignment vertical="center"/>
    </xf>
    <xf numFmtId="42" fontId="25" fillId="18" borderId="153" xfId="0" applyNumberFormat="1" applyFont="1" applyFill="1" applyBorder="1" applyAlignment="1" applyProtection="1">
      <alignment vertical="center"/>
    </xf>
    <xf numFmtId="42" fontId="25" fillId="18" borderId="211" xfId="0" applyNumberFormat="1" applyFont="1" applyFill="1" applyBorder="1" applyAlignment="1" applyProtection="1">
      <alignment vertical="center"/>
    </xf>
    <xf numFmtId="5" fontId="13" fillId="0" borderId="36"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44" fontId="25" fillId="0" borderId="0" xfId="0" applyNumberFormat="1" applyFont="1" applyFill="1" applyBorder="1" applyAlignment="1" applyProtection="1">
      <alignment vertical="center"/>
    </xf>
    <xf numFmtId="44" fontId="36" fillId="0" borderId="0" xfId="0" applyNumberFormat="1" applyFont="1" applyFill="1" applyBorder="1" applyAlignment="1" applyProtection="1">
      <alignment vertical="center"/>
    </xf>
    <xf numFmtId="44" fontId="25" fillId="0" borderId="36" xfId="0" applyNumberFormat="1" applyFont="1" applyFill="1" applyBorder="1" applyAlignment="1" applyProtection="1">
      <alignment vertical="center"/>
    </xf>
    <xf numFmtId="44" fontId="18" fillId="0" borderId="0" xfId="0" applyNumberFormat="1" applyFont="1" applyBorder="1" applyProtection="1"/>
    <xf numFmtId="0" fontId="13" fillId="5" borderId="0" xfId="0" applyFont="1" applyFill="1" applyBorder="1" applyAlignment="1" applyProtection="1">
      <alignment horizontal="center" wrapText="1"/>
    </xf>
    <xf numFmtId="44" fontId="25" fillId="6" borderId="82" xfId="0" applyNumberFormat="1" applyFont="1" applyFill="1" applyBorder="1" applyAlignment="1" applyProtection="1">
      <alignment vertical="center"/>
    </xf>
    <xf numFmtId="44" fontId="25" fillId="6" borderId="89"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7" fillId="0" borderId="0" xfId="0" applyFont="1" applyBorder="1" applyProtection="1"/>
    <xf numFmtId="3" fontId="27" fillId="0" borderId="0" xfId="0" applyNumberFormat="1" applyFont="1" applyFill="1" applyBorder="1" applyAlignment="1" applyProtection="1">
      <alignment vertical="center"/>
    </xf>
    <xf numFmtId="5" fontId="32" fillId="0" borderId="0" xfId="0" applyNumberFormat="1" applyFont="1" applyFill="1" applyBorder="1" applyAlignment="1" applyProtection="1">
      <alignment vertical="center"/>
    </xf>
    <xf numFmtId="5" fontId="29" fillId="0" borderId="0" xfId="0" applyNumberFormat="1" applyFont="1" applyFill="1" applyBorder="1" applyAlignment="1" applyProtection="1">
      <alignment vertical="center"/>
    </xf>
    <xf numFmtId="0" fontId="27" fillId="0" borderId="0" xfId="0" applyFont="1" applyBorder="1" applyAlignment="1" applyProtection="1">
      <alignment vertical="center"/>
    </xf>
    <xf numFmtId="0" fontId="27" fillId="0" borderId="0" xfId="0" applyFont="1" applyFill="1" applyBorder="1" applyAlignment="1" applyProtection="1">
      <alignment vertical="center"/>
    </xf>
    <xf numFmtId="0" fontId="27" fillId="0" borderId="0" xfId="0" applyNumberFormat="1" applyFont="1" applyFill="1" applyBorder="1" applyAlignment="1" applyProtection="1">
      <alignment vertical="center"/>
    </xf>
    <xf numFmtId="164"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vertical="center"/>
    </xf>
    <xf numFmtId="165"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center" vertical="center"/>
    </xf>
    <xf numFmtId="5" fontId="27" fillId="0" borderId="36" xfId="0" applyNumberFormat="1" applyFont="1" applyFill="1" applyBorder="1" applyAlignment="1" applyProtection="1">
      <alignment vertical="center"/>
    </xf>
    <xf numFmtId="5" fontId="29" fillId="0" borderId="36" xfId="0" applyNumberFormat="1" applyFont="1" applyFill="1" applyBorder="1" applyAlignment="1" applyProtection="1">
      <alignment vertical="center"/>
    </xf>
    <xf numFmtId="164" fontId="27" fillId="0" borderId="0" xfId="0" applyNumberFormat="1" applyFont="1" applyFill="1" applyBorder="1" applyAlignment="1" applyProtection="1">
      <alignment horizontal="center" vertical="center"/>
    </xf>
    <xf numFmtId="5" fontId="32" fillId="0" borderId="13" xfId="0" applyNumberFormat="1" applyFont="1" applyFill="1" applyBorder="1" applyProtection="1"/>
    <xf numFmtId="5" fontId="29" fillId="0" borderId="13" xfId="0" applyNumberFormat="1" applyFont="1" applyFill="1" applyBorder="1" applyProtection="1"/>
    <xf numFmtId="0" fontId="29" fillId="0" borderId="13" xfId="0" applyNumberFormat="1" applyFont="1" applyFill="1" applyBorder="1" applyProtection="1"/>
    <xf numFmtId="0" fontId="34" fillId="0" borderId="0" xfId="0" applyFont="1" applyFill="1" applyBorder="1" applyProtection="1"/>
    <xf numFmtId="5" fontId="30" fillId="0" borderId="0" xfId="0" applyNumberFormat="1" applyFont="1" applyFill="1" applyBorder="1" applyAlignment="1" applyProtection="1">
      <alignment horizontal="center" vertical="center" wrapText="1"/>
    </xf>
    <xf numFmtId="5" fontId="34"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164" fontId="34" fillId="0" borderId="0" xfId="0" applyNumberFormat="1" applyFont="1" applyFill="1" applyBorder="1" applyAlignment="1" applyProtection="1">
      <alignment vertical="center"/>
    </xf>
    <xf numFmtId="0" fontId="27" fillId="0" borderId="0" xfId="0" applyFont="1" applyFill="1" applyBorder="1" applyProtection="1"/>
    <xf numFmtId="5" fontId="31" fillId="0" borderId="0" xfId="0" applyNumberFormat="1" applyFont="1" applyFill="1" applyBorder="1" applyAlignment="1" applyProtection="1">
      <alignment vertical="center"/>
    </xf>
    <xf numFmtId="3" fontId="27" fillId="0" borderId="0" xfId="0" applyNumberFormat="1" applyFont="1" applyBorder="1" applyProtection="1"/>
    <xf numFmtId="5" fontId="27" fillId="0" borderId="0" xfId="0" applyNumberFormat="1" applyFont="1" applyFill="1" applyBorder="1" applyProtection="1"/>
    <xf numFmtId="3" fontId="27" fillId="0" borderId="0" xfId="0" applyNumberFormat="1" applyFont="1" applyFill="1" applyBorder="1" applyProtection="1"/>
    <xf numFmtId="42" fontId="18" fillId="0" borderId="0" xfId="0" applyNumberFormat="1" applyFont="1" applyFill="1" applyBorder="1" applyAlignment="1" applyProtection="1">
      <alignment vertical="center"/>
    </xf>
    <xf numFmtId="42" fontId="22" fillId="0" borderId="0" xfId="0" applyNumberFormat="1" applyFont="1" applyFill="1" applyBorder="1" applyAlignment="1" applyProtection="1">
      <alignment vertical="center"/>
    </xf>
    <xf numFmtId="42" fontId="21" fillId="0" borderId="0" xfId="0" applyNumberFormat="1" applyFont="1" applyBorder="1" applyAlignment="1" applyProtection="1">
      <alignment vertical="center"/>
    </xf>
    <xf numFmtId="42" fontId="18" fillId="0" borderId="0" xfId="0" applyNumberFormat="1" applyFont="1" applyBorder="1" applyProtection="1"/>
    <xf numFmtId="42" fontId="18" fillId="0" borderId="0" xfId="0" applyNumberFormat="1" applyFont="1" applyBorder="1" applyAlignment="1" applyProtection="1">
      <alignment vertical="center"/>
    </xf>
    <xf numFmtId="5" fontId="32" fillId="0" borderId="13" xfId="0" applyNumberFormat="1" applyFont="1" applyFill="1" applyBorder="1" applyAlignment="1" applyProtection="1">
      <alignment vertical="center"/>
    </xf>
    <xf numFmtId="5" fontId="29"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0" fontId="32" fillId="0" borderId="13" xfId="0" applyFont="1" applyBorder="1" applyAlignment="1" applyProtection="1">
      <alignment vertical="center"/>
    </xf>
    <xf numFmtId="0" fontId="27" fillId="0" borderId="0" xfId="0" applyFont="1" applyBorder="1" applyAlignment="1" applyProtection="1">
      <alignment horizontal="left" vertical="center"/>
    </xf>
    <xf numFmtId="0" fontId="27" fillId="0" borderId="0" xfId="0" applyFont="1" applyFill="1" applyBorder="1" applyAlignment="1" applyProtection="1">
      <alignment horizontal="left" vertical="center"/>
    </xf>
    <xf numFmtId="0" fontId="34" fillId="0" borderId="0" xfId="0" applyFont="1" applyFill="1" applyBorder="1" applyAlignment="1" applyProtection="1">
      <alignment horizontal="center" wrapText="1"/>
    </xf>
    <xf numFmtId="42" fontId="18" fillId="0" borderId="0" xfId="0" applyNumberFormat="1" applyFont="1" applyBorder="1" applyAlignment="1" applyProtection="1"/>
    <xf numFmtId="42" fontId="18" fillId="0" borderId="13" xfId="0" applyNumberFormat="1" applyFont="1" applyBorder="1" applyProtection="1"/>
    <xf numFmtId="5" fontId="35" fillId="0" borderId="0" xfId="0" applyNumberFormat="1" applyFont="1" applyFill="1" applyBorder="1" applyAlignment="1" applyProtection="1">
      <alignment horizontal="left" vertical="center"/>
    </xf>
    <xf numFmtId="0" fontId="35" fillId="0" borderId="0" xfId="0" applyFont="1" applyBorder="1" applyAlignment="1" applyProtection="1">
      <alignment horizontal="left" vertical="center"/>
    </xf>
    <xf numFmtId="0" fontId="35" fillId="0" borderId="0" xfId="0" applyFont="1" applyFill="1" applyBorder="1" applyAlignment="1" applyProtection="1">
      <alignment horizontal="left" vertical="center"/>
    </xf>
    <xf numFmtId="42" fontId="18" fillId="0" borderId="36" xfId="0" applyNumberFormat="1" applyFont="1" applyFill="1" applyBorder="1" applyAlignment="1" applyProtection="1">
      <alignment vertical="center"/>
    </xf>
    <xf numFmtId="42" fontId="18" fillId="0" borderId="122" xfId="0" applyNumberFormat="1" applyFont="1" applyFill="1" applyBorder="1" applyAlignment="1" applyProtection="1">
      <alignment vertical="center"/>
      <protection locked="0"/>
    </xf>
    <xf numFmtId="5" fontId="29"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left" vertical="center"/>
    </xf>
    <xf numFmtId="0" fontId="27" fillId="0" borderId="0" xfId="0" applyFont="1" applyBorder="1" applyAlignment="1" applyProtection="1">
      <alignment horizontal="left"/>
    </xf>
    <xf numFmtId="42" fontId="18" fillId="12" borderId="251" xfId="0" applyNumberFormat="1" applyFont="1" applyFill="1" applyBorder="1" applyAlignment="1" applyProtection="1">
      <alignment vertical="center"/>
    </xf>
    <xf numFmtId="42" fontId="18" fillId="12" borderId="18" xfId="0" applyNumberFormat="1" applyFont="1" applyFill="1" applyBorder="1" applyAlignment="1" applyProtection="1">
      <alignment vertical="center"/>
    </xf>
    <xf numFmtId="42" fontId="18" fillId="6" borderId="225" xfId="0" applyNumberFormat="1" applyFont="1" applyFill="1" applyBorder="1" applyAlignment="1" applyProtection="1">
      <alignment vertical="center"/>
    </xf>
    <xf numFmtId="42" fontId="18" fillId="0" borderId="239" xfId="0" applyNumberFormat="1" applyFont="1" applyFill="1" applyBorder="1" applyAlignment="1" applyProtection="1">
      <alignment vertical="center"/>
      <protection locked="0"/>
    </xf>
    <xf numFmtId="42" fontId="18" fillId="6" borderId="82" xfId="0" applyNumberFormat="1" applyFont="1" applyFill="1" applyBorder="1" applyAlignment="1" applyProtection="1">
      <alignment vertical="center"/>
    </xf>
    <xf numFmtId="42" fontId="18" fillId="6" borderId="247" xfId="0" applyNumberFormat="1" applyFont="1" applyFill="1" applyBorder="1" applyAlignment="1" applyProtection="1">
      <alignment vertical="center"/>
    </xf>
    <xf numFmtId="42" fontId="18" fillId="12" borderId="23" xfId="0" applyNumberFormat="1" applyFont="1" applyFill="1" applyBorder="1" applyAlignment="1" applyProtection="1">
      <alignment vertical="center"/>
    </xf>
    <xf numFmtId="42" fontId="18" fillId="0" borderId="245" xfId="0" applyNumberFormat="1" applyFont="1" applyFill="1" applyBorder="1" applyAlignment="1" applyProtection="1">
      <alignment vertical="center"/>
      <protection locked="0"/>
    </xf>
    <xf numFmtId="42" fontId="18" fillId="0" borderId="68" xfId="0" applyNumberFormat="1" applyFont="1" applyFill="1" applyBorder="1" applyAlignment="1" applyProtection="1">
      <alignment vertical="center"/>
      <protection locked="0"/>
    </xf>
    <xf numFmtId="42" fontId="18" fillId="12" borderId="152" xfId="0" applyNumberFormat="1" applyFont="1" applyFill="1" applyBorder="1" applyAlignment="1" applyProtection="1">
      <alignment vertical="center"/>
    </xf>
    <xf numFmtId="42" fontId="18" fillId="0" borderId="233" xfId="0" applyNumberFormat="1" applyFont="1" applyFill="1" applyBorder="1" applyAlignment="1" applyProtection="1">
      <alignment vertical="center"/>
      <protection locked="0"/>
    </xf>
    <xf numFmtId="42" fontId="18" fillId="12" borderId="250" xfId="0" applyNumberFormat="1" applyFont="1" applyFill="1" applyBorder="1" applyAlignment="1" applyProtection="1">
      <alignment vertical="center"/>
    </xf>
    <xf numFmtId="42" fontId="30" fillId="17" borderId="247" xfId="0" applyNumberFormat="1" applyFont="1" applyFill="1" applyBorder="1" applyAlignment="1" applyProtection="1">
      <alignment vertical="center"/>
    </xf>
    <xf numFmtId="42" fontId="34" fillId="17" borderId="224" xfId="0" applyNumberFormat="1" applyFont="1" applyFill="1" applyBorder="1" applyAlignment="1" applyProtection="1">
      <alignment vertical="center"/>
    </xf>
    <xf numFmtId="42" fontId="18" fillId="20" borderId="239" xfId="0" applyNumberFormat="1" applyFont="1" applyFill="1" applyBorder="1" applyAlignment="1" applyProtection="1">
      <alignment vertical="center"/>
    </xf>
    <xf numFmtId="42" fontId="18" fillId="19" borderId="244" xfId="0" applyNumberFormat="1" applyFont="1" applyFill="1" applyBorder="1" applyAlignment="1" applyProtection="1">
      <alignment vertical="center"/>
    </xf>
    <xf numFmtId="42" fontId="18" fillId="19" borderId="146" xfId="0" applyNumberFormat="1" applyFont="1" applyFill="1" applyBorder="1" applyAlignment="1" applyProtection="1">
      <alignment vertical="center"/>
    </xf>
    <xf numFmtId="42" fontId="18" fillId="19" borderId="88" xfId="0" applyNumberFormat="1" applyFont="1" applyFill="1" applyBorder="1" applyAlignment="1" applyProtection="1">
      <alignment vertical="center"/>
    </xf>
    <xf numFmtId="42" fontId="18" fillId="19" borderId="239" xfId="0" applyNumberFormat="1" applyFont="1" applyFill="1" applyBorder="1" applyAlignment="1" applyProtection="1">
      <alignment vertical="center"/>
    </xf>
    <xf numFmtId="42" fontId="18" fillId="19" borderId="232" xfId="0" applyNumberFormat="1" applyFont="1" applyFill="1" applyBorder="1" applyAlignment="1" applyProtection="1">
      <alignment vertical="center"/>
    </xf>
    <xf numFmtId="42" fontId="18" fillId="19" borderId="234" xfId="0" applyNumberFormat="1" applyFont="1" applyFill="1" applyBorder="1" applyAlignment="1" applyProtection="1">
      <alignment vertical="center"/>
    </xf>
    <xf numFmtId="42" fontId="18" fillId="19" borderId="228" xfId="0" applyNumberFormat="1" applyFont="1" applyFill="1" applyBorder="1" applyAlignment="1" applyProtection="1">
      <alignment vertical="center"/>
    </xf>
    <xf numFmtId="42" fontId="18" fillId="19" borderId="25" xfId="0" applyNumberFormat="1" applyFont="1" applyFill="1" applyBorder="1" applyAlignment="1" applyProtection="1">
      <alignment vertical="center"/>
    </xf>
    <xf numFmtId="42" fontId="18" fillId="19" borderId="3" xfId="0" applyNumberFormat="1" applyFont="1" applyFill="1" applyBorder="1" applyAlignment="1" applyProtection="1">
      <alignment vertical="center"/>
    </xf>
    <xf numFmtId="42" fontId="18" fillId="19" borderId="120" xfId="0" applyNumberFormat="1" applyFont="1" applyFill="1" applyBorder="1" applyAlignment="1" applyProtection="1">
      <alignment vertical="center"/>
    </xf>
    <xf numFmtId="42" fontId="18" fillId="19" borderId="100" xfId="0" applyNumberFormat="1" applyFont="1" applyFill="1" applyBorder="1" applyAlignment="1" applyProtection="1">
      <alignment vertical="center"/>
    </xf>
    <xf numFmtId="42" fontId="18" fillId="6" borderId="12" xfId="0" applyNumberFormat="1" applyFont="1" applyFill="1" applyBorder="1" applyAlignment="1" applyProtection="1">
      <alignment vertical="center"/>
    </xf>
    <xf numFmtId="42" fontId="18" fillId="6" borderId="137" xfId="0" applyNumberFormat="1" applyFont="1" applyFill="1" applyBorder="1" applyAlignment="1" applyProtection="1">
      <alignment vertical="center"/>
    </xf>
    <xf numFmtId="42" fontId="18" fillId="0" borderId="136" xfId="0" applyNumberFormat="1" applyFont="1" applyFill="1" applyBorder="1" applyAlignment="1" applyProtection="1">
      <alignment vertical="center" wrapText="1"/>
      <protection locked="0"/>
    </xf>
    <xf numFmtId="42" fontId="18" fillId="19" borderId="11" xfId="0" applyNumberFormat="1" applyFont="1" applyFill="1" applyBorder="1" applyAlignment="1" applyProtection="1">
      <alignment vertical="center"/>
    </xf>
    <xf numFmtId="42" fontId="18" fillId="0" borderId="136" xfId="0" applyNumberFormat="1" applyFont="1" applyFill="1" applyBorder="1" applyAlignment="1" applyProtection="1">
      <alignment vertical="center"/>
      <protection locked="0"/>
    </xf>
    <xf numFmtId="42" fontId="18" fillId="0" borderId="138" xfId="0" applyNumberFormat="1" applyFont="1" applyBorder="1" applyAlignment="1" applyProtection="1">
      <alignment vertical="center" wrapText="1"/>
      <protection locked="0"/>
    </xf>
    <xf numFmtId="42" fontId="18" fillId="19" borderId="16" xfId="0" applyNumberFormat="1" applyFont="1" applyFill="1" applyBorder="1" applyAlignment="1" applyProtection="1">
      <alignment vertical="center"/>
    </xf>
    <xf numFmtId="42" fontId="18" fillId="19" borderId="29" xfId="0" applyNumberFormat="1" applyFont="1" applyFill="1" applyBorder="1" applyAlignment="1" applyProtection="1">
      <alignment vertical="center"/>
    </xf>
    <xf numFmtId="42" fontId="18" fillId="19" borderId="136" xfId="0" applyNumberFormat="1" applyFont="1" applyFill="1" applyBorder="1" applyAlignment="1" applyProtection="1">
      <alignment vertical="center"/>
    </xf>
    <xf numFmtId="42" fontId="18" fillId="19" borderId="160" xfId="0" applyNumberFormat="1" applyFont="1" applyFill="1" applyBorder="1" applyAlignment="1" applyProtection="1">
      <alignment vertical="center"/>
    </xf>
    <xf numFmtId="5" fontId="32" fillId="0" borderId="128" xfId="0" applyNumberFormat="1" applyFont="1" applyFill="1" applyBorder="1" applyAlignment="1" applyProtection="1">
      <alignment vertical="center"/>
    </xf>
    <xf numFmtId="5" fontId="29" fillId="0" borderId="128" xfId="0" applyNumberFormat="1" applyFont="1" applyFill="1" applyBorder="1" applyAlignment="1" applyProtection="1">
      <alignment vertical="center"/>
    </xf>
    <xf numFmtId="5" fontId="27" fillId="0" borderId="128" xfId="0" applyNumberFormat="1" applyFont="1" applyFill="1" applyBorder="1" applyAlignment="1" applyProtection="1">
      <alignment vertical="center"/>
    </xf>
    <xf numFmtId="42" fontId="18" fillId="0" borderId="128" xfId="0" applyNumberFormat="1" applyFont="1" applyFill="1" applyBorder="1" applyAlignment="1" applyProtection="1">
      <alignment vertical="center"/>
    </xf>
    <xf numFmtId="5" fontId="27" fillId="5" borderId="36" xfId="0" applyNumberFormat="1" applyFont="1" applyFill="1" applyBorder="1" applyAlignment="1" applyProtection="1">
      <alignment vertical="center"/>
    </xf>
    <xf numFmtId="3" fontId="27" fillId="5" borderId="36" xfId="0" applyNumberFormat="1" applyFont="1" applyFill="1" applyBorder="1" applyAlignment="1" applyProtection="1">
      <alignment vertical="center"/>
    </xf>
    <xf numFmtId="42" fontId="18" fillId="5" borderId="36" xfId="0" applyNumberFormat="1" applyFont="1" applyFill="1" applyBorder="1" applyAlignment="1" applyProtection="1">
      <alignment vertical="center"/>
    </xf>
    <xf numFmtId="42" fontId="18" fillId="14" borderId="36" xfId="0" applyNumberFormat="1" applyFont="1" applyFill="1" applyBorder="1" applyAlignment="1" applyProtection="1">
      <alignment vertical="center"/>
    </xf>
    <xf numFmtId="5" fontId="32" fillId="0" borderId="36" xfId="0" applyNumberFormat="1" applyFont="1" applyFill="1" applyBorder="1" applyAlignment="1" applyProtection="1">
      <alignment vertical="center"/>
    </xf>
    <xf numFmtId="42" fontId="18" fillId="19" borderId="122" xfId="0" applyNumberFormat="1" applyFont="1" applyFill="1" applyBorder="1" applyAlignment="1" applyProtection="1">
      <alignment vertical="center"/>
    </xf>
    <xf numFmtId="42" fontId="18" fillId="19" borderId="221" xfId="0" applyNumberFormat="1" applyFont="1" applyFill="1" applyBorder="1" applyAlignment="1" applyProtection="1">
      <alignment vertical="center"/>
    </xf>
    <xf numFmtId="0" fontId="3" fillId="3" borderId="102" xfId="0" applyFont="1" applyFill="1" applyBorder="1" applyAlignment="1" applyProtection="1">
      <protection locked="0"/>
    </xf>
    <xf numFmtId="44" fontId="3" fillId="3" borderId="82" xfId="0" applyNumberFormat="1" applyFont="1" applyFill="1" applyBorder="1" applyAlignment="1" applyProtection="1">
      <protection locked="0"/>
    </xf>
    <xf numFmtId="0" fontId="21" fillId="0" borderId="13" xfId="0" applyFont="1" applyBorder="1" applyProtection="1"/>
    <xf numFmtId="0" fontId="18" fillId="0" borderId="0" xfId="0" applyFont="1" applyBorder="1" applyProtection="1"/>
    <xf numFmtId="5" fontId="40" fillId="0" borderId="0" xfId="0" applyNumberFormat="1" applyFont="1" applyFill="1" applyBorder="1" applyProtection="1"/>
    <xf numFmtId="5" fontId="18" fillId="0" borderId="0" xfId="0" applyNumberFormat="1" applyFont="1" applyFill="1" applyBorder="1" applyProtection="1"/>
    <xf numFmtId="0" fontId="36" fillId="0" borderId="0" xfId="0" applyFont="1" applyBorder="1" applyProtection="1"/>
    <xf numFmtId="0" fontId="25" fillId="0" borderId="0" xfId="0" applyFont="1" applyBorder="1" applyProtection="1"/>
    <xf numFmtId="0" fontId="22" fillId="0" borderId="0" xfId="0" applyFont="1" applyBorder="1" applyProtection="1"/>
    <xf numFmtId="0" fontId="46" fillId="0" borderId="0" xfId="0" applyFont="1" applyBorder="1" applyProtection="1"/>
    <xf numFmtId="5" fontId="43" fillId="6" borderId="258" xfId="0" applyNumberFormat="1" applyFont="1" applyFill="1" applyBorder="1" applyProtection="1"/>
    <xf numFmtId="5" fontId="43" fillId="0" borderId="0" xfId="0" applyNumberFormat="1" applyFont="1" applyFill="1" applyBorder="1" applyProtection="1"/>
    <xf numFmtId="5" fontId="43" fillId="0" borderId="0" xfId="0" applyNumberFormat="1" applyFont="1" applyBorder="1" applyProtection="1"/>
    <xf numFmtId="5" fontId="43" fillId="6" borderId="256" xfId="0" applyNumberFormat="1" applyFont="1" applyFill="1" applyBorder="1" applyProtection="1"/>
    <xf numFmtId="0" fontId="48" fillId="0" borderId="0" xfId="0" applyFont="1" applyBorder="1" applyProtection="1"/>
    <xf numFmtId="5" fontId="21" fillId="0" borderId="0" xfId="0" applyNumberFormat="1" applyFont="1" applyFill="1" applyBorder="1" applyProtection="1"/>
    <xf numFmtId="5" fontId="48" fillId="6" borderId="258" xfId="0" applyNumberFormat="1" applyFont="1" applyFill="1" applyBorder="1" applyAlignment="1" applyProtection="1">
      <alignment horizontal="right"/>
    </xf>
    <xf numFmtId="5" fontId="36" fillId="0" borderId="0" xfId="0" applyNumberFormat="1" applyFont="1" applyFill="1" applyBorder="1" applyProtection="1"/>
    <xf numFmtId="5" fontId="48" fillId="0" borderId="269" xfId="0" applyNumberFormat="1" applyFont="1" applyFill="1" applyBorder="1" applyProtection="1"/>
    <xf numFmtId="5" fontId="48" fillId="0" borderId="87" xfId="0" applyNumberFormat="1" applyFont="1" applyFill="1" applyBorder="1" applyProtection="1"/>
    <xf numFmtId="0" fontId="48" fillId="0" borderId="87" xfId="0" applyFont="1" applyBorder="1" applyProtection="1"/>
    <xf numFmtId="5" fontId="43" fillId="6" borderId="286" xfId="0" applyNumberFormat="1" applyFont="1" applyFill="1" applyBorder="1" applyProtection="1"/>
    <xf numFmtId="5" fontId="43" fillId="6" borderId="164" xfId="0" applyNumberFormat="1" applyFont="1" applyFill="1" applyBorder="1" applyProtection="1"/>
    <xf numFmtId="5" fontId="43" fillId="6" borderId="163" xfId="0" applyNumberFormat="1" applyFont="1" applyFill="1" applyBorder="1" applyProtection="1"/>
    <xf numFmtId="5" fontId="43" fillId="6" borderId="287" xfId="0" applyNumberFormat="1" applyFont="1" applyFill="1" applyBorder="1" applyProtection="1"/>
    <xf numFmtId="5" fontId="43" fillId="6" borderId="285" xfId="0" applyNumberFormat="1" applyFont="1" applyFill="1" applyBorder="1" applyProtection="1"/>
    <xf numFmtId="5" fontId="43" fillId="6" borderId="282" xfId="0" applyNumberFormat="1" applyFont="1" applyFill="1" applyBorder="1" applyProtection="1"/>
    <xf numFmtId="5" fontId="22" fillId="17" borderId="131" xfId="0" applyNumberFormat="1" applyFont="1" applyFill="1" applyBorder="1" applyAlignment="1" applyProtection="1">
      <alignment horizontal="center"/>
    </xf>
    <xf numFmtId="5" fontId="22" fillId="17" borderId="74" xfId="0" applyNumberFormat="1" applyFont="1" applyFill="1" applyBorder="1" applyAlignment="1" applyProtection="1">
      <alignment horizontal="center"/>
    </xf>
    <xf numFmtId="5" fontId="22" fillId="17" borderId="272" xfId="0" applyNumberFormat="1" applyFont="1" applyFill="1" applyBorder="1" applyAlignment="1" applyProtection="1">
      <alignment horizontal="center"/>
    </xf>
    <xf numFmtId="5" fontId="22" fillId="17" borderId="267" xfId="0" applyNumberFormat="1" applyFont="1" applyFill="1" applyBorder="1" applyAlignment="1" applyProtection="1">
      <alignment horizontal="center"/>
    </xf>
    <xf numFmtId="5" fontId="22" fillId="17" borderId="294" xfId="0" applyNumberFormat="1" applyFont="1" applyFill="1" applyBorder="1" applyAlignment="1" applyProtection="1">
      <alignment horizontal="center"/>
    </xf>
    <xf numFmtId="166" fontId="19" fillId="17" borderId="252" xfId="0" applyNumberFormat="1" applyFont="1" applyFill="1" applyBorder="1" applyAlignment="1" applyProtection="1">
      <alignment horizontal="right"/>
    </xf>
    <xf numFmtId="166" fontId="19" fillId="17" borderId="252" xfId="0" applyNumberFormat="1" applyFont="1" applyFill="1" applyBorder="1" applyProtection="1"/>
    <xf numFmtId="9" fontId="18" fillId="0" borderId="48" xfId="0" applyNumberFormat="1" applyFont="1" applyFill="1" applyBorder="1" applyAlignment="1" applyProtection="1">
      <alignment horizontal="right" wrapText="1"/>
      <protection locked="0"/>
    </xf>
    <xf numFmtId="9" fontId="18" fillId="0" borderId="52" xfId="0" applyNumberFormat="1" applyFont="1" applyFill="1" applyBorder="1" applyAlignment="1" applyProtection="1">
      <alignment horizontal="right" wrapText="1"/>
      <protection locked="0"/>
    </xf>
    <xf numFmtId="166" fontId="19" fillId="6" borderId="148" xfId="0" applyNumberFormat="1" applyFont="1" applyFill="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442" xfId="0" applyNumberFormat="1" applyFont="1" applyFill="1" applyBorder="1" applyAlignment="1" applyProtection="1"/>
    <xf numFmtId="0" fontId="11" fillId="17" borderId="445" xfId="0" applyFont="1" applyFill="1" applyBorder="1" applyAlignment="1" applyProtection="1">
      <alignment vertical="center" wrapText="1"/>
    </xf>
    <xf numFmtId="0" fontId="6" fillId="17" borderId="445" xfId="0" applyFont="1" applyFill="1" applyBorder="1" applyAlignment="1" applyProtection="1">
      <alignment vertical="center" wrapText="1"/>
    </xf>
    <xf numFmtId="0" fontId="11" fillId="17" borderId="446" xfId="0" applyFont="1" applyFill="1" applyBorder="1" applyAlignment="1" applyProtection="1">
      <alignment vertical="center" wrapText="1"/>
    </xf>
    <xf numFmtId="0" fontId="17" fillId="0" borderId="0" xfId="0" applyNumberFormat="1" applyFont="1" applyFill="1" applyBorder="1" applyAlignment="1" applyProtection="1"/>
    <xf numFmtId="0" fontId="3" fillId="0" borderId="161" xfId="0" applyFont="1" applyBorder="1" applyAlignment="1" applyProtection="1">
      <alignment vertical="center" wrapText="1"/>
      <protection locked="0"/>
    </xf>
    <xf numFmtId="0" fontId="11" fillId="17" borderId="255" xfId="0" applyFont="1" applyFill="1" applyBorder="1" applyAlignment="1" applyProtection="1">
      <alignment vertical="center" wrapText="1"/>
    </xf>
    <xf numFmtId="0" fontId="6" fillId="17" borderId="255" xfId="0" applyFont="1" applyFill="1" applyBorder="1" applyAlignment="1" applyProtection="1">
      <alignment vertical="center" wrapText="1"/>
    </xf>
    <xf numFmtId="0" fontId="11" fillId="17" borderId="256" xfId="0" applyFont="1" applyFill="1" applyBorder="1" applyAlignment="1" applyProtection="1">
      <alignment vertical="center" wrapText="1"/>
    </xf>
    <xf numFmtId="0" fontId="19" fillId="0" borderId="0" xfId="0" applyFont="1" applyFill="1" applyBorder="1" applyProtection="1"/>
    <xf numFmtId="0" fontId="27" fillId="0" borderId="0" xfId="0" applyFont="1" applyFill="1" applyBorder="1" applyAlignment="1" applyProtection="1"/>
    <xf numFmtId="0" fontId="27" fillId="0" borderId="438" xfId="0" applyFont="1" applyBorder="1" applyAlignment="1" applyProtection="1"/>
    <xf numFmtId="0" fontId="27" fillId="0" borderId="439" xfId="0" applyFont="1" applyBorder="1" applyAlignment="1" applyProtection="1"/>
    <xf numFmtId="0" fontId="27" fillId="0" borderId="0" xfId="0" applyFont="1" applyBorder="1" applyAlignment="1" applyProtection="1"/>
    <xf numFmtId="0" fontId="27" fillId="0" borderId="3" xfId="0" applyFont="1" applyBorder="1" applyAlignment="1" applyProtection="1"/>
    <xf numFmtId="5" fontId="27" fillId="0" borderId="438" xfId="0" applyNumberFormat="1" applyFont="1" applyFill="1" applyBorder="1" applyAlignment="1" applyProtection="1">
      <alignment vertical="center"/>
    </xf>
    <xf numFmtId="0" fontId="27" fillId="0" borderId="438" xfId="0" applyFont="1" applyFill="1" applyBorder="1" applyAlignment="1" applyProtection="1">
      <alignment vertical="center"/>
    </xf>
    <xf numFmtId="5" fontId="32" fillId="10" borderId="432" xfId="0" applyNumberFormat="1" applyFont="1" applyFill="1" applyBorder="1" applyAlignment="1" applyProtection="1">
      <alignment vertical="center"/>
    </xf>
    <xf numFmtId="5" fontId="32" fillId="10" borderId="438" xfId="0" applyNumberFormat="1" applyFont="1" applyFill="1" applyBorder="1" applyAlignment="1" applyProtection="1">
      <alignment vertical="center"/>
    </xf>
    <xf numFmtId="0" fontId="32" fillId="10" borderId="12" xfId="0" applyFont="1" applyFill="1" applyBorder="1" applyAlignment="1" applyProtection="1"/>
    <xf numFmtId="0" fontId="32" fillId="10" borderId="13" xfId="0" applyFont="1" applyFill="1" applyBorder="1" applyAlignment="1" applyProtection="1"/>
    <xf numFmtId="0" fontId="35" fillId="0" borderId="0" xfId="0" applyFont="1" applyBorder="1" applyAlignment="1" applyProtection="1">
      <alignment vertical="center"/>
    </xf>
    <xf numFmtId="0" fontId="27" fillId="6" borderId="6" xfId="0" applyFont="1" applyFill="1" applyBorder="1" applyAlignment="1" applyProtection="1"/>
    <xf numFmtId="0" fontId="19" fillId="0" borderId="0" xfId="0" applyFont="1" applyBorder="1" applyProtection="1"/>
    <xf numFmtId="44" fontId="18" fillId="0" borderId="0" xfId="0" applyNumberFormat="1" applyFont="1" applyFill="1" applyBorder="1" applyProtection="1"/>
    <xf numFmtId="5" fontId="10" fillId="7" borderId="115" xfId="0" applyNumberFormat="1" applyFont="1" applyFill="1" applyBorder="1" applyAlignment="1" applyProtection="1">
      <alignment horizontal="center" vertical="center" wrapText="1"/>
    </xf>
    <xf numFmtId="0" fontId="56" fillId="0" borderId="0" xfId="0" applyFont="1" applyBorder="1" applyProtection="1"/>
    <xf numFmtId="0" fontId="58" fillId="0" borderId="0" xfId="0" applyFont="1" applyBorder="1" applyAlignment="1" applyProtection="1"/>
    <xf numFmtId="0" fontId="58" fillId="0" borderId="0" xfId="0" applyFont="1" applyBorder="1" applyProtection="1"/>
    <xf numFmtId="6" fontId="58" fillId="0" borderId="0" xfId="0" applyNumberFormat="1" applyFont="1" applyBorder="1" applyProtection="1"/>
    <xf numFmtId="6" fontId="59" fillId="17" borderId="254" xfId="0" applyNumberFormat="1" applyFont="1" applyFill="1" applyBorder="1" applyAlignment="1" applyProtection="1">
      <alignment horizontal="center"/>
    </xf>
    <xf numFmtId="0" fontId="59" fillId="17" borderId="253" xfId="0" applyFont="1" applyFill="1" applyBorder="1" applyAlignment="1" applyProtection="1">
      <alignment horizontal="center" vertical="center" wrapText="1"/>
    </xf>
    <xf numFmtId="0" fontId="60" fillId="0" borderId="13" xfId="0" applyFont="1" applyFill="1" applyBorder="1" applyProtection="1"/>
    <xf numFmtId="0" fontId="58" fillId="0" borderId="13" xfId="0" applyFont="1" applyFill="1" applyBorder="1" applyAlignment="1" applyProtection="1"/>
    <xf numFmtId="0" fontId="59" fillId="0" borderId="0" xfId="0" applyFont="1" applyBorder="1" applyAlignment="1" applyProtection="1"/>
    <xf numFmtId="42" fontId="58" fillId="6" borderId="177" xfId="0" applyNumberFormat="1" applyFont="1" applyFill="1" applyBorder="1" applyProtection="1"/>
    <xf numFmtId="42" fontId="58" fillId="6" borderId="178" xfId="0" applyNumberFormat="1" applyFont="1" applyFill="1" applyBorder="1" applyProtection="1"/>
    <xf numFmtId="0" fontId="58" fillId="0" borderId="6" xfId="0" applyFont="1" applyBorder="1" applyAlignment="1" applyProtection="1"/>
    <xf numFmtId="42" fontId="58" fillId="6" borderId="175" xfId="0" applyNumberFormat="1" applyFont="1" applyFill="1" applyBorder="1" applyProtection="1"/>
    <xf numFmtId="42" fontId="58" fillId="6" borderId="176" xfId="0" applyNumberFormat="1" applyFont="1" applyFill="1" applyBorder="1" applyProtection="1"/>
    <xf numFmtId="42" fontId="58" fillId="6" borderId="274" xfId="0" applyNumberFormat="1" applyFont="1" applyFill="1" applyBorder="1" applyProtection="1"/>
    <xf numFmtId="42" fontId="58" fillId="6" borderId="276" xfId="0" applyNumberFormat="1" applyFont="1" applyFill="1" applyBorder="1" applyProtection="1"/>
    <xf numFmtId="0" fontId="58" fillId="0" borderId="6" xfId="0" applyFont="1" applyBorder="1" applyProtection="1"/>
    <xf numFmtId="0" fontId="59" fillId="0" borderId="0" xfId="0" applyFont="1" applyBorder="1" applyProtection="1"/>
    <xf numFmtId="42" fontId="58" fillId="6" borderId="173" xfId="0" applyNumberFormat="1" applyFont="1" applyFill="1" applyBorder="1" applyProtection="1"/>
    <xf numFmtId="42" fontId="58" fillId="6" borderId="151" xfId="0" applyNumberFormat="1" applyFont="1" applyFill="1" applyBorder="1" applyProtection="1"/>
    <xf numFmtId="42" fontId="59" fillId="6" borderId="258" xfId="0" applyNumberFormat="1" applyFont="1" applyFill="1" applyBorder="1" applyProtection="1"/>
    <xf numFmtId="0" fontId="60" fillId="0" borderId="13" xfId="0" applyFont="1" applyBorder="1" applyProtection="1"/>
    <xf numFmtId="0" fontId="58" fillId="0" borderId="13" xfId="0" applyFont="1" applyBorder="1" applyAlignment="1" applyProtection="1"/>
    <xf numFmtId="0" fontId="58" fillId="0" borderId="13" xfId="0" applyFont="1" applyBorder="1" applyProtection="1"/>
    <xf numFmtId="6" fontId="58" fillId="0" borderId="13" xfId="0" applyNumberFormat="1" applyFont="1" applyBorder="1" applyProtection="1"/>
    <xf numFmtId="42" fontId="58" fillId="6" borderId="268" xfId="0" applyNumberFormat="1" applyFont="1" applyFill="1" applyBorder="1" applyProtection="1"/>
    <xf numFmtId="6" fontId="58" fillId="0" borderId="44" xfId="0" applyNumberFormat="1" applyFont="1" applyBorder="1" applyProtection="1"/>
    <xf numFmtId="42" fontId="58" fillId="6" borderId="174" xfId="0" applyNumberFormat="1" applyFont="1" applyFill="1" applyBorder="1" applyProtection="1"/>
    <xf numFmtId="42" fontId="58" fillId="6" borderId="5" xfId="0" applyNumberFormat="1" applyFont="1" applyFill="1" applyBorder="1" applyProtection="1"/>
    <xf numFmtId="42" fontId="58" fillId="6" borderId="286" xfId="0" applyNumberFormat="1" applyFont="1" applyFill="1" applyBorder="1" applyProtection="1"/>
    <xf numFmtId="0" fontId="58" fillId="0" borderId="6" xfId="0" applyFont="1" applyFill="1" applyBorder="1" applyAlignment="1" applyProtection="1"/>
    <xf numFmtId="0" fontId="59" fillId="0" borderId="0" xfId="0" applyFont="1" applyFill="1" applyBorder="1" applyAlignment="1" applyProtection="1"/>
    <xf numFmtId="42" fontId="59" fillId="6" borderId="5" xfId="0" applyNumberFormat="1" applyFont="1" applyFill="1" applyBorder="1" applyProtection="1"/>
    <xf numFmtId="8" fontId="58" fillId="0" borderId="44" xfId="0" applyNumberFormat="1" applyFont="1" applyBorder="1" applyProtection="1"/>
    <xf numFmtId="0" fontId="56" fillId="17" borderId="254" xfId="0" applyFont="1" applyFill="1" applyBorder="1" applyProtection="1"/>
    <xf numFmtId="0" fontId="59" fillId="17" borderId="252" xfId="0" applyFont="1" applyFill="1" applyBorder="1" applyProtection="1"/>
    <xf numFmtId="42" fontId="58" fillId="6" borderId="148" xfId="0" applyNumberFormat="1" applyFont="1" applyFill="1" applyBorder="1" applyProtection="1"/>
    <xf numFmtId="44" fontId="18" fillId="0" borderId="279" xfId="0" applyNumberFormat="1" applyFont="1" applyFill="1" applyBorder="1" applyAlignment="1" applyProtection="1">
      <protection locked="0"/>
    </xf>
    <xf numFmtId="44" fontId="18" fillId="0" borderId="82" xfId="0" applyNumberFormat="1" applyFont="1" applyFill="1" applyBorder="1" applyAlignment="1" applyProtection="1">
      <alignment vertical="center"/>
      <protection locked="0"/>
    </xf>
    <xf numFmtId="44" fontId="18" fillId="0" borderId="102" xfId="0" applyNumberFormat="1" applyFont="1" applyFill="1" applyBorder="1" applyAlignment="1" applyProtection="1">
      <protection locked="0"/>
    </xf>
    <xf numFmtId="9" fontId="18" fillId="0" borderId="82" xfId="0" applyNumberFormat="1" applyFont="1" applyFill="1" applyBorder="1" applyAlignment="1" applyProtection="1">
      <protection locked="0"/>
    </xf>
    <xf numFmtId="1" fontId="18" fillId="0" borderId="102" xfId="0" applyNumberFormat="1" applyFont="1" applyFill="1" applyBorder="1" applyAlignment="1" applyProtection="1">
      <protection locked="0"/>
    </xf>
    <xf numFmtId="44" fontId="18" fillId="0" borderId="89" xfId="0" applyNumberFormat="1" applyFont="1" applyFill="1" applyBorder="1" applyAlignment="1" applyProtection="1">
      <alignment vertical="center"/>
      <protection locked="0"/>
    </xf>
    <xf numFmtId="44" fontId="18" fillId="0" borderId="117" xfId="0" applyNumberFormat="1" applyFont="1" applyFill="1" applyBorder="1" applyAlignment="1" applyProtection="1">
      <protection locked="0"/>
    </xf>
    <xf numFmtId="9" fontId="18" fillId="0" borderId="89" xfId="0" applyNumberFormat="1" applyFont="1" applyFill="1" applyBorder="1" applyAlignment="1" applyProtection="1">
      <protection locked="0"/>
    </xf>
    <xf numFmtId="1" fontId="18" fillId="0" borderId="117" xfId="0" applyNumberFormat="1" applyFont="1" applyFill="1" applyBorder="1" applyAlignment="1" applyProtection="1">
      <protection locked="0"/>
    </xf>
    <xf numFmtId="166" fontId="18" fillId="0" borderId="0" xfId="0" applyNumberFormat="1" applyFont="1" applyFill="1" applyBorder="1" applyAlignment="1" applyProtection="1">
      <alignment horizontal="left"/>
    </xf>
    <xf numFmtId="0" fontId="43" fillId="0" borderId="0" xfId="0" applyFont="1" applyFill="1" applyBorder="1" applyAlignment="1" applyProtection="1"/>
    <xf numFmtId="0" fontId="18" fillId="0" borderId="284" xfId="0" applyFont="1" applyFill="1" applyBorder="1" applyAlignment="1" applyProtection="1">
      <protection locked="0"/>
    </xf>
    <xf numFmtId="0" fontId="18" fillId="0" borderId="141" xfId="0" applyFont="1" applyFill="1" applyBorder="1" applyAlignment="1" applyProtection="1">
      <protection locked="0"/>
    </xf>
    <xf numFmtId="0" fontId="18" fillId="0" borderId="142" xfId="0" applyFont="1" applyFill="1" applyBorder="1" applyAlignment="1" applyProtection="1">
      <protection locked="0"/>
    </xf>
    <xf numFmtId="44" fontId="18" fillId="0" borderId="264" xfId="0" applyNumberFormat="1" applyFont="1" applyFill="1" applyBorder="1" applyAlignment="1" applyProtection="1">
      <protection locked="0"/>
    </xf>
    <xf numFmtId="0" fontId="18" fillId="0" borderId="283" xfId="0" applyFont="1" applyFill="1" applyBorder="1" applyAlignment="1" applyProtection="1">
      <protection locked="0"/>
    </xf>
    <xf numFmtId="166" fontId="18" fillId="0" borderId="264" xfId="0" applyNumberFormat="1" applyFont="1" applyFill="1" applyBorder="1" applyAlignment="1" applyProtection="1">
      <protection locked="0"/>
    </xf>
    <xf numFmtId="166" fontId="18" fillId="0" borderId="279" xfId="0" applyNumberFormat="1" applyFont="1" applyFill="1" applyBorder="1" applyAlignment="1" applyProtection="1">
      <protection locked="0"/>
    </xf>
    <xf numFmtId="44" fontId="18" fillId="0" borderId="82" xfId="0" applyNumberFormat="1" applyFont="1" applyFill="1" applyBorder="1" applyAlignment="1" applyProtection="1">
      <protection locked="0"/>
    </xf>
    <xf numFmtId="0" fontId="18" fillId="0" borderId="127" xfId="0" applyFont="1" applyFill="1" applyBorder="1" applyAlignment="1" applyProtection="1">
      <protection locked="0"/>
    </xf>
    <xf numFmtId="166" fontId="18" fillId="0" borderId="82" xfId="0" applyNumberFormat="1" applyFont="1" applyFill="1" applyBorder="1" applyAlignment="1" applyProtection="1">
      <protection locked="0"/>
    </xf>
    <xf numFmtId="166" fontId="18" fillId="0" borderId="102" xfId="0" applyNumberFormat="1" applyFont="1" applyFill="1" applyBorder="1" applyAlignment="1" applyProtection="1">
      <protection locked="0"/>
    </xf>
    <xf numFmtId="44" fontId="18" fillId="0" borderId="89" xfId="0" applyNumberFormat="1" applyFont="1" applyFill="1" applyBorder="1" applyAlignment="1" applyProtection="1">
      <protection locked="0"/>
    </xf>
    <xf numFmtId="0" fontId="18" fillId="0" borderId="140" xfId="0" applyFont="1" applyFill="1" applyBorder="1" applyAlignment="1" applyProtection="1">
      <protection locked="0"/>
    </xf>
    <xf numFmtId="166" fontId="18" fillId="0" borderId="89" xfId="0" applyNumberFormat="1" applyFont="1" applyFill="1" applyBorder="1" applyAlignment="1" applyProtection="1">
      <protection locked="0"/>
    </xf>
    <xf numFmtId="166" fontId="18" fillId="0" borderId="117" xfId="0" applyNumberFormat="1" applyFont="1" applyFill="1" applyBorder="1" applyAlignment="1" applyProtection="1">
      <protection locked="0"/>
    </xf>
    <xf numFmtId="44" fontId="18" fillId="0" borderId="0" xfId="0" applyNumberFormat="1" applyFont="1" applyFill="1" applyBorder="1" applyAlignment="1" applyProtection="1">
      <alignment horizontal="left"/>
    </xf>
    <xf numFmtId="44" fontId="22" fillId="0" borderId="0" xfId="0" applyNumberFormat="1" applyFont="1" applyFill="1" applyBorder="1" applyAlignment="1" applyProtection="1">
      <alignment horizontal="left"/>
    </xf>
    <xf numFmtId="0" fontId="66" fillId="0" borderId="0" xfId="0" applyFont="1" applyFill="1" applyBorder="1" applyAlignment="1" applyProtection="1">
      <alignment horizontal="left" vertical="center"/>
    </xf>
    <xf numFmtId="0" fontId="18" fillId="0" borderId="134" xfId="0" applyFont="1" applyFill="1" applyBorder="1" applyAlignment="1" applyProtection="1">
      <protection locked="0"/>
    </xf>
    <xf numFmtId="0" fontId="18" fillId="0" borderId="71" xfId="0" applyFont="1" applyFill="1" applyBorder="1" applyAlignment="1" applyProtection="1">
      <protection locked="0"/>
    </xf>
    <xf numFmtId="44" fontId="18" fillId="6" borderId="288" xfId="0" applyNumberFormat="1" applyFont="1" applyFill="1" applyBorder="1" applyAlignment="1" applyProtection="1"/>
    <xf numFmtId="44" fontId="18" fillId="6" borderId="281" xfId="0" applyNumberFormat="1" applyFont="1" applyFill="1" applyBorder="1" applyAlignment="1" applyProtection="1"/>
    <xf numFmtId="44" fontId="22" fillId="6" borderId="258" xfId="0" applyNumberFormat="1" applyFont="1" applyFill="1" applyBorder="1" applyAlignment="1" applyProtection="1"/>
    <xf numFmtId="44" fontId="18" fillId="0" borderId="96" xfId="0" applyNumberFormat="1" applyFont="1" applyFill="1" applyBorder="1" applyAlignment="1" applyProtection="1">
      <alignment vertical="center"/>
      <protection locked="0"/>
    </xf>
    <xf numFmtId="44" fontId="18" fillId="0" borderId="101" xfId="0" applyNumberFormat="1" applyFont="1" applyFill="1" applyBorder="1" applyAlignment="1" applyProtection="1">
      <protection locked="0"/>
    </xf>
    <xf numFmtId="9" fontId="18" fillId="0" borderId="96" xfId="0" applyNumberFormat="1" applyFont="1" applyFill="1" applyBorder="1" applyAlignment="1" applyProtection="1">
      <protection locked="0"/>
    </xf>
    <xf numFmtId="1" fontId="18" fillId="0" borderId="101" xfId="0" applyNumberFormat="1" applyFont="1" applyFill="1" applyBorder="1" applyAlignment="1" applyProtection="1">
      <protection locked="0"/>
    </xf>
    <xf numFmtId="44" fontId="18" fillId="0" borderId="96" xfId="0" applyNumberFormat="1" applyFont="1" applyFill="1" applyBorder="1" applyAlignment="1" applyProtection="1">
      <protection locked="0"/>
    </xf>
    <xf numFmtId="0" fontId="18" fillId="0" borderId="107" xfId="0" applyFont="1" applyFill="1" applyBorder="1" applyAlignment="1" applyProtection="1">
      <protection locked="0"/>
    </xf>
    <xf numFmtId="0" fontId="18" fillId="0" borderId="178" xfId="0" applyFont="1" applyFill="1" applyBorder="1" applyAlignment="1" applyProtection="1">
      <protection locked="0"/>
    </xf>
    <xf numFmtId="5" fontId="48" fillId="0" borderId="443" xfId="0" applyNumberFormat="1" applyFont="1" applyFill="1" applyBorder="1" applyProtection="1"/>
    <xf numFmtId="0" fontId="3" fillId="0" borderId="30" xfId="0" applyFont="1" applyFill="1" applyBorder="1" applyAlignment="1" applyProtection="1">
      <alignment vertical="center"/>
    </xf>
    <xf numFmtId="0" fontId="18" fillId="0" borderId="0" xfId="0" applyFont="1" applyFill="1" applyBorder="1" applyProtection="1"/>
    <xf numFmtId="0" fontId="18" fillId="0" borderId="34" xfId="0" applyFont="1" applyFill="1" applyBorder="1" applyProtection="1"/>
    <xf numFmtId="0" fontId="18" fillId="0" borderId="33" xfId="0" applyFont="1" applyFill="1" applyBorder="1" applyAlignment="1" applyProtection="1">
      <alignment vertical="center"/>
    </xf>
    <xf numFmtId="0" fontId="51" fillId="0" borderId="0" xfId="0" applyFont="1" applyFill="1" applyAlignment="1" applyProtection="1">
      <alignment horizontal="right"/>
    </xf>
    <xf numFmtId="0" fontId="18" fillId="0" borderId="35" xfId="0" applyFont="1" applyFill="1" applyBorder="1" applyAlignment="1" applyProtection="1">
      <alignment vertical="center"/>
    </xf>
    <xf numFmtId="0" fontId="18" fillId="0" borderId="36" xfId="0" applyFont="1" applyFill="1" applyBorder="1" applyAlignment="1" applyProtection="1">
      <alignment vertical="center"/>
    </xf>
    <xf numFmtId="0" fontId="18" fillId="0" borderId="36" xfId="0" applyFont="1" applyFill="1" applyBorder="1" applyProtection="1"/>
    <xf numFmtId="0" fontId="18" fillId="0" borderId="37" xfId="0" applyFont="1" applyFill="1" applyBorder="1" applyProtection="1"/>
    <xf numFmtId="6" fontId="18" fillId="6" borderId="84" xfId="0" applyNumberFormat="1" applyFont="1" applyFill="1" applyBorder="1" applyAlignment="1" applyProtection="1"/>
    <xf numFmtId="5" fontId="18" fillId="6" borderId="84" xfId="0" applyNumberFormat="1" applyFont="1" applyFill="1" applyBorder="1" applyAlignment="1" applyProtection="1"/>
    <xf numFmtId="5" fontId="22" fillId="6" borderId="148" xfId="0" applyNumberFormat="1" applyFont="1" applyFill="1" applyBorder="1" applyAlignment="1" applyProtection="1"/>
    <xf numFmtId="6" fontId="18" fillId="6" borderId="148" xfId="0" applyNumberFormat="1" applyFont="1" applyFill="1" applyBorder="1" applyAlignment="1" applyProtection="1"/>
    <xf numFmtId="6" fontId="18" fillId="6" borderId="278" xfId="0" applyNumberFormat="1" applyFont="1" applyFill="1" applyBorder="1" applyAlignment="1" applyProtection="1"/>
    <xf numFmtId="6" fontId="18" fillId="6" borderId="122" xfId="0" applyNumberFormat="1" applyFont="1" applyFill="1" applyBorder="1" applyAlignment="1" applyProtection="1"/>
    <xf numFmtId="6" fontId="18" fillId="6" borderId="149" xfId="0" applyNumberFormat="1" applyFont="1" applyFill="1" applyBorder="1" applyAlignment="1" applyProtection="1"/>
    <xf numFmtId="5" fontId="18" fillId="6" borderId="278" xfId="0" applyNumberFormat="1" applyFont="1" applyFill="1" applyBorder="1" applyAlignment="1" applyProtection="1"/>
    <xf numFmtId="5" fontId="18" fillId="6" borderId="122" xfId="0" applyNumberFormat="1" applyFont="1" applyFill="1" applyBorder="1" applyAlignment="1" applyProtection="1"/>
    <xf numFmtId="5" fontId="18" fillId="6" borderId="149" xfId="0" applyNumberFormat="1" applyFont="1" applyFill="1" applyBorder="1" applyAlignment="1" applyProtection="1"/>
    <xf numFmtId="0" fontId="18" fillId="0" borderId="50" xfId="0" applyFont="1" applyFill="1" applyBorder="1" applyAlignment="1" applyProtection="1">
      <alignment horizontal="center" wrapText="1"/>
      <protection locked="0"/>
    </xf>
    <xf numFmtId="0" fontId="18" fillId="0" borderId="48" xfId="0" applyFont="1" applyFill="1" applyBorder="1" applyAlignment="1" applyProtection="1">
      <alignment horizontal="center"/>
      <protection locked="0"/>
    </xf>
    <xf numFmtId="166" fontId="18" fillId="0" borderId="48" xfId="0" applyNumberFormat="1" applyFont="1" applyFill="1" applyBorder="1" applyAlignment="1" applyProtection="1">
      <alignment horizontal="right" wrapText="1"/>
      <protection locked="0"/>
    </xf>
    <xf numFmtId="0" fontId="18" fillId="0" borderId="52" xfId="0" applyFont="1" applyFill="1" applyBorder="1" applyAlignment="1" applyProtection="1">
      <alignment horizontal="center"/>
      <protection locked="0"/>
    </xf>
    <xf numFmtId="166" fontId="18" fillId="0" borderId="52" xfId="0" applyNumberFormat="1" applyFont="1" applyFill="1" applyBorder="1" applyAlignment="1" applyProtection="1">
      <alignment horizontal="right" wrapText="1"/>
      <protection locked="0"/>
    </xf>
    <xf numFmtId="166" fontId="18" fillId="0" borderId="52" xfId="0" applyNumberFormat="1" applyFont="1" applyFill="1" applyBorder="1" applyAlignment="1" applyProtection="1">
      <alignment horizontal="right"/>
      <protection locked="0"/>
    </xf>
    <xf numFmtId="3" fontId="20" fillId="17" borderId="288" xfId="0" applyNumberFormat="1" applyFont="1" applyFill="1" applyBorder="1" applyAlignment="1" applyProtection="1"/>
    <xf numFmtId="3" fontId="20" fillId="17" borderId="452" xfId="0" applyNumberFormat="1" applyFont="1" applyFill="1" applyBorder="1" applyAlignment="1" applyProtection="1"/>
    <xf numFmtId="3" fontId="20" fillId="0" borderId="288" xfId="0" applyNumberFormat="1" applyFont="1" applyFill="1" applyBorder="1" applyAlignment="1" applyProtection="1"/>
    <xf numFmtId="3" fontId="20" fillId="0" borderId="452" xfId="0" applyNumberFormat="1" applyFont="1" applyFill="1" applyBorder="1" applyAlignment="1" applyProtection="1"/>
    <xf numFmtId="166" fontId="18" fillId="6" borderId="48" xfId="0" applyNumberFormat="1" applyFont="1" applyFill="1" applyBorder="1" applyAlignment="1" applyProtection="1">
      <alignment horizontal="right" wrapText="1"/>
    </xf>
    <xf numFmtId="166" fontId="18" fillId="6" borderId="52" xfId="0" applyNumberFormat="1" applyFont="1" applyFill="1" applyBorder="1" applyAlignment="1" applyProtection="1">
      <alignment horizontal="right" wrapText="1"/>
    </xf>
    <xf numFmtId="166" fontId="18" fillId="6" borderId="39" xfId="0" applyNumberFormat="1" applyFont="1" applyFill="1" applyBorder="1" applyAlignment="1" applyProtection="1">
      <alignment horizontal="right" wrapText="1"/>
    </xf>
    <xf numFmtId="166" fontId="18" fillId="6" borderId="54" xfId="0" applyNumberFormat="1" applyFont="1" applyFill="1" applyBorder="1" applyAlignment="1" applyProtection="1">
      <alignment horizontal="right" wrapText="1"/>
    </xf>
    <xf numFmtId="0" fontId="18" fillId="0" borderId="30" xfId="0" applyFont="1" applyFill="1" applyBorder="1" applyProtection="1"/>
    <xf numFmtId="0" fontId="18" fillId="0" borderId="31" xfId="0" applyFont="1" applyFill="1" applyBorder="1" applyProtection="1"/>
    <xf numFmtId="0" fontId="18" fillId="0" borderId="31" xfId="0" applyFont="1" applyFill="1" applyBorder="1" applyAlignment="1" applyProtection="1">
      <alignment horizontal="center"/>
    </xf>
    <xf numFmtId="166" fontId="18" fillId="0" borderId="31" xfId="0" applyNumberFormat="1" applyFont="1" applyFill="1" applyBorder="1" applyProtection="1"/>
    <xf numFmtId="9" fontId="18" fillId="0" borderId="31" xfId="0" applyNumberFormat="1" applyFont="1" applyFill="1" applyBorder="1" applyAlignment="1" applyProtection="1">
      <alignment horizontal="center"/>
    </xf>
    <xf numFmtId="166" fontId="18" fillId="0" borderId="31" xfId="0" applyNumberFormat="1" applyFont="1" applyFill="1" applyBorder="1" applyAlignment="1" applyProtection="1">
      <alignment horizontal="center"/>
    </xf>
    <xf numFmtId="3" fontId="18" fillId="0" borderId="31" xfId="0" applyNumberFormat="1" applyFont="1" applyFill="1" applyBorder="1" applyProtection="1"/>
    <xf numFmtId="0" fontId="18" fillId="0" borderId="32" xfId="0" applyFont="1" applyFill="1" applyBorder="1" applyProtection="1"/>
    <xf numFmtId="0" fontId="18" fillId="0" borderId="33" xfId="0" applyFont="1" applyFill="1" applyBorder="1" applyProtection="1"/>
    <xf numFmtId="0" fontId="18" fillId="0" borderId="0" xfId="0" applyFont="1" applyFill="1" applyBorder="1" applyAlignment="1" applyProtection="1">
      <alignment horizontal="center"/>
    </xf>
    <xf numFmtId="166" fontId="18" fillId="0" borderId="0" xfId="0" applyNumberFormat="1" applyFont="1" applyFill="1" applyBorder="1" applyProtection="1"/>
    <xf numFmtId="9" fontId="18" fillId="0" borderId="0" xfId="0" applyNumberFormat="1" applyFont="1" applyFill="1" applyBorder="1" applyAlignment="1" applyProtection="1">
      <alignment horizontal="center"/>
    </xf>
    <xf numFmtId="166" fontId="18" fillId="0" borderId="0" xfId="0" applyNumberFormat="1" applyFont="1" applyFill="1" applyBorder="1" applyAlignment="1" applyProtection="1">
      <alignment horizontal="center"/>
    </xf>
    <xf numFmtId="3" fontId="18" fillId="0" borderId="0" xfId="0" applyNumberFormat="1" applyFont="1" applyFill="1" applyBorder="1" applyProtection="1"/>
    <xf numFmtId="0" fontId="18" fillId="0" borderId="0" xfId="0" applyFont="1" applyFill="1" applyProtection="1">
      <protection locked="0"/>
    </xf>
    <xf numFmtId="0" fontId="18" fillId="0" borderId="0" xfId="0" applyFont="1" applyFill="1" applyBorder="1" applyAlignment="1" applyProtection="1"/>
    <xf numFmtId="166" fontId="18" fillId="0" borderId="0" xfId="0" applyNumberFormat="1" applyFont="1" applyFill="1" applyBorder="1" applyAlignment="1" applyProtection="1">
      <alignment horizontal="center" wrapText="1"/>
    </xf>
    <xf numFmtId="0" fontId="18" fillId="0" borderId="33" xfId="0" applyFont="1" applyFill="1" applyBorder="1" applyAlignment="1" applyProtection="1">
      <alignment wrapText="1"/>
    </xf>
    <xf numFmtId="166" fontId="18" fillId="0" borderId="0" xfId="0" applyNumberFormat="1" applyFont="1" applyFill="1" applyBorder="1" applyAlignment="1" applyProtection="1">
      <alignment wrapText="1"/>
    </xf>
    <xf numFmtId="3" fontId="19" fillId="0" borderId="34" xfId="0" applyNumberFormat="1" applyFont="1" applyFill="1" applyBorder="1" applyProtection="1"/>
    <xf numFmtId="6" fontId="18" fillId="0" borderId="38" xfId="0" applyNumberFormat="1" applyFont="1" applyFill="1" applyBorder="1" applyAlignment="1" applyProtection="1">
      <alignment horizontal="right"/>
      <protection locked="0"/>
    </xf>
    <xf numFmtId="6" fontId="18" fillId="0" borderId="48" xfId="0" applyNumberFormat="1" applyFont="1" applyFill="1" applyBorder="1" applyAlignment="1" applyProtection="1">
      <alignment horizontal="right"/>
      <protection locked="0"/>
    </xf>
    <xf numFmtId="6" fontId="18" fillId="0" borderId="39" xfId="0" applyNumberFormat="1" applyFont="1" applyFill="1" applyBorder="1" applyAlignment="1" applyProtection="1">
      <alignment horizontal="right"/>
      <protection locked="0"/>
    </xf>
    <xf numFmtId="166" fontId="19" fillId="0" borderId="34" xfId="0" applyNumberFormat="1" applyFont="1" applyFill="1" applyBorder="1" applyProtection="1"/>
    <xf numFmtId="166" fontId="18" fillId="0" borderId="48" xfId="0" applyNumberFormat="1" applyFont="1" applyFill="1" applyBorder="1" applyAlignment="1" applyProtection="1">
      <alignment horizontal="right"/>
      <protection locked="0"/>
    </xf>
    <xf numFmtId="6" fontId="18" fillId="0" borderId="51" xfId="0" applyNumberFormat="1" applyFont="1" applyFill="1" applyBorder="1" applyAlignment="1" applyProtection="1">
      <alignment horizontal="right"/>
      <protection locked="0"/>
    </xf>
    <xf numFmtId="6" fontId="18" fillId="0" borderId="52" xfId="0" applyNumberFormat="1" applyFont="1" applyFill="1" applyBorder="1" applyAlignment="1" applyProtection="1">
      <alignment horizontal="right"/>
      <protection locked="0"/>
    </xf>
    <xf numFmtId="6" fontId="18" fillId="0" borderId="54" xfId="0" applyNumberFormat="1" applyFont="1" applyFill="1" applyBorder="1" applyAlignment="1" applyProtection="1">
      <alignment horizontal="right"/>
      <protection locked="0"/>
    </xf>
    <xf numFmtId="3" fontId="19" fillId="0" borderId="33" xfId="0" applyNumberFormat="1" applyFont="1" applyFill="1" applyBorder="1" applyProtection="1"/>
    <xf numFmtId="166" fontId="19" fillId="0" borderId="13" xfId="0" applyNumberFormat="1" applyFont="1" applyFill="1" applyBorder="1" applyAlignment="1" applyProtection="1">
      <alignment horizontal="right"/>
    </xf>
    <xf numFmtId="166" fontId="19" fillId="0" borderId="13" xfId="0" applyNumberFormat="1" applyFont="1" applyFill="1" applyBorder="1" applyProtection="1"/>
    <xf numFmtId="166" fontId="19" fillId="0" borderId="190" xfId="0" applyNumberFormat="1" applyFont="1" applyFill="1" applyBorder="1" applyProtection="1"/>
    <xf numFmtId="3" fontId="20" fillId="0" borderId="31" xfId="0" applyNumberFormat="1" applyFont="1" applyFill="1" applyBorder="1" applyProtection="1"/>
    <xf numFmtId="166" fontId="19" fillId="0" borderId="31" xfId="0" applyNumberFormat="1" applyFont="1" applyFill="1" applyBorder="1" applyAlignment="1" applyProtection="1">
      <alignment horizontal="right"/>
    </xf>
    <xf numFmtId="166" fontId="19" fillId="0" borderId="31" xfId="0" applyNumberFormat="1" applyFont="1" applyFill="1" applyBorder="1" applyProtection="1"/>
    <xf numFmtId="166" fontId="19" fillId="0" borderId="0" xfId="0" applyNumberFormat="1" applyFont="1" applyFill="1" applyBorder="1" applyProtection="1"/>
    <xf numFmtId="3" fontId="19" fillId="0" borderId="0" xfId="0" applyNumberFormat="1" applyFont="1" applyFill="1" applyBorder="1" applyProtection="1"/>
    <xf numFmtId="3" fontId="20" fillId="0" borderId="0" xfId="0" applyNumberFormat="1" applyFont="1" applyFill="1" applyBorder="1" applyProtection="1"/>
    <xf numFmtId="166" fontId="17" fillId="0" borderId="0" xfId="0" applyNumberFormat="1" applyFont="1" applyFill="1" applyBorder="1" applyProtection="1"/>
    <xf numFmtId="6" fontId="18" fillId="0" borderId="262" xfId="0" applyNumberFormat="1" applyFont="1" applyFill="1" applyBorder="1" applyAlignment="1" applyProtection="1">
      <alignment horizontal="right"/>
      <protection locked="0"/>
    </xf>
    <xf numFmtId="6" fontId="18" fillId="0" borderId="261" xfId="0" applyNumberFormat="1" applyFont="1" applyFill="1" applyBorder="1" applyAlignment="1" applyProtection="1">
      <alignment horizontal="right"/>
      <protection locked="0"/>
    </xf>
    <xf numFmtId="6" fontId="18" fillId="0" borderId="263" xfId="0" applyNumberFormat="1" applyFont="1" applyFill="1" applyBorder="1" applyAlignment="1" applyProtection="1">
      <alignment horizontal="right"/>
      <protection locked="0"/>
    </xf>
    <xf numFmtId="6" fontId="18" fillId="0" borderId="55" xfId="0" applyNumberFormat="1" applyFont="1" applyFill="1" applyBorder="1" applyAlignment="1" applyProtection="1">
      <alignment horizontal="right"/>
      <protection locked="0"/>
    </xf>
    <xf numFmtId="6" fontId="18" fillId="0" borderId="56" xfId="0" applyNumberFormat="1" applyFont="1" applyFill="1" applyBorder="1" applyAlignment="1" applyProtection="1">
      <alignment horizontal="right"/>
      <protection locked="0"/>
    </xf>
    <xf numFmtId="6" fontId="18" fillId="0" borderId="57" xfId="0" applyNumberFormat="1" applyFont="1" applyFill="1" applyBorder="1" applyAlignment="1" applyProtection="1">
      <alignment horizontal="right"/>
      <protection locked="0"/>
    </xf>
    <xf numFmtId="6" fontId="18" fillId="0" borderId="49" xfId="0" applyNumberFormat="1" applyFont="1" applyFill="1" applyBorder="1" applyAlignment="1" applyProtection="1">
      <alignment horizontal="right"/>
      <protection locked="0"/>
    </xf>
    <xf numFmtId="6" fontId="18" fillId="0" borderId="58" xfId="0" applyNumberFormat="1" applyFont="1" applyFill="1" applyBorder="1" applyAlignment="1" applyProtection="1">
      <alignment horizontal="right"/>
      <protection locked="0"/>
    </xf>
    <xf numFmtId="166" fontId="22" fillId="0" borderId="0" xfId="0" applyNumberFormat="1" applyFont="1" applyFill="1" applyBorder="1" applyProtection="1"/>
    <xf numFmtId="168" fontId="22"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center"/>
    </xf>
    <xf numFmtId="166" fontId="19" fillId="0" borderId="0" xfId="0" applyNumberFormat="1" applyFont="1" applyFill="1" applyBorder="1" applyAlignment="1" applyProtection="1"/>
    <xf numFmtId="3" fontId="20" fillId="0" borderId="428" xfId="0" applyNumberFormat="1" applyFont="1" applyFill="1" applyBorder="1" applyAlignment="1" applyProtection="1"/>
    <xf numFmtId="0" fontId="43" fillId="0" borderId="34" xfId="0" applyFont="1" applyFill="1" applyBorder="1" applyAlignment="1" applyProtection="1">
      <alignment wrapText="1"/>
    </xf>
    <xf numFmtId="3" fontId="50" fillId="0" borderId="0" xfId="0" applyNumberFormat="1" applyFont="1" applyFill="1" applyBorder="1" applyAlignment="1" applyProtection="1">
      <alignment horizontal="left"/>
    </xf>
    <xf numFmtId="0" fontId="43" fillId="7" borderId="0" xfId="0" applyFont="1" applyFill="1" applyBorder="1" applyAlignment="1" applyProtection="1">
      <alignment vertical="center"/>
    </xf>
    <xf numFmtId="0" fontId="40" fillId="7" borderId="0" xfId="0" applyFont="1" applyFill="1" applyBorder="1" applyAlignment="1" applyProtection="1">
      <alignment vertical="center"/>
    </xf>
    <xf numFmtId="0" fontId="59" fillId="7" borderId="0" xfId="0" applyFont="1" applyFill="1" applyBorder="1" applyAlignment="1" applyProtection="1">
      <alignment horizontal="left" vertical="center"/>
    </xf>
    <xf numFmtId="0" fontId="43" fillId="7" borderId="0" xfId="0" applyFont="1" applyFill="1" applyAlignment="1" applyProtection="1">
      <alignment vertical="center"/>
    </xf>
    <xf numFmtId="0" fontId="59" fillId="7" borderId="0" xfId="0" applyFont="1" applyFill="1" applyBorder="1" applyAlignment="1" applyProtection="1">
      <alignment horizontal="right" vertical="center"/>
    </xf>
    <xf numFmtId="0" fontId="46" fillId="17" borderId="259" xfId="0" applyFont="1" applyFill="1" applyBorder="1" applyAlignment="1" applyProtection="1">
      <alignment horizontal="center" vertical="center"/>
    </xf>
    <xf numFmtId="0" fontId="46" fillId="17" borderId="255" xfId="0" applyFont="1" applyFill="1" applyBorder="1" applyAlignment="1" applyProtection="1">
      <alignment horizontal="center" vertical="center"/>
    </xf>
    <xf numFmtId="0" fontId="46" fillId="17" borderId="256" xfId="0" applyFont="1" applyFill="1" applyBorder="1" applyAlignment="1" applyProtection="1">
      <alignment horizontal="center" vertical="center"/>
    </xf>
    <xf numFmtId="0" fontId="40" fillId="0" borderId="13" xfId="0" applyFont="1" applyFill="1" applyBorder="1" applyAlignment="1" applyProtection="1">
      <alignment horizontal="center" vertical="center"/>
    </xf>
    <xf numFmtId="0" fontId="46" fillId="8" borderId="265" xfId="0" applyFont="1" applyFill="1" applyBorder="1" applyAlignment="1" applyProtection="1">
      <alignment horizontal="center" vertical="center"/>
    </xf>
    <xf numFmtId="0" fontId="46" fillId="8" borderId="339" xfId="0" applyFont="1" applyFill="1" applyBorder="1" applyAlignment="1" applyProtection="1">
      <alignment horizontal="center" vertical="center"/>
    </xf>
    <xf numFmtId="0" fontId="46" fillId="8" borderId="267" xfId="0" applyFont="1" applyFill="1" applyBorder="1" applyAlignment="1" applyProtection="1">
      <alignment horizontal="center" vertical="center"/>
    </xf>
    <xf numFmtId="5" fontId="43" fillId="6" borderId="38" xfId="0" applyNumberFormat="1" applyFont="1" applyFill="1" applyBorder="1" applyAlignment="1" applyProtection="1">
      <alignment horizontal="right" vertical="center"/>
    </xf>
    <xf numFmtId="5" fontId="43" fillId="6" borderId="350" xfId="0" applyNumberFormat="1" applyFont="1" applyFill="1" applyBorder="1" applyAlignment="1" applyProtection="1">
      <alignment horizontal="right" vertical="center"/>
    </xf>
    <xf numFmtId="5" fontId="43" fillId="6" borderId="351" xfId="0" applyNumberFormat="1" applyFont="1" applyFill="1" applyBorder="1" applyAlignment="1" applyProtection="1">
      <alignment horizontal="right" vertical="center"/>
    </xf>
    <xf numFmtId="5" fontId="43" fillId="6" borderId="352" xfId="0" applyNumberFormat="1" applyFont="1" applyFill="1" applyBorder="1" applyAlignment="1" applyProtection="1">
      <alignment horizontal="right" vertical="center"/>
    </xf>
    <xf numFmtId="5" fontId="46" fillId="8" borderId="2" xfId="0" applyNumberFormat="1" applyFont="1" applyFill="1" applyBorder="1" applyAlignment="1" applyProtection="1">
      <alignment vertical="center"/>
    </xf>
    <xf numFmtId="5" fontId="46" fillId="8" borderId="0" xfId="0" applyNumberFormat="1" applyFont="1" applyFill="1" applyBorder="1" applyAlignment="1" applyProtection="1">
      <alignment vertical="center"/>
    </xf>
    <xf numFmtId="5" fontId="46" fillId="8" borderId="3" xfId="0" applyNumberFormat="1" applyFont="1" applyFill="1" applyBorder="1" applyAlignment="1" applyProtection="1">
      <alignment vertical="center"/>
    </xf>
    <xf numFmtId="5" fontId="46" fillId="6" borderId="321" xfId="0" applyNumberFormat="1" applyFont="1" applyFill="1" applyBorder="1" applyAlignment="1" applyProtection="1">
      <alignment vertical="center"/>
    </xf>
    <xf numFmtId="5" fontId="46" fillId="6" borderId="322" xfId="0" applyNumberFormat="1" applyFont="1" applyFill="1" applyBorder="1" applyAlignment="1" applyProtection="1">
      <alignment vertical="center"/>
    </xf>
    <xf numFmtId="5" fontId="46" fillId="6" borderId="323" xfId="0" applyNumberFormat="1" applyFont="1" applyFill="1" applyBorder="1" applyAlignment="1" applyProtection="1">
      <alignment vertical="center"/>
    </xf>
    <xf numFmtId="0" fontId="40" fillId="24" borderId="0" xfId="0" applyFont="1" applyFill="1" applyBorder="1" applyAlignment="1" applyProtection="1">
      <alignment vertical="center"/>
    </xf>
    <xf numFmtId="0" fontId="59" fillId="24" borderId="0" xfId="0" applyFont="1" applyFill="1" applyBorder="1" applyAlignment="1" applyProtection="1">
      <alignment horizontal="left" vertical="center"/>
    </xf>
    <xf numFmtId="0" fontId="59" fillId="24" borderId="0" xfId="0" applyFont="1" applyFill="1" applyBorder="1" applyAlignment="1" applyProtection="1">
      <alignment horizontal="right" vertical="center"/>
    </xf>
    <xf numFmtId="0" fontId="46" fillId="17" borderId="258" xfId="0" applyFont="1" applyFill="1" applyBorder="1" applyAlignment="1" applyProtection="1">
      <alignment horizontal="center" vertical="center" wrapText="1"/>
    </xf>
    <xf numFmtId="0" fontId="46" fillId="6" borderId="392" xfId="0" applyNumberFormat="1" applyFont="1" applyFill="1" applyBorder="1" applyAlignment="1" applyProtection="1">
      <alignment vertical="center"/>
    </xf>
    <xf numFmtId="0" fontId="46" fillId="6" borderId="365" xfId="0" applyNumberFormat="1" applyFont="1" applyFill="1" applyBorder="1" applyAlignment="1" applyProtection="1">
      <alignment vertical="center"/>
    </xf>
    <xf numFmtId="0" fontId="46" fillId="6" borderId="390" xfId="0" applyNumberFormat="1" applyFont="1" applyFill="1" applyBorder="1" applyAlignment="1" applyProtection="1">
      <alignment vertical="center"/>
    </xf>
    <xf numFmtId="6" fontId="43" fillId="6" borderId="350" xfId="0" applyNumberFormat="1" applyFont="1" applyFill="1" applyBorder="1" applyAlignment="1" applyProtection="1">
      <alignment horizontal="right" vertical="center"/>
    </xf>
    <xf numFmtId="6" fontId="43" fillId="6" borderId="351" xfId="0" applyNumberFormat="1" applyFont="1" applyFill="1" applyBorder="1" applyAlignment="1" applyProtection="1">
      <alignment horizontal="right" vertical="center"/>
    </xf>
    <xf numFmtId="6" fontId="43" fillId="6" borderId="352" xfId="0" applyNumberFormat="1" applyFont="1" applyFill="1" applyBorder="1" applyAlignment="1" applyProtection="1">
      <alignment horizontal="right" vertical="center"/>
    </xf>
    <xf numFmtId="6" fontId="43" fillId="8" borderId="2" xfId="0" applyNumberFormat="1" applyFont="1" applyFill="1" applyBorder="1" applyAlignment="1" applyProtection="1">
      <alignment horizontal="right" vertical="center"/>
    </xf>
    <xf numFmtId="6" fontId="43" fillId="8" borderId="0" xfId="0" applyNumberFormat="1" applyFont="1" applyFill="1" applyBorder="1" applyAlignment="1" applyProtection="1">
      <alignment horizontal="right" vertical="center"/>
    </xf>
    <xf numFmtId="6" fontId="43" fillId="8" borderId="3" xfId="0" applyNumberFormat="1" applyFont="1" applyFill="1" applyBorder="1" applyAlignment="1" applyProtection="1">
      <alignment horizontal="right" vertical="center"/>
    </xf>
    <xf numFmtId="0" fontId="46" fillId="0" borderId="0" xfId="0" applyFont="1" applyFill="1" applyBorder="1" applyAlignment="1" applyProtection="1">
      <alignment horizontal="left" vertical="center"/>
    </xf>
    <xf numFmtId="6" fontId="43" fillId="6" borderId="321" xfId="0" applyNumberFormat="1" applyFont="1" applyFill="1" applyBorder="1" applyAlignment="1" applyProtection="1">
      <alignment horizontal="right" vertical="center"/>
    </xf>
    <xf numFmtId="6" fontId="43" fillId="6" borderId="325" xfId="0" applyNumberFormat="1" applyFont="1" applyFill="1" applyBorder="1" applyAlignment="1" applyProtection="1">
      <alignment horizontal="right" vertical="center"/>
    </xf>
    <xf numFmtId="6" fontId="43" fillId="6" borderId="326" xfId="0" applyNumberFormat="1" applyFont="1" applyFill="1" applyBorder="1" applyAlignment="1" applyProtection="1">
      <alignment horizontal="right" vertical="center"/>
    </xf>
    <xf numFmtId="6" fontId="43" fillId="6" borderId="327" xfId="0" applyNumberFormat="1" applyFont="1" applyFill="1" applyBorder="1" applyAlignment="1" applyProtection="1">
      <alignment horizontal="right" vertical="center"/>
    </xf>
    <xf numFmtId="6" fontId="46" fillId="6" borderId="328" xfId="0" applyNumberFormat="1" applyFont="1" applyFill="1" applyBorder="1" applyAlignment="1" applyProtection="1">
      <alignment vertical="center"/>
    </xf>
    <xf numFmtId="6" fontId="46" fillId="6" borderId="329" xfId="0" applyNumberFormat="1" applyFont="1" applyFill="1" applyBorder="1" applyAlignment="1" applyProtection="1">
      <alignment vertical="center"/>
    </xf>
    <xf numFmtId="6" fontId="46" fillId="6" borderId="260" xfId="0" applyNumberFormat="1" applyFont="1" applyFill="1" applyBorder="1" applyAlignment="1" applyProtection="1">
      <alignment vertical="center"/>
    </xf>
    <xf numFmtId="0" fontId="18" fillId="23" borderId="0" xfId="0" applyFont="1" applyFill="1" applyBorder="1" applyProtection="1"/>
    <xf numFmtId="6" fontId="43" fillId="6" borderId="414" xfId="0" applyNumberFormat="1" applyFont="1" applyFill="1" applyBorder="1" applyAlignment="1" applyProtection="1">
      <alignment horizontal="right" vertical="center"/>
    </xf>
    <xf numFmtId="6" fontId="43" fillId="6" borderId="415" xfId="0" applyNumberFormat="1" applyFont="1" applyFill="1" applyBorder="1" applyAlignment="1" applyProtection="1">
      <alignment horizontal="right" vertical="center"/>
    </xf>
    <xf numFmtId="6" fontId="43" fillId="6" borderId="416" xfId="0" applyNumberFormat="1" applyFont="1" applyFill="1" applyBorder="1" applyAlignment="1" applyProtection="1">
      <alignment horizontal="right" vertical="center"/>
    </xf>
    <xf numFmtId="6" fontId="43" fillId="6" borderId="417" xfId="0" applyNumberFormat="1" applyFont="1" applyFill="1" applyBorder="1" applyAlignment="1" applyProtection="1">
      <alignment horizontal="right" vertical="center"/>
    </xf>
    <xf numFmtId="6" fontId="43" fillId="6" borderId="418" xfId="0" applyNumberFormat="1" applyFont="1" applyFill="1" applyBorder="1" applyAlignment="1" applyProtection="1">
      <alignment horizontal="right" vertical="center"/>
    </xf>
    <xf numFmtId="6" fontId="43" fillId="6" borderId="419" xfId="0" applyNumberFormat="1" applyFont="1" applyFill="1" applyBorder="1" applyAlignment="1" applyProtection="1">
      <alignment horizontal="right" vertical="center"/>
    </xf>
    <xf numFmtId="6" fontId="43" fillId="6" borderId="308" xfId="0" applyNumberFormat="1" applyFont="1" applyFill="1" applyBorder="1" applyAlignment="1" applyProtection="1">
      <alignment horizontal="right" vertical="center"/>
    </xf>
    <xf numFmtId="6" fontId="43" fillId="6" borderId="309" xfId="0" applyNumberFormat="1" applyFont="1" applyFill="1" applyBorder="1" applyAlignment="1" applyProtection="1">
      <alignment horizontal="right" vertical="center"/>
    </xf>
    <xf numFmtId="6" fontId="43" fillId="6" borderId="349" xfId="0" applyNumberFormat="1" applyFont="1" applyFill="1" applyBorder="1" applyAlignment="1" applyProtection="1">
      <alignment horizontal="right" vertical="center"/>
    </xf>
    <xf numFmtId="0" fontId="46" fillId="17" borderId="258" xfId="0" applyFont="1" applyFill="1" applyBorder="1" applyAlignment="1" applyProtection="1">
      <alignment horizontal="center" vertical="center"/>
    </xf>
    <xf numFmtId="0" fontId="46" fillId="17" borderId="303" xfId="0" applyFont="1" applyFill="1" applyBorder="1" applyAlignment="1" applyProtection="1">
      <alignment horizontal="center" vertical="center"/>
    </xf>
    <xf numFmtId="6" fontId="46" fillId="6" borderId="350" xfId="0" applyNumberFormat="1" applyFont="1" applyFill="1" applyBorder="1" applyAlignment="1" applyProtection="1">
      <alignment vertical="center"/>
    </xf>
    <xf numFmtId="6" fontId="46" fillId="6" borderId="351" xfId="0" applyNumberFormat="1" applyFont="1" applyFill="1" applyBorder="1" applyAlignment="1" applyProtection="1">
      <alignment vertical="center"/>
    </xf>
    <xf numFmtId="6" fontId="46" fillId="6" borderId="352" xfId="0" applyNumberFormat="1" applyFont="1" applyFill="1" applyBorder="1" applyAlignment="1" applyProtection="1">
      <alignment vertical="center"/>
    </xf>
    <xf numFmtId="6" fontId="46" fillId="8" borderId="2" xfId="0" applyNumberFormat="1" applyFont="1" applyFill="1" applyBorder="1" applyAlignment="1" applyProtection="1">
      <alignment vertical="center"/>
    </xf>
    <xf numFmtId="6" fontId="46" fillId="8" borderId="0" xfId="0" applyNumberFormat="1" applyFont="1" applyFill="1" applyBorder="1" applyAlignment="1" applyProtection="1">
      <alignment vertical="center"/>
    </xf>
    <xf numFmtId="6" fontId="46" fillId="8" borderId="3" xfId="0" applyNumberFormat="1" applyFont="1" applyFill="1" applyBorder="1" applyAlignment="1" applyProtection="1">
      <alignment vertical="center"/>
    </xf>
    <xf numFmtId="6" fontId="43" fillId="6" borderId="321" xfId="0" applyNumberFormat="1" applyFont="1" applyFill="1" applyBorder="1" applyAlignment="1" applyProtection="1">
      <alignment vertical="center"/>
    </xf>
    <xf numFmtId="6" fontId="46" fillId="6" borderId="322" xfId="0" applyNumberFormat="1" applyFont="1" applyFill="1" applyBorder="1" applyAlignment="1" applyProtection="1">
      <alignment vertical="center"/>
    </xf>
    <xf numFmtId="6" fontId="46" fillId="6" borderId="323" xfId="0" applyNumberFormat="1" applyFont="1" applyFill="1" applyBorder="1" applyAlignment="1" applyProtection="1">
      <alignment vertical="center"/>
    </xf>
    <xf numFmtId="6" fontId="46" fillId="6" borderId="305" xfId="0" applyNumberFormat="1" applyFont="1" applyFill="1" applyBorder="1" applyAlignment="1" applyProtection="1">
      <alignment vertical="center"/>
    </xf>
    <xf numFmtId="6" fontId="46" fillId="6" borderId="310" xfId="0" applyNumberFormat="1" applyFont="1" applyFill="1" applyBorder="1" applyAlignment="1" applyProtection="1">
      <alignment vertical="center"/>
    </xf>
    <xf numFmtId="6" fontId="46" fillId="6" borderId="306" xfId="0" applyNumberFormat="1" applyFont="1" applyFill="1" applyBorder="1" applyAlignment="1" applyProtection="1">
      <alignment vertical="center"/>
    </xf>
    <xf numFmtId="6" fontId="46" fillId="6" borderId="307" xfId="0" applyNumberFormat="1" applyFont="1" applyFill="1" applyBorder="1" applyAlignment="1" applyProtection="1">
      <alignment vertical="center"/>
    </xf>
    <xf numFmtId="6" fontId="43" fillId="6" borderId="356" xfId="0" applyNumberFormat="1" applyFont="1" applyFill="1" applyBorder="1" applyAlignment="1" applyProtection="1">
      <alignment horizontal="right" vertical="center"/>
    </xf>
    <xf numFmtId="0" fontId="46" fillId="17" borderId="271" xfId="0" applyFont="1" applyFill="1" applyBorder="1" applyAlignment="1" applyProtection="1">
      <alignment horizontal="center" vertical="center"/>
    </xf>
    <xf numFmtId="0" fontId="46" fillId="17" borderId="272" xfId="0" applyFont="1" applyFill="1" applyBorder="1" applyAlignment="1" applyProtection="1">
      <alignment horizontal="center" vertical="center"/>
    </xf>
    <xf numFmtId="0" fontId="46" fillId="17" borderId="273" xfId="0" applyFont="1" applyFill="1" applyBorder="1" applyAlignment="1" applyProtection="1">
      <alignment horizontal="center" vertical="center"/>
    </xf>
    <xf numFmtId="0" fontId="43" fillId="0" borderId="298" xfId="0" applyFont="1" applyFill="1" applyBorder="1" applyAlignment="1" applyProtection="1">
      <alignment horizontal="left" vertical="center"/>
    </xf>
    <xf numFmtId="0" fontId="43" fillId="0" borderId="299" xfId="0" applyFont="1" applyFill="1" applyBorder="1" applyAlignment="1" applyProtection="1">
      <alignment vertical="center"/>
    </xf>
    <xf numFmtId="0" fontId="43" fillId="0" borderId="300" xfId="0" applyFont="1" applyFill="1" applyBorder="1" applyAlignment="1" applyProtection="1">
      <alignment vertical="center"/>
    </xf>
    <xf numFmtId="0" fontId="43" fillId="0" borderId="295" xfId="0" applyFont="1" applyFill="1" applyBorder="1" applyAlignment="1" applyProtection="1">
      <alignment horizontal="left" vertical="center"/>
    </xf>
    <xf numFmtId="0" fontId="43" fillId="0" borderId="0" xfId="0" applyFont="1" applyFill="1" applyBorder="1" applyAlignment="1" applyProtection="1">
      <alignment vertical="center"/>
    </xf>
    <xf numFmtId="0" fontId="43" fillId="0" borderId="297" xfId="0" applyFont="1" applyFill="1" applyBorder="1" applyAlignment="1" applyProtection="1">
      <alignment vertical="center"/>
    </xf>
    <xf numFmtId="0" fontId="43" fillId="0" borderId="295" xfId="0" applyFont="1" applyFill="1" applyBorder="1" applyAlignment="1" applyProtection="1">
      <alignment vertical="center"/>
    </xf>
    <xf numFmtId="0" fontId="43" fillId="0" borderId="0" xfId="0" applyFont="1" applyFill="1" applyAlignment="1" applyProtection="1">
      <alignmen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59" fillId="0" borderId="297" xfId="0" applyFont="1" applyFill="1" applyBorder="1" applyAlignment="1" applyProtection="1">
      <alignment horizontal="left" vertical="center"/>
    </xf>
    <xf numFmtId="0" fontId="68" fillId="0" borderId="0" xfId="0" applyFont="1" applyFill="1" applyBorder="1" applyAlignment="1" applyProtection="1">
      <alignment vertical="center"/>
    </xf>
    <xf numFmtId="0" fontId="43" fillId="0" borderId="33" xfId="0" applyFont="1" applyFill="1" applyBorder="1" applyAlignment="1" applyProtection="1">
      <alignment vertical="center"/>
    </xf>
    <xf numFmtId="0" fontId="40" fillId="0" borderId="0" xfId="0" applyFont="1" applyFill="1" applyBorder="1" applyAlignment="1" applyProtection="1">
      <alignment vertical="center"/>
    </xf>
    <xf numFmtId="0" fontId="59" fillId="0" borderId="34" xfId="0" applyFont="1" applyFill="1" applyBorder="1" applyAlignment="1" applyProtection="1">
      <alignment horizontal="left" vertical="center"/>
    </xf>
    <xf numFmtId="0" fontId="43" fillId="0" borderId="335" xfId="0" applyFont="1" applyFill="1" applyBorder="1" applyAlignment="1" applyProtection="1">
      <alignment horizontal="left" vertical="center" indent="1"/>
    </xf>
    <xf numFmtId="5" fontId="43" fillId="0" borderId="317" xfId="0" applyNumberFormat="1" applyFont="1" applyFill="1" applyBorder="1" applyAlignment="1" applyProtection="1">
      <alignment horizontal="right" vertical="center"/>
      <protection locked="0"/>
    </xf>
    <xf numFmtId="5" fontId="43" fillId="0" borderId="318" xfId="0" applyNumberFormat="1" applyFont="1" applyFill="1" applyBorder="1" applyAlignment="1" applyProtection="1">
      <alignment horizontal="right" vertical="center"/>
      <protection locked="0"/>
    </xf>
    <xf numFmtId="0" fontId="43" fillId="0" borderId="333" xfId="0" applyFont="1" applyFill="1" applyBorder="1" applyAlignment="1" applyProtection="1">
      <alignment horizontal="left" vertical="center" indent="1"/>
    </xf>
    <xf numFmtId="0" fontId="43" fillId="0" borderId="333" xfId="0" applyFont="1" applyFill="1" applyBorder="1" applyAlignment="1" applyProtection="1">
      <alignment vertical="center"/>
    </xf>
    <xf numFmtId="0" fontId="46" fillId="0" borderId="394"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quotePrefix="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304" xfId="0" applyFont="1" applyFill="1" applyBorder="1" applyAlignment="1" applyProtection="1">
      <alignment vertical="center"/>
    </xf>
    <xf numFmtId="0" fontId="46" fillId="0" borderId="304" xfId="0" quotePrefix="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8" fillId="0" borderId="335" xfId="0" applyFont="1" applyFill="1" applyBorder="1" applyAlignment="1" applyProtection="1">
      <alignment vertical="center"/>
    </xf>
    <xf numFmtId="0" fontId="48" fillId="0" borderId="304"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0" fillId="0" borderId="13" xfId="0" applyFont="1" applyFill="1" applyBorder="1" applyAlignment="1" applyProtection="1">
      <alignment horizontal="center"/>
    </xf>
    <xf numFmtId="0" fontId="40" fillId="0" borderId="0" xfId="0" applyFont="1" applyFill="1" applyBorder="1" applyAlignment="1" applyProtection="1">
      <alignment horizontal="center"/>
    </xf>
    <xf numFmtId="0" fontId="43" fillId="0" borderId="340" xfId="0" applyFont="1" applyFill="1" applyBorder="1" applyAlignment="1" applyProtection="1">
      <alignment horizontal="left" vertical="center" indent="1"/>
    </xf>
    <xf numFmtId="0" fontId="46" fillId="0" borderId="340" xfId="0" applyFont="1" applyFill="1" applyBorder="1" applyAlignment="1" applyProtection="1">
      <alignment vertical="center"/>
    </xf>
    <xf numFmtId="0" fontId="43" fillId="0" borderId="340" xfId="0" applyFont="1" applyFill="1" applyBorder="1" applyAlignment="1" applyProtection="1">
      <alignment vertical="center"/>
    </xf>
    <xf numFmtId="0" fontId="43" fillId="0" borderId="336" xfId="0" applyFont="1" applyFill="1" applyBorder="1" applyAlignment="1" applyProtection="1">
      <alignment vertical="center"/>
    </xf>
    <xf numFmtId="6" fontId="43" fillId="0" borderId="378" xfId="0" applyNumberFormat="1" applyFont="1" applyFill="1" applyBorder="1" applyAlignment="1" applyProtection="1">
      <alignment vertical="center"/>
      <protection locked="0"/>
    </xf>
    <xf numFmtId="6" fontId="43" fillId="0" borderId="379" xfId="0" applyNumberFormat="1" applyFont="1" applyFill="1" applyBorder="1" applyAlignment="1" applyProtection="1">
      <alignment vertical="center"/>
      <protection locked="0"/>
    </xf>
    <xf numFmtId="6" fontId="43" fillId="0" borderId="380" xfId="0" applyNumberFormat="1" applyFont="1" applyFill="1" applyBorder="1" applyAlignment="1" applyProtection="1">
      <alignment vertical="center"/>
      <protection locked="0"/>
    </xf>
    <xf numFmtId="0" fontId="58" fillId="0" borderId="295" xfId="0" applyFont="1" applyFill="1" applyBorder="1" applyAlignment="1" applyProtection="1">
      <alignment vertical="center"/>
    </xf>
    <xf numFmtId="0" fontId="43" fillId="0" borderId="341" xfId="0" applyFont="1" applyFill="1" applyBorder="1" applyAlignment="1" applyProtection="1">
      <alignment horizontal="left" vertical="center" indent="1"/>
    </xf>
    <xf numFmtId="0" fontId="46" fillId="0" borderId="341" xfId="0" applyFont="1" applyFill="1" applyBorder="1" applyAlignment="1" applyProtection="1">
      <alignment vertical="center"/>
    </xf>
    <xf numFmtId="0" fontId="43" fillId="0" borderId="341" xfId="0" applyFont="1" applyFill="1" applyBorder="1" applyAlignment="1" applyProtection="1">
      <alignment vertical="center"/>
    </xf>
    <xf numFmtId="0" fontId="43" fillId="0" borderId="331" xfId="0" applyFont="1" applyFill="1" applyBorder="1" applyAlignment="1" applyProtection="1">
      <alignment vertical="center"/>
    </xf>
    <xf numFmtId="6" fontId="43" fillId="0" borderId="381" xfId="0" applyNumberFormat="1" applyFont="1" applyFill="1" applyBorder="1" applyAlignment="1" applyProtection="1">
      <alignment vertical="center"/>
      <protection locked="0"/>
    </xf>
    <xf numFmtId="6" fontId="43" fillId="0" borderId="382" xfId="0" applyNumberFormat="1" applyFont="1" applyFill="1" applyBorder="1" applyAlignment="1" applyProtection="1">
      <alignment vertical="center"/>
      <protection locked="0"/>
    </xf>
    <xf numFmtId="6" fontId="43" fillId="0" borderId="383" xfId="0" applyNumberFormat="1" applyFont="1" applyFill="1" applyBorder="1" applyAlignment="1" applyProtection="1">
      <alignment vertical="center"/>
      <protection locked="0"/>
    </xf>
    <xf numFmtId="0" fontId="70" fillId="0" borderId="295" xfId="0" applyFont="1" applyFill="1" applyBorder="1" applyAlignment="1" applyProtection="1">
      <alignment vertical="center"/>
    </xf>
    <xf numFmtId="7" fontId="43" fillId="0" borderId="297" xfId="0" applyNumberFormat="1" applyFont="1" applyFill="1" applyBorder="1" applyAlignment="1" applyProtection="1">
      <alignment vertical="center"/>
    </xf>
    <xf numFmtId="0" fontId="43" fillId="0" borderId="6" xfId="0" applyFont="1" applyFill="1" applyBorder="1" applyAlignment="1" applyProtection="1">
      <alignment horizontal="left" vertical="center" indent="1"/>
    </xf>
    <xf numFmtId="0" fontId="46" fillId="0" borderId="6" xfId="0" applyFont="1" applyFill="1" applyBorder="1" applyAlignment="1" applyProtection="1">
      <alignment vertical="center"/>
    </xf>
    <xf numFmtId="0" fontId="43" fillId="0" borderId="6" xfId="0" applyFont="1" applyFill="1" applyBorder="1" applyAlignment="1" applyProtection="1">
      <alignment vertical="center"/>
    </xf>
    <xf numFmtId="6" fontId="43" fillId="0" borderId="384" xfId="0" applyNumberFormat="1" applyFont="1" applyFill="1" applyBorder="1" applyAlignment="1" applyProtection="1">
      <alignment vertical="center"/>
      <protection locked="0"/>
    </xf>
    <xf numFmtId="6" fontId="43" fillId="0" borderId="385" xfId="0" applyNumberFormat="1" applyFont="1" applyFill="1" applyBorder="1" applyAlignment="1" applyProtection="1">
      <alignment vertical="center"/>
      <protection locked="0"/>
    </xf>
    <xf numFmtId="6" fontId="43" fillId="0" borderId="386" xfId="0" applyNumberFormat="1" applyFont="1" applyFill="1" applyBorder="1" applyAlignment="1" applyProtection="1">
      <alignment vertical="center"/>
      <protection locked="0"/>
    </xf>
    <xf numFmtId="0" fontId="43" fillId="0" borderId="335" xfId="0" applyFont="1" applyFill="1" applyBorder="1" applyAlignment="1" applyProtection="1">
      <alignment horizontal="left" vertical="center"/>
    </xf>
    <xf numFmtId="0" fontId="46" fillId="0" borderId="335" xfId="0" applyFont="1" applyFill="1" applyBorder="1" applyAlignment="1" applyProtection="1">
      <alignment vertical="center"/>
    </xf>
    <xf numFmtId="6" fontId="43" fillId="0" borderId="316" xfId="0" applyNumberFormat="1" applyFont="1" applyFill="1" applyBorder="1" applyAlignment="1" applyProtection="1">
      <alignment horizontal="right" vertical="center"/>
      <protection locked="0"/>
    </xf>
    <xf numFmtId="0" fontId="43" fillId="0" borderId="6" xfId="0" applyFont="1" applyFill="1" applyBorder="1" applyAlignment="1" applyProtection="1">
      <alignment horizontal="left" vertical="center"/>
    </xf>
    <xf numFmtId="44" fontId="46" fillId="0" borderId="0" xfId="0" applyNumberFormat="1" applyFont="1" applyFill="1" applyBorder="1" applyAlignment="1" applyProtection="1">
      <alignment vertical="center"/>
    </xf>
    <xf numFmtId="6" fontId="43" fillId="0" borderId="396" xfId="0" applyNumberFormat="1" applyFont="1" applyFill="1" applyBorder="1" applyAlignment="1" applyProtection="1">
      <alignment vertical="center"/>
      <protection locked="0"/>
    </xf>
    <xf numFmtId="6" fontId="43" fillId="0" borderId="395" xfId="0" applyNumberFormat="1" applyFont="1" applyFill="1" applyBorder="1" applyAlignment="1" applyProtection="1">
      <alignment vertical="center"/>
      <protection locked="0"/>
    </xf>
    <xf numFmtId="0" fontId="46" fillId="0" borderId="304" xfId="0" applyFont="1" applyFill="1" applyBorder="1" applyAlignment="1" applyProtection="1">
      <alignment horizontal="left" vertical="center"/>
    </xf>
    <xf numFmtId="0" fontId="43" fillId="0" borderId="304" xfId="0" applyFont="1" applyFill="1" applyBorder="1" applyAlignment="1" applyProtection="1">
      <alignment vertical="center"/>
    </xf>
    <xf numFmtId="0" fontId="46" fillId="0" borderId="0" xfId="0" applyNumberFormat="1" applyFont="1" applyFill="1" applyBorder="1" applyAlignment="1" applyProtection="1">
      <alignment vertical="center"/>
    </xf>
    <xf numFmtId="6" fontId="46" fillId="0" borderId="252" xfId="0" applyNumberFormat="1" applyFont="1" applyFill="1" applyBorder="1" applyAlignment="1" applyProtection="1">
      <alignment vertical="center"/>
    </xf>
    <xf numFmtId="0" fontId="40" fillId="0" borderId="36" xfId="0" applyFont="1" applyFill="1" applyBorder="1" applyAlignment="1" applyProtection="1">
      <alignment vertical="center"/>
    </xf>
    <xf numFmtId="0" fontId="43" fillId="0" borderId="0" xfId="0" applyFont="1" applyFill="1" applyBorder="1" applyAlignment="1" applyProtection="1">
      <alignment horizontal="left" vertical="center" indent="1"/>
    </xf>
    <xf numFmtId="6" fontId="43" fillId="0" borderId="317" xfId="0" applyNumberFormat="1" applyFont="1" applyFill="1" applyBorder="1" applyAlignment="1" applyProtection="1">
      <alignment horizontal="right" vertical="center"/>
      <protection locked="0"/>
    </xf>
    <xf numFmtId="6" fontId="43" fillId="0" borderId="318" xfId="0" applyNumberFormat="1" applyFont="1" applyFill="1" applyBorder="1" applyAlignment="1" applyProtection="1">
      <alignment horizontal="right" vertical="center"/>
      <protection locked="0"/>
    </xf>
    <xf numFmtId="0" fontId="48" fillId="0" borderId="0" xfId="0" applyFont="1" applyFill="1" applyBorder="1" applyAlignment="1" applyProtection="1">
      <alignment vertical="center"/>
    </xf>
    <xf numFmtId="10" fontId="46" fillId="0" borderId="341" xfId="0" applyNumberFormat="1" applyFont="1" applyFill="1" applyBorder="1" applyAlignment="1" applyProtection="1">
      <alignment horizontal="center" vertical="center"/>
    </xf>
    <xf numFmtId="0" fontId="46" fillId="0" borderId="341" xfId="0" quotePrefix="1" applyFont="1" applyFill="1" applyBorder="1" applyAlignment="1" applyProtection="1">
      <alignment horizontal="center" vertical="center"/>
    </xf>
    <xf numFmtId="0" fontId="46" fillId="0" borderId="6" xfId="0" quotePrefix="1"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6" fontId="43" fillId="0" borderId="321" xfId="0" applyNumberFormat="1" applyFont="1" applyFill="1" applyBorder="1" applyAlignment="1" applyProtection="1">
      <alignment horizontal="right" vertical="center"/>
      <protection locked="0"/>
    </xf>
    <xf numFmtId="6" fontId="43" fillId="0" borderId="322" xfId="0" applyNumberFormat="1" applyFont="1" applyFill="1" applyBorder="1" applyAlignment="1" applyProtection="1">
      <alignment horizontal="right" vertical="center"/>
      <protection locked="0"/>
    </xf>
    <xf numFmtId="6" fontId="43" fillId="0" borderId="323" xfId="0" applyNumberFormat="1" applyFont="1" applyFill="1" applyBorder="1" applyAlignment="1" applyProtection="1">
      <alignment horizontal="right" vertical="center"/>
      <protection locked="0"/>
    </xf>
    <xf numFmtId="0" fontId="22" fillId="0" borderId="0" xfId="0" applyFont="1" applyFill="1" applyProtection="1"/>
    <xf numFmtId="0" fontId="66" fillId="0" borderId="339" xfId="0" applyFont="1" applyFill="1" applyBorder="1" applyAlignment="1" applyProtection="1">
      <alignment horizontal="right" vertical="center"/>
    </xf>
    <xf numFmtId="49" fontId="46" fillId="0" borderId="25" xfId="0" applyNumberFormat="1" applyFont="1" applyFill="1" applyBorder="1" applyAlignment="1" applyProtection="1">
      <alignment vertical="center"/>
    </xf>
    <xf numFmtId="0" fontId="21" fillId="7" borderId="0" xfId="0" applyFont="1" applyFill="1" applyBorder="1" applyAlignment="1" applyProtection="1">
      <alignment vertical="center"/>
    </xf>
    <xf numFmtId="166" fontId="43" fillId="6" borderId="316" xfId="0" applyNumberFormat="1" applyFont="1" applyFill="1" applyBorder="1" applyAlignment="1" applyProtection="1">
      <alignment horizontal="right" vertical="center"/>
    </xf>
    <xf numFmtId="166" fontId="43" fillId="6" borderId="38" xfId="0" applyNumberFormat="1" applyFont="1" applyFill="1" applyBorder="1" applyAlignment="1" applyProtection="1">
      <alignment vertical="center"/>
    </xf>
    <xf numFmtId="166" fontId="43" fillId="6" borderId="38" xfId="0" applyNumberFormat="1" applyFont="1" applyFill="1" applyBorder="1" applyAlignment="1" applyProtection="1">
      <alignment horizontal="right" vertical="center"/>
    </xf>
    <xf numFmtId="0" fontId="21" fillId="24" borderId="0" xfId="0" applyFont="1" applyFill="1" applyBorder="1" applyAlignment="1" applyProtection="1">
      <alignment vertical="center"/>
    </xf>
    <xf numFmtId="0" fontId="46" fillId="0" borderId="0" xfId="0" applyFont="1" applyFill="1" applyBorder="1" applyAlignment="1" applyProtection="1">
      <alignment horizontal="left" vertical="center" indent="1"/>
    </xf>
    <xf numFmtId="0" fontId="18" fillId="0" borderId="459" xfId="0" applyFont="1" applyFill="1" applyBorder="1" applyProtection="1">
      <protection locked="0"/>
    </xf>
    <xf numFmtId="0" fontId="18" fillId="0" borderId="358" xfId="0" applyFont="1" applyFill="1" applyBorder="1" applyProtection="1">
      <protection locked="0"/>
    </xf>
    <xf numFmtId="0" fontId="46" fillId="0" borderId="0" xfId="0" applyFont="1" applyFill="1" applyBorder="1" applyAlignment="1" applyProtection="1">
      <alignment vertical="center" wrapText="1"/>
    </xf>
    <xf numFmtId="0" fontId="46" fillId="0" borderId="3" xfId="0" applyFont="1" applyFill="1" applyBorder="1" applyAlignment="1" applyProtection="1">
      <alignment vertical="center" wrapText="1"/>
    </xf>
    <xf numFmtId="0" fontId="43" fillId="0" borderId="266" xfId="0" applyFont="1" applyFill="1" applyBorder="1" applyAlignment="1" applyProtection="1">
      <alignment vertical="center"/>
    </xf>
    <xf numFmtId="0" fontId="18" fillId="0" borderId="359" xfId="0" applyFont="1" applyFill="1" applyBorder="1" applyProtection="1">
      <protection locked="0"/>
    </xf>
    <xf numFmtId="0" fontId="43" fillId="21" borderId="2" xfId="0" applyFont="1" applyFill="1" applyBorder="1" applyProtection="1"/>
    <xf numFmtId="0" fontId="18" fillId="21" borderId="0" xfId="0" applyFont="1" applyFill="1" applyBorder="1" applyAlignment="1" applyProtection="1"/>
    <xf numFmtId="0" fontId="18" fillId="21" borderId="0" xfId="0" applyFont="1" applyFill="1" applyBorder="1" applyProtection="1"/>
    <xf numFmtId="0" fontId="18" fillId="21" borderId="3" xfId="0" applyFont="1" applyFill="1" applyBorder="1" applyProtection="1"/>
    <xf numFmtId="0" fontId="18" fillId="5" borderId="423" xfId="0" applyFont="1" applyFill="1" applyBorder="1" applyAlignment="1" applyProtection="1">
      <alignment horizontal="center" vertical="center" wrapText="1"/>
      <protection locked="0"/>
    </xf>
    <xf numFmtId="0" fontId="18" fillId="5" borderId="424" xfId="0" applyFont="1" applyFill="1" applyBorder="1" applyAlignment="1" applyProtection="1">
      <alignment horizontal="center" vertical="center" wrapText="1"/>
      <protection locked="0"/>
    </xf>
    <xf numFmtId="0" fontId="18" fillId="5" borderId="425" xfId="0" applyFont="1" applyFill="1" applyBorder="1" applyAlignment="1" applyProtection="1">
      <alignment horizontal="center" vertical="center"/>
      <protection locked="0"/>
    </xf>
    <xf numFmtId="0" fontId="18" fillId="0" borderId="0" xfId="0" applyFont="1" applyBorder="1" applyAlignment="1" applyProtection="1">
      <alignment wrapText="1"/>
    </xf>
    <xf numFmtId="0" fontId="53" fillId="0" borderId="298" xfId="0" applyFont="1" applyFill="1" applyBorder="1" applyAlignment="1" applyProtection="1">
      <alignment horizontal="left" wrapText="1"/>
    </xf>
    <xf numFmtId="0" fontId="18" fillId="0" borderId="299" xfId="0" applyFont="1" applyFill="1" applyBorder="1" applyAlignment="1" applyProtection="1">
      <alignment wrapText="1"/>
    </xf>
    <xf numFmtId="0" fontId="18" fillId="0" borderId="426" xfId="0" applyFont="1" applyFill="1" applyBorder="1" applyAlignment="1" applyProtection="1">
      <alignment wrapText="1"/>
    </xf>
    <xf numFmtId="0" fontId="18" fillId="0" borderId="300" xfId="0" applyFont="1" applyBorder="1" applyAlignment="1" applyProtection="1">
      <alignment wrapText="1"/>
    </xf>
    <xf numFmtId="0" fontId="53" fillId="0" borderId="295" xfId="0" applyFont="1" applyFill="1" applyBorder="1" applyAlignment="1" applyProtection="1">
      <alignment horizontal="left" wrapText="1"/>
    </xf>
    <xf numFmtId="0" fontId="18" fillId="0" borderId="297" xfId="0" applyFont="1" applyBorder="1" applyAlignment="1" applyProtection="1">
      <alignment wrapText="1"/>
    </xf>
    <xf numFmtId="0" fontId="18" fillId="0" borderId="0" xfId="0" applyFont="1" applyFill="1" applyBorder="1" applyAlignment="1" applyProtection="1">
      <alignment wrapText="1"/>
    </xf>
    <xf numFmtId="0" fontId="43" fillId="0" borderId="295" xfId="0" applyFont="1" applyFill="1" applyBorder="1" applyAlignment="1" applyProtection="1">
      <alignment horizontal="left" wrapText="1"/>
    </xf>
    <xf numFmtId="0" fontId="43" fillId="0" borderId="0" xfId="0" applyFont="1" applyAlignment="1" applyProtection="1">
      <alignment wrapText="1"/>
    </xf>
    <xf numFmtId="0" fontId="43" fillId="0" borderId="297" xfId="0" applyFont="1" applyBorder="1" applyAlignment="1" applyProtection="1">
      <alignment wrapText="1"/>
    </xf>
    <xf numFmtId="0" fontId="43" fillId="0" borderId="0" xfId="0" applyFont="1" applyFill="1" applyBorder="1" applyAlignment="1" applyProtection="1">
      <alignment wrapText="1"/>
    </xf>
    <xf numFmtId="0" fontId="20" fillId="0" borderId="0" xfId="0" applyFont="1" applyFill="1" applyBorder="1" applyAlignment="1" applyProtection="1"/>
    <xf numFmtId="0" fontId="20" fillId="0" borderId="0" xfId="0" applyFont="1" applyFill="1" applyBorder="1" applyAlignment="1" applyProtection="1">
      <alignment wrapText="1"/>
    </xf>
    <xf numFmtId="0" fontId="18" fillId="0" borderId="295" xfId="0" applyFont="1" applyFill="1" applyBorder="1" applyAlignment="1" applyProtection="1">
      <alignment wrapText="1"/>
    </xf>
    <xf numFmtId="0" fontId="46" fillId="17" borderId="303" xfId="0" applyFont="1" applyFill="1" applyBorder="1" applyAlignment="1" applyProtection="1">
      <alignment horizontal="center" vertical="center" wrapText="1"/>
    </xf>
    <xf numFmtId="0" fontId="46" fillId="17" borderId="255" xfId="0" applyFont="1" applyFill="1" applyBorder="1" applyAlignment="1" applyProtection="1">
      <alignment horizontal="center" vertical="center" wrapText="1"/>
    </xf>
    <xf numFmtId="0" fontId="46" fillId="17" borderId="256" xfId="0" applyFont="1" applyFill="1" applyBorder="1" applyAlignment="1" applyProtection="1">
      <alignment horizontal="center" vertical="center" wrapText="1"/>
    </xf>
    <xf numFmtId="0" fontId="74" fillId="0" borderId="295" xfId="0" applyFont="1" applyFill="1" applyBorder="1" applyAlignment="1" applyProtection="1">
      <alignment wrapText="1"/>
    </xf>
    <xf numFmtId="0" fontId="18" fillId="5" borderId="409" xfId="0" applyFont="1" applyFill="1" applyBorder="1" applyAlignment="1" applyProtection="1">
      <alignment horizontal="center" wrapText="1"/>
      <protection locked="0"/>
    </xf>
    <xf numFmtId="0" fontId="18" fillId="5" borderId="406" xfId="0" applyFont="1" applyFill="1" applyBorder="1" applyAlignment="1" applyProtection="1">
      <alignment horizontal="center" wrapText="1"/>
      <protection locked="0"/>
    </xf>
    <xf numFmtId="0" fontId="18" fillId="0" borderId="50" xfId="0" applyFont="1" applyBorder="1" applyAlignment="1" applyProtection="1">
      <alignment horizontal="left" wrapText="1"/>
      <protection locked="0"/>
    </xf>
    <xf numFmtId="49" fontId="18" fillId="0" borderId="50" xfId="0" applyNumberFormat="1" applyFont="1" applyFill="1" applyBorder="1" applyAlignment="1" applyProtection="1">
      <alignment horizontal="center" wrapText="1"/>
      <protection locked="0"/>
    </xf>
    <xf numFmtId="49" fontId="18" fillId="0" borderId="53" xfId="0" applyNumberFormat="1" applyFont="1" applyFill="1" applyBorder="1" applyAlignment="1" applyProtection="1">
      <alignment horizontal="center" wrapText="1"/>
      <protection locked="0"/>
    </xf>
    <xf numFmtId="0" fontId="18" fillId="5" borderId="410" xfId="0" applyFont="1" applyFill="1" applyBorder="1" applyAlignment="1" applyProtection="1">
      <alignment horizontal="center" wrapText="1"/>
      <protection locked="0"/>
    </xf>
    <xf numFmtId="0" fontId="18" fillId="5" borderId="407" xfId="0" applyFont="1" applyFill="1" applyBorder="1" applyAlignment="1" applyProtection="1">
      <alignment horizontal="center" wrapText="1"/>
      <protection locked="0"/>
    </xf>
    <xf numFmtId="0" fontId="18" fillId="0" borderId="48" xfId="0" applyFont="1" applyBorder="1" applyAlignment="1" applyProtection="1">
      <alignment horizontal="left" wrapText="1"/>
      <protection locked="0"/>
    </xf>
    <xf numFmtId="49" fontId="18" fillId="0" borderId="48" xfId="0" applyNumberFormat="1" applyFont="1" applyFill="1" applyBorder="1" applyAlignment="1" applyProtection="1">
      <alignment horizontal="center" wrapText="1"/>
      <protection locked="0"/>
    </xf>
    <xf numFmtId="49" fontId="18" fillId="0" borderId="39" xfId="0" applyNumberFormat="1" applyFont="1" applyFill="1" applyBorder="1" applyAlignment="1" applyProtection="1">
      <alignment horizontal="center" wrapText="1"/>
      <protection locked="0"/>
    </xf>
    <xf numFmtId="0" fontId="18" fillId="0" borderId="48" xfId="0" applyFont="1" applyFill="1" applyBorder="1" applyAlignment="1" applyProtection="1">
      <alignment horizontal="center" wrapText="1"/>
      <protection locked="0"/>
    </xf>
    <xf numFmtId="0" fontId="57" fillId="0" borderId="295" xfId="0" applyFont="1" applyFill="1" applyBorder="1" applyAlignment="1" applyProtection="1">
      <alignment wrapText="1"/>
    </xf>
    <xf numFmtId="0" fontId="22" fillId="5" borderId="411" xfId="0" applyFont="1" applyFill="1" applyBorder="1" applyAlignment="1" applyProtection="1">
      <alignment horizontal="center" wrapText="1"/>
      <protection locked="0"/>
    </xf>
    <xf numFmtId="0" fontId="22" fillId="5" borderId="408" xfId="0" applyFont="1" applyFill="1" applyBorder="1" applyAlignment="1" applyProtection="1">
      <alignment horizontal="center" wrapText="1"/>
      <protection locked="0"/>
    </xf>
    <xf numFmtId="0" fontId="22" fillId="0" borderId="52" xfId="0" applyFont="1" applyBorder="1" applyAlignment="1" applyProtection="1">
      <alignment horizontal="center" wrapText="1"/>
      <protection locked="0"/>
    </xf>
    <xf numFmtId="0" fontId="22" fillId="0" borderId="52" xfId="0" applyFont="1" applyBorder="1" applyAlignment="1" applyProtection="1">
      <alignment wrapText="1"/>
      <protection locked="0"/>
    </xf>
    <xf numFmtId="49" fontId="18" fillId="0" borderId="52" xfId="0" applyNumberFormat="1" applyFont="1" applyFill="1" applyBorder="1" applyAlignment="1" applyProtection="1">
      <alignment horizontal="center" wrapText="1"/>
      <protection locked="0"/>
    </xf>
    <xf numFmtId="49" fontId="18" fillId="0" borderId="54" xfId="0" applyNumberFormat="1" applyFont="1" applyFill="1" applyBorder="1" applyAlignment="1" applyProtection="1">
      <alignment horizontal="center" wrapText="1"/>
      <protection locked="0"/>
    </xf>
    <xf numFmtId="0" fontId="18" fillId="0" borderId="50" xfId="0" applyFont="1" applyBorder="1" applyAlignment="1" applyProtection="1">
      <alignment wrapText="1"/>
      <protection locked="0"/>
    </xf>
    <xf numFmtId="0" fontId="18" fillId="0" borderId="48" xfId="0" applyFont="1" applyBorder="1" applyAlignment="1" applyProtection="1">
      <alignment wrapText="1"/>
      <protection locked="0"/>
    </xf>
    <xf numFmtId="0" fontId="18" fillId="0" borderId="48" xfId="0" applyFont="1" applyFill="1" applyBorder="1" applyAlignment="1" applyProtection="1">
      <alignment wrapText="1"/>
      <protection locked="0"/>
    </xf>
    <xf numFmtId="0" fontId="18" fillId="0" borderId="296" xfId="0" applyFont="1" applyFill="1" applyBorder="1" applyAlignment="1" applyProtection="1">
      <alignment wrapText="1"/>
    </xf>
    <xf numFmtId="0" fontId="22" fillId="0" borderId="301" xfId="0" applyFont="1" applyBorder="1" applyAlignment="1" applyProtection="1">
      <alignment wrapText="1"/>
    </xf>
    <xf numFmtId="0" fontId="18" fillId="0" borderId="302" xfId="0" applyFont="1" applyBorder="1" applyAlignment="1" applyProtection="1">
      <alignment wrapText="1"/>
    </xf>
    <xf numFmtId="0" fontId="20" fillId="0" borderId="461" xfId="0" applyFont="1" applyFill="1" applyBorder="1" applyAlignment="1" applyProtection="1"/>
    <xf numFmtId="0" fontId="18" fillId="0" borderId="299" xfId="0" applyFont="1" applyFill="1" applyBorder="1" applyAlignment="1" applyProtection="1"/>
    <xf numFmtId="0" fontId="75" fillId="0" borderId="297" xfId="0" applyFont="1" applyFill="1" applyBorder="1" applyAlignment="1" applyProtection="1">
      <alignment horizontal="left" vertical="center" wrapText="1"/>
    </xf>
    <xf numFmtId="0" fontId="22" fillId="0" borderId="0" xfId="0" applyFont="1" applyBorder="1" applyAlignment="1" applyProtection="1"/>
    <xf numFmtId="0" fontId="18" fillId="5" borderId="411" xfId="0" applyFont="1" applyFill="1" applyBorder="1" applyAlignment="1" applyProtection="1">
      <alignment horizontal="center" wrapText="1"/>
      <protection locked="0"/>
    </xf>
    <xf numFmtId="0" fontId="18" fillId="5" borderId="408" xfId="0" applyFont="1" applyFill="1" applyBorder="1" applyAlignment="1" applyProtection="1">
      <alignment horizontal="center" wrapText="1"/>
      <protection locked="0"/>
    </xf>
    <xf numFmtId="0" fontId="18" fillId="0" borderId="52" xfId="0" applyFont="1" applyBorder="1" applyAlignment="1" applyProtection="1">
      <alignment wrapText="1"/>
      <protection locked="0"/>
    </xf>
    <xf numFmtId="0" fontId="22" fillId="0" borderId="301" xfId="0" applyFont="1" applyBorder="1" applyAlignment="1" applyProtection="1"/>
    <xf numFmtId="0" fontId="20" fillId="0" borderId="6" xfId="0" applyFont="1" applyFill="1" applyBorder="1" applyAlignment="1" applyProtection="1"/>
    <xf numFmtId="0" fontId="18" fillId="0" borderId="405" xfId="0" applyFont="1" applyBorder="1" applyAlignment="1" applyProtection="1">
      <protection locked="0"/>
    </xf>
    <xf numFmtId="0" fontId="18" fillId="0" borderId="333" xfId="0" applyFont="1" applyBorder="1" applyAlignment="1" applyProtection="1">
      <protection locked="0"/>
    </xf>
    <xf numFmtId="0" fontId="18" fillId="0" borderId="333" xfId="0" applyFont="1" applyFill="1" applyBorder="1" applyAlignment="1" applyProtection="1">
      <protection locked="0"/>
    </xf>
    <xf numFmtId="0" fontId="18" fillId="0" borderId="337" xfId="0" applyFont="1" applyBorder="1" applyAlignment="1" applyProtection="1">
      <protection locked="0"/>
    </xf>
    <xf numFmtId="0" fontId="47" fillId="6" borderId="80" xfId="0" applyFont="1" applyFill="1" applyBorder="1" applyAlignment="1" applyProtection="1">
      <alignment vertical="center"/>
    </xf>
    <xf numFmtId="0" fontId="47" fillId="6" borderId="78" xfId="0" applyFont="1" applyFill="1" applyBorder="1" applyAlignment="1" applyProtection="1">
      <alignment vertical="center"/>
    </xf>
    <xf numFmtId="0" fontId="47" fillId="6" borderId="81" xfId="0" applyFont="1" applyFill="1" applyBorder="1" applyAlignment="1" applyProtection="1">
      <alignment vertical="center"/>
    </xf>
    <xf numFmtId="0" fontId="46" fillId="17" borderId="288" xfId="0" applyFont="1" applyFill="1" applyBorder="1" applyAlignment="1" applyProtection="1">
      <alignment vertical="center"/>
    </xf>
    <xf numFmtId="0" fontId="46" fillId="17" borderId="452" xfId="0" applyFont="1" applyFill="1" applyBorder="1" applyAlignment="1" applyProtection="1">
      <alignment vertical="center"/>
    </xf>
    <xf numFmtId="0" fontId="46" fillId="17" borderId="447" xfId="0" applyFont="1" applyFill="1" applyBorder="1" applyAlignment="1" applyProtection="1">
      <alignment horizontal="center" vertical="center" wrapText="1"/>
    </xf>
    <xf numFmtId="0" fontId="18" fillId="0" borderId="63" xfId="0" applyFont="1" applyFill="1" applyBorder="1" applyAlignment="1" applyProtection="1">
      <protection locked="0"/>
    </xf>
    <xf numFmtId="0" fontId="46" fillId="17" borderId="452" xfId="0" applyFont="1" applyFill="1" applyBorder="1" applyAlignment="1" applyProtection="1">
      <alignment vertical="center" wrapText="1"/>
    </xf>
    <xf numFmtId="0" fontId="18" fillId="0" borderId="52" xfId="0" applyFont="1" applyFill="1" applyBorder="1" applyAlignment="1" applyProtection="1">
      <alignment horizontal="center" wrapText="1"/>
      <protection locked="0"/>
    </xf>
    <xf numFmtId="0" fontId="22" fillId="0" borderId="0" xfId="0" applyFont="1" applyBorder="1" applyAlignment="1" applyProtection="1">
      <alignment wrapText="1"/>
    </xf>
    <xf numFmtId="0" fontId="18" fillId="0" borderId="298" xfId="0" applyFont="1" applyFill="1" applyBorder="1" applyAlignment="1" applyProtection="1">
      <alignment horizontal="left" wrapText="1"/>
    </xf>
    <xf numFmtId="0" fontId="18" fillId="0" borderId="295" xfId="0" applyFont="1" applyFill="1" applyBorder="1" applyAlignment="1" applyProtection="1">
      <alignment horizontal="left" wrapText="1"/>
    </xf>
    <xf numFmtId="0" fontId="75" fillId="0" borderId="0" xfId="0" applyFont="1" applyBorder="1" applyAlignment="1" applyProtection="1">
      <alignment horizontal="left" vertical="center" wrapText="1"/>
    </xf>
    <xf numFmtId="0" fontId="18" fillId="0" borderId="130" xfId="0" applyFont="1" applyBorder="1" applyAlignment="1">
      <alignment vertical="center"/>
    </xf>
    <xf numFmtId="0" fontId="18" fillId="0" borderId="4" xfId="0" applyFont="1" applyBorder="1" applyAlignment="1">
      <alignment vertical="center"/>
    </xf>
    <xf numFmtId="44" fontId="3" fillId="3" borderId="98" xfId="0" applyNumberFormat="1" applyFont="1" applyFill="1" applyBorder="1" applyAlignment="1" applyProtection="1">
      <protection locked="0"/>
    </xf>
    <xf numFmtId="0" fontId="0" fillId="0" borderId="129" xfId="0" applyBorder="1"/>
    <xf numFmtId="1" fontId="6" fillId="2" borderId="468" xfId="0" applyNumberFormat="1" applyFont="1" applyFill="1" applyBorder="1" applyAlignment="1" applyProtection="1">
      <alignment vertical="center"/>
    </xf>
    <xf numFmtId="0" fontId="18" fillId="0" borderId="2" xfId="0" applyFont="1" applyFill="1" applyBorder="1" applyAlignment="1" applyProtection="1">
      <alignment wrapText="1"/>
    </xf>
    <xf numFmtId="0" fontId="18" fillId="0" borderId="2" xfId="0" applyFont="1" applyFill="1" applyBorder="1" applyProtection="1"/>
    <xf numFmtId="0" fontId="18" fillId="0" borderId="29" xfId="0" applyFont="1" applyFill="1" applyBorder="1" applyProtection="1">
      <protection locked="0"/>
    </xf>
    <xf numFmtId="0" fontId="18" fillId="0" borderId="2" xfId="0" applyFont="1" applyFill="1" applyBorder="1" applyAlignment="1" applyProtection="1"/>
    <xf numFmtId="0" fontId="18" fillId="0" borderId="12" xfId="0" applyFont="1" applyFill="1" applyBorder="1" applyProtection="1"/>
    <xf numFmtId="0" fontId="18" fillId="0" borderId="29" xfId="0" applyFont="1" applyFill="1" applyBorder="1" applyAlignment="1" applyProtection="1">
      <alignment horizontal="left"/>
      <protection locked="0"/>
    </xf>
    <xf numFmtId="0" fontId="63" fillId="0" borderId="266" xfId="0" applyFont="1" applyFill="1" applyBorder="1" applyAlignment="1" applyProtection="1"/>
    <xf numFmtId="0" fontId="18" fillId="0" borderId="128" xfId="0" applyFont="1" applyFill="1" applyBorder="1" applyProtection="1"/>
    <xf numFmtId="0" fontId="18" fillId="0" borderId="14" xfId="0" applyFont="1" applyFill="1" applyBorder="1" applyProtection="1"/>
    <xf numFmtId="0" fontId="18" fillId="0" borderId="166" xfId="0" applyFont="1" applyFill="1" applyBorder="1" applyProtection="1"/>
    <xf numFmtId="0" fontId="22" fillId="0" borderId="0" xfId="0" applyFont="1" applyFill="1" applyBorder="1" applyProtection="1"/>
    <xf numFmtId="0" fontId="43" fillId="0" borderId="2" xfId="0" applyFont="1" applyFill="1" applyBorder="1" applyProtection="1"/>
    <xf numFmtId="9" fontId="27" fillId="6" borderId="79" xfId="0" applyNumberFormat="1" applyFont="1" applyFill="1" applyBorder="1" applyAlignment="1" applyProtection="1">
      <alignment vertical="center"/>
    </xf>
    <xf numFmtId="9" fontId="25" fillId="18" borderId="248" xfId="0" applyNumberFormat="1" applyFont="1" applyFill="1" applyBorder="1" applyAlignment="1" applyProtection="1">
      <alignment vertical="center"/>
    </xf>
    <xf numFmtId="9" fontId="25" fillId="18" borderId="208" xfId="0" applyNumberFormat="1" applyFont="1" applyFill="1" applyBorder="1" applyAlignment="1" applyProtection="1">
      <alignment vertical="center"/>
    </xf>
    <xf numFmtId="9" fontId="25" fillId="18" borderId="210" xfId="0" applyNumberFormat="1" applyFont="1" applyFill="1" applyBorder="1" applyAlignment="1" applyProtection="1">
      <alignment vertical="center"/>
    </xf>
    <xf numFmtId="9" fontId="25" fillId="18" borderId="209" xfId="0" applyNumberFormat="1" applyFont="1" applyFill="1" applyBorder="1" applyAlignment="1" applyProtection="1">
      <alignment vertical="center"/>
    </xf>
    <xf numFmtId="0" fontId="55" fillId="0" borderId="0" xfId="0" applyFont="1" applyFill="1" applyBorder="1" applyAlignment="1" applyProtection="1">
      <alignment horizontal="right" vertical="center"/>
    </xf>
    <xf numFmtId="0" fontId="32" fillId="0" borderId="0" xfId="0" applyFont="1" applyFill="1" applyBorder="1" applyAlignment="1" applyProtection="1"/>
    <xf numFmtId="0" fontId="32" fillId="0" borderId="0" xfId="0" applyFont="1" applyFill="1" applyBorder="1" applyProtection="1"/>
    <xf numFmtId="42" fontId="55" fillId="0" borderId="0" xfId="0" applyNumberFormat="1" applyFont="1" applyFill="1" applyBorder="1" applyAlignment="1" applyProtection="1">
      <alignment vertical="center"/>
    </xf>
    <xf numFmtId="166" fontId="43" fillId="0" borderId="274" xfId="0" applyNumberFormat="1" applyFont="1" applyFill="1" applyBorder="1" applyProtection="1">
      <protection locked="0"/>
    </xf>
    <xf numFmtId="166" fontId="43" fillId="0" borderId="275" xfId="0" applyNumberFormat="1" applyFont="1" applyFill="1" applyBorder="1" applyProtection="1">
      <protection locked="0"/>
    </xf>
    <xf numFmtId="166" fontId="43" fillId="0" borderId="276" xfId="0" applyNumberFormat="1" applyFont="1" applyFill="1" applyBorder="1" applyProtection="1">
      <protection locked="0"/>
    </xf>
    <xf numFmtId="166" fontId="43" fillId="0" borderId="66" xfId="0" applyNumberFormat="1" applyFont="1" applyFill="1" applyBorder="1" applyProtection="1">
      <protection locked="0"/>
    </xf>
    <xf numFmtId="166" fontId="43" fillId="0" borderId="67" xfId="0" applyNumberFormat="1" applyFont="1" applyFill="1" applyBorder="1" applyProtection="1">
      <protection locked="0"/>
    </xf>
    <xf numFmtId="166" fontId="43" fillId="0" borderId="68" xfId="0" applyNumberFormat="1" applyFont="1" applyFill="1" applyBorder="1" applyProtection="1">
      <protection locked="0"/>
    </xf>
    <xf numFmtId="166" fontId="43" fillId="0" borderId="69" xfId="0" applyNumberFormat="1" applyFont="1" applyFill="1" applyBorder="1" applyProtection="1">
      <protection locked="0"/>
    </xf>
    <xf numFmtId="166" fontId="43" fillId="0" borderId="70" xfId="0" applyNumberFormat="1" applyFont="1" applyFill="1" applyBorder="1" applyProtection="1">
      <protection locked="0"/>
    </xf>
    <xf numFmtId="166" fontId="43" fillId="0" borderId="71" xfId="0" applyNumberFormat="1" applyFont="1" applyFill="1" applyBorder="1" applyProtection="1">
      <protection locked="0"/>
    </xf>
    <xf numFmtId="166" fontId="43" fillId="6" borderId="287" xfId="0" applyNumberFormat="1" applyFont="1" applyFill="1" applyBorder="1" applyProtection="1"/>
    <xf numFmtId="166" fontId="43" fillId="6" borderId="285" xfId="0" applyNumberFormat="1" applyFont="1" applyFill="1" applyBorder="1" applyProtection="1"/>
    <xf numFmtId="166" fontId="43" fillId="6" borderId="282" xfId="0" applyNumberFormat="1" applyFont="1" applyFill="1" applyBorder="1" applyProtection="1"/>
    <xf numFmtId="5" fontId="43" fillId="6" borderId="164" xfId="0" applyNumberFormat="1" applyFont="1" applyFill="1" applyBorder="1" applyAlignment="1" applyProtection="1">
      <alignment horizontal="right"/>
    </xf>
    <xf numFmtId="5" fontId="43" fillId="6" borderId="470" xfId="0" applyNumberFormat="1" applyFont="1" applyFill="1" applyBorder="1" applyAlignment="1" applyProtection="1">
      <alignment horizontal="right"/>
    </xf>
    <xf numFmtId="0" fontId="40" fillId="17" borderId="471" xfId="0" applyFont="1" applyFill="1" applyBorder="1" applyAlignment="1" applyProtection="1">
      <alignment horizontal="center"/>
    </xf>
    <xf numFmtId="5" fontId="43" fillId="17" borderId="5" xfId="0" applyNumberFormat="1" applyFont="1" applyFill="1" applyBorder="1" applyProtection="1"/>
    <xf numFmtId="166" fontId="18" fillId="6" borderId="156" xfId="0" applyNumberFormat="1" applyFont="1" applyFill="1" applyBorder="1" applyAlignment="1" applyProtection="1">
      <alignment horizontal="right" wrapText="1"/>
    </xf>
    <xf numFmtId="166" fontId="18" fillId="0" borderId="472" xfId="0" applyNumberFormat="1" applyFont="1" applyFill="1" applyBorder="1" applyAlignment="1" applyProtection="1">
      <protection locked="0"/>
    </xf>
    <xf numFmtId="166" fontId="18" fillId="0" borderId="473" xfId="0" applyNumberFormat="1" applyFont="1" applyFill="1" applyBorder="1" applyAlignment="1" applyProtection="1">
      <protection locked="0"/>
    </xf>
    <xf numFmtId="3" fontId="20" fillId="0" borderId="0" xfId="0" applyNumberFormat="1" applyFont="1" applyFill="1" applyBorder="1" applyAlignment="1" applyProtection="1">
      <alignment horizontal="center"/>
    </xf>
    <xf numFmtId="0" fontId="18" fillId="0" borderId="3" xfId="0" applyFont="1" applyFill="1" applyBorder="1" applyAlignment="1" applyProtection="1"/>
    <xf numFmtId="168" fontId="43" fillId="6" borderId="401" xfId="0" applyNumberFormat="1" applyFont="1" applyFill="1" applyBorder="1" applyAlignment="1" applyProtection="1">
      <alignment horizontal="right" vertical="center"/>
    </xf>
    <xf numFmtId="0" fontId="43" fillId="6" borderId="402" xfId="0" applyNumberFormat="1" applyFont="1" applyFill="1" applyBorder="1" applyAlignment="1" applyProtection="1">
      <alignment horizontal="right" vertical="center"/>
    </xf>
    <xf numFmtId="0" fontId="43" fillId="6" borderId="403" xfId="0" applyNumberFormat="1" applyFont="1" applyFill="1" applyBorder="1" applyAlignment="1" applyProtection="1">
      <alignment horizontal="right" vertical="center"/>
    </xf>
    <xf numFmtId="0" fontId="43" fillId="6" borderId="274" xfId="0" applyNumberFormat="1" applyFont="1" applyFill="1" applyBorder="1" applyAlignment="1" applyProtection="1">
      <alignment horizontal="right" vertical="center"/>
    </xf>
    <xf numFmtId="0" fontId="43" fillId="6" borderId="275" xfId="0" applyNumberFormat="1" applyFont="1" applyFill="1" applyBorder="1" applyAlignment="1" applyProtection="1">
      <alignment horizontal="right" vertical="center"/>
    </xf>
    <xf numFmtId="0" fontId="43" fillId="6" borderId="276" xfId="0" applyNumberFormat="1" applyFont="1" applyFill="1" applyBorder="1" applyAlignment="1" applyProtection="1">
      <alignment horizontal="right" vertical="center"/>
    </xf>
    <xf numFmtId="0" fontId="43" fillId="6" borderId="401" xfId="0" applyNumberFormat="1" applyFont="1" applyFill="1" applyBorder="1" applyAlignment="1" applyProtection="1">
      <alignment horizontal="right" vertical="center"/>
    </xf>
    <xf numFmtId="0" fontId="18" fillId="0" borderId="409" xfId="0" applyFont="1" applyFill="1" applyBorder="1" applyAlignment="1" applyProtection="1">
      <alignment horizontal="center" wrapText="1"/>
      <protection locked="0"/>
    </xf>
    <xf numFmtId="0" fontId="18" fillId="0" borderId="406" xfId="0" applyFont="1" applyFill="1" applyBorder="1" applyAlignment="1" applyProtection="1">
      <alignment horizontal="center" wrapText="1"/>
      <protection locked="0"/>
    </xf>
    <xf numFmtId="0" fontId="18" fillId="0" borderId="463" xfId="0" applyFont="1" applyFill="1" applyBorder="1" applyAlignment="1" applyProtection="1">
      <alignment horizontal="center" wrapText="1"/>
      <protection locked="0"/>
    </xf>
    <xf numFmtId="0" fontId="18" fillId="0" borderId="465" xfId="0" applyFont="1" applyFill="1" applyBorder="1" applyAlignment="1" applyProtection="1">
      <protection locked="0"/>
    </xf>
    <xf numFmtId="0" fontId="18" fillId="0" borderId="464" xfId="0" applyFont="1" applyFill="1" applyBorder="1" applyAlignment="1" applyProtection="1">
      <alignment horizontal="center" wrapText="1"/>
      <protection locked="0"/>
    </xf>
    <xf numFmtId="0" fontId="0" fillId="0" borderId="0" xfId="0" applyAlignment="1">
      <alignment vertical="center"/>
    </xf>
    <xf numFmtId="0" fontId="2" fillId="0" borderId="0" xfId="0" applyFont="1" applyAlignment="1">
      <alignment vertical="center"/>
    </xf>
    <xf numFmtId="9" fontId="0" fillId="0" borderId="0" xfId="0" applyNumberFormat="1" applyAlignment="1">
      <alignment vertical="center"/>
    </xf>
    <xf numFmtId="0" fontId="77" fillId="0" borderId="0" xfId="0" applyFont="1" applyAlignment="1">
      <alignment vertical="center"/>
    </xf>
    <xf numFmtId="0" fontId="73" fillId="0" borderId="0" xfId="0" applyFont="1" applyAlignment="1">
      <alignment vertical="center"/>
    </xf>
    <xf numFmtId="9" fontId="0" fillId="0" borderId="0" xfId="0" applyNumberFormat="1" applyAlignment="1">
      <alignment horizontal="right" vertical="center"/>
    </xf>
    <xf numFmtId="9" fontId="0" fillId="7" borderId="0" xfId="0" applyNumberFormat="1" applyFill="1"/>
    <xf numFmtId="0" fontId="0" fillId="7" borderId="0" xfId="0" applyFill="1"/>
    <xf numFmtId="9" fontId="0" fillId="26" borderId="0" xfId="0" applyNumberFormat="1" applyFill="1"/>
    <xf numFmtId="0" fontId="0" fillId="26" borderId="0" xfId="0" applyFill="1"/>
    <xf numFmtId="0" fontId="0" fillId="27" borderId="0" xfId="0" applyFill="1"/>
    <xf numFmtId="0" fontId="3" fillId="0" borderId="0" xfId="0" applyFont="1"/>
    <xf numFmtId="0" fontId="19" fillId="0" borderId="0" xfId="0" applyFont="1" applyFill="1"/>
    <xf numFmtId="0" fontId="17" fillId="0" borderId="0" xfId="0" applyFont="1" applyFill="1"/>
    <xf numFmtId="9" fontId="17" fillId="0" borderId="0" xfId="0" applyNumberFormat="1" applyFont="1" applyFill="1" applyAlignment="1">
      <alignment horizontal="left"/>
    </xf>
    <xf numFmtId="0" fontId="57" fillId="0" borderId="0" xfId="0" applyFont="1" applyFill="1" applyBorder="1"/>
    <xf numFmtId="0" fontId="57" fillId="0" borderId="0" xfId="0" applyFont="1" applyFill="1" applyBorder="1" applyAlignment="1"/>
    <xf numFmtId="0" fontId="57" fillId="0" borderId="0" xfId="0" applyFont="1" applyFill="1" applyBorder="1" applyAlignment="1">
      <alignment horizontal="left"/>
    </xf>
    <xf numFmtId="6" fontId="57" fillId="0" borderId="0" xfId="0" applyNumberFormat="1" applyFont="1" applyFill="1" applyBorder="1" applyAlignment="1">
      <alignment horizontal="left"/>
    </xf>
    <xf numFmtId="42" fontId="25" fillId="0" borderId="339" xfId="0" applyNumberFormat="1" applyFont="1" applyFill="1" applyBorder="1" applyAlignment="1" applyProtection="1">
      <alignment vertical="center"/>
    </xf>
    <xf numFmtId="0" fontId="18" fillId="0" borderId="461" xfId="0" applyFont="1" applyFill="1" applyBorder="1" applyProtection="1"/>
    <xf numFmtId="0" fontId="18" fillId="0" borderId="462" xfId="0" applyFont="1" applyFill="1" applyBorder="1" applyProtection="1"/>
    <xf numFmtId="44" fontId="25" fillId="6" borderId="453" xfId="0" applyNumberFormat="1" applyFont="1" applyFill="1" applyBorder="1" applyAlignment="1" applyProtection="1">
      <alignment vertical="center"/>
    </xf>
    <xf numFmtId="0" fontId="58" fillId="0" borderId="29" xfId="0" applyFont="1" applyBorder="1" applyProtection="1"/>
    <xf numFmtId="0" fontId="18" fillId="0" borderId="317" xfId="0" applyFont="1" applyFill="1" applyBorder="1" applyAlignment="1" applyProtection="1">
      <alignment horizontal="center" wrapText="1"/>
      <protection locked="0"/>
    </xf>
    <xf numFmtId="166" fontId="18" fillId="0" borderId="317" xfId="0" applyNumberFormat="1" applyFont="1" applyFill="1" applyBorder="1" applyAlignment="1" applyProtection="1">
      <alignment horizontal="right" wrapText="1"/>
      <protection locked="0"/>
    </xf>
    <xf numFmtId="9" fontId="18" fillId="0" borderId="317" xfId="0" applyNumberFormat="1" applyFont="1" applyFill="1" applyBorder="1" applyAlignment="1" applyProtection="1">
      <alignment horizontal="right" wrapText="1"/>
      <protection locked="0"/>
    </xf>
    <xf numFmtId="166" fontId="18" fillId="6" borderId="317" xfId="0" applyNumberFormat="1" applyFont="1" applyFill="1" applyBorder="1" applyAlignment="1" applyProtection="1">
      <alignment horizontal="right" wrapText="1"/>
    </xf>
    <xf numFmtId="166" fontId="18" fillId="6" borderId="318" xfId="0" applyNumberFormat="1" applyFont="1" applyFill="1" applyBorder="1" applyAlignment="1" applyProtection="1">
      <alignment horizontal="right" wrapText="1"/>
    </xf>
    <xf numFmtId="0" fontId="18" fillId="0" borderId="317" xfId="0" applyFont="1" applyFill="1" applyBorder="1" applyAlignment="1" applyProtection="1">
      <alignment horizontal="center"/>
      <protection locked="0"/>
    </xf>
    <xf numFmtId="166" fontId="18" fillId="0" borderId="481" xfId="0" applyNumberFormat="1" applyFont="1" applyFill="1" applyBorder="1" applyAlignment="1" applyProtection="1">
      <protection locked="0"/>
    </xf>
    <xf numFmtId="6" fontId="18" fillId="0" borderId="316" xfId="0" applyNumberFormat="1" applyFont="1" applyFill="1" applyBorder="1" applyAlignment="1" applyProtection="1">
      <alignment horizontal="right"/>
      <protection locked="0"/>
    </xf>
    <xf numFmtId="6" fontId="18" fillId="0" borderId="317" xfId="0" applyNumberFormat="1" applyFont="1" applyFill="1" applyBorder="1" applyAlignment="1" applyProtection="1">
      <alignment horizontal="right"/>
      <protection locked="0"/>
    </xf>
    <xf numFmtId="6" fontId="18" fillId="0" borderId="318" xfId="0" applyNumberFormat="1" applyFont="1" applyFill="1" applyBorder="1" applyAlignment="1" applyProtection="1">
      <alignment horizontal="right"/>
      <protection locked="0"/>
    </xf>
    <xf numFmtId="166" fontId="46" fillId="6" borderId="479" xfId="0" applyNumberFormat="1" applyFont="1" applyFill="1" applyBorder="1" applyAlignment="1" applyProtection="1">
      <alignment horizontal="center" wrapText="1"/>
    </xf>
    <xf numFmtId="166" fontId="46" fillId="6" borderId="480" xfId="0" applyNumberFormat="1" applyFont="1" applyFill="1" applyBorder="1" applyAlignment="1" applyProtection="1">
      <alignment horizontal="center" wrapText="1"/>
    </xf>
    <xf numFmtId="5" fontId="43" fillId="0" borderId="483" xfId="0" applyNumberFormat="1" applyFont="1" applyFill="1" applyBorder="1" applyProtection="1">
      <protection locked="0"/>
    </xf>
    <xf numFmtId="5" fontId="43" fillId="0" borderId="484" xfId="0" applyNumberFormat="1" applyFont="1" applyFill="1" applyBorder="1" applyProtection="1">
      <protection locked="0"/>
    </xf>
    <xf numFmtId="5" fontId="43" fillId="0" borderId="485" xfId="0" applyNumberFormat="1" applyFont="1" applyFill="1" applyBorder="1" applyProtection="1">
      <protection locked="0"/>
    </xf>
    <xf numFmtId="5" fontId="43" fillId="0" borderId="66" xfId="0" applyNumberFormat="1" applyFont="1" applyFill="1" applyBorder="1" applyProtection="1">
      <protection locked="0"/>
    </xf>
    <xf numFmtId="5" fontId="43" fillId="0" borderId="67" xfId="0" applyNumberFormat="1" applyFont="1" applyFill="1" applyBorder="1" applyProtection="1">
      <protection locked="0"/>
    </xf>
    <xf numFmtId="5" fontId="43" fillId="0" borderId="68" xfId="0" applyNumberFormat="1" applyFont="1" applyFill="1" applyBorder="1" applyProtection="1">
      <protection locked="0"/>
    </xf>
    <xf numFmtId="5" fontId="43" fillId="0" borderId="69" xfId="0" applyNumberFormat="1" applyFont="1" applyFill="1" applyBorder="1" applyProtection="1">
      <protection locked="0"/>
    </xf>
    <xf numFmtId="5" fontId="43" fillId="0" borderId="70" xfId="0" applyNumberFormat="1" applyFont="1" applyFill="1" applyBorder="1" applyProtection="1">
      <protection locked="0"/>
    </xf>
    <xf numFmtId="5" fontId="43" fillId="0" borderId="71" xfId="0" applyNumberFormat="1" applyFont="1" applyFill="1" applyBorder="1" applyProtection="1">
      <protection locked="0"/>
    </xf>
    <xf numFmtId="0" fontId="17" fillId="0" borderId="0" xfId="0" applyFont="1" applyFill="1" applyAlignment="1" applyProtection="1">
      <alignment horizontal="right" vertical="center"/>
    </xf>
    <xf numFmtId="166" fontId="43" fillId="8" borderId="38" xfId="0" applyNumberFormat="1" applyFont="1" applyFill="1" applyBorder="1" applyAlignment="1" applyProtection="1">
      <alignment vertical="center"/>
    </xf>
    <xf numFmtId="6" fontId="43" fillId="0" borderId="324" xfId="0" applyNumberFormat="1" applyFont="1" applyFill="1" applyBorder="1" applyAlignment="1" applyProtection="1">
      <alignment horizontal="right" vertical="center"/>
      <protection locked="0"/>
    </xf>
    <xf numFmtId="6" fontId="22" fillId="6" borderId="491" xfId="0" applyNumberFormat="1" applyFont="1" applyFill="1" applyBorder="1" applyAlignment="1" applyProtection="1"/>
    <xf numFmtId="0" fontId="18" fillId="0" borderId="505" xfId="0" applyFont="1" applyFill="1" applyBorder="1" applyAlignment="1" applyProtection="1">
      <alignment horizontal="center" vertical="top" wrapText="1"/>
      <protection locked="0"/>
    </xf>
    <xf numFmtId="0" fontId="46" fillId="0" borderId="0" xfId="0" applyFont="1" applyFill="1" applyBorder="1" applyAlignment="1" applyProtection="1"/>
    <xf numFmtId="0" fontId="66" fillId="0" borderId="0" xfId="0" applyFont="1" applyFill="1" applyBorder="1" applyAlignment="1" applyProtection="1">
      <alignment horizontal="right" vertical="center"/>
    </xf>
    <xf numFmtId="0" fontId="18" fillId="0" borderId="78" xfId="0" applyFont="1" applyFill="1" applyBorder="1" applyAlignment="1" applyProtection="1">
      <protection locked="0"/>
    </xf>
    <xf numFmtId="0" fontId="18" fillId="0" borderId="6" xfId="0" applyFont="1" applyFill="1" applyBorder="1" applyAlignment="1" applyProtection="1">
      <protection locked="0"/>
    </xf>
    <xf numFmtId="0" fontId="18" fillId="0" borderId="6" xfId="0" applyFont="1" applyFill="1" applyBorder="1" applyProtection="1">
      <protection locked="0"/>
    </xf>
    <xf numFmtId="0" fontId="18" fillId="0" borderId="61" xfId="0" applyFont="1" applyFill="1" applyBorder="1" applyAlignment="1" applyProtection="1">
      <protection locked="0"/>
    </xf>
    <xf numFmtId="0" fontId="18" fillId="0" borderId="62" xfId="0" applyFont="1" applyBorder="1" applyAlignment="1" applyProtection="1">
      <protection locked="0"/>
    </xf>
    <xf numFmtId="0" fontId="18" fillId="0" borderId="155" xfId="0" applyFont="1" applyBorder="1" applyAlignment="1" applyProtection="1">
      <protection locked="0"/>
    </xf>
    <xf numFmtId="0" fontId="18" fillId="0" borderId="61" xfId="0" applyFont="1" applyBorder="1" applyAlignment="1" applyProtection="1">
      <protection locked="0"/>
    </xf>
    <xf numFmtId="0" fontId="18" fillId="17" borderId="288" xfId="0" applyFont="1" applyFill="1" applyBorder="1" applyAlignment="1" applyProtection="1">
      <alignment wrapText="1"/>
    </xf>
    <xf numFmtId="0" fontId="18" fillId="17" borderId="447" xfId="0" applyFont="1" applyFill="1" applyBorder="1" applyAlignment="1" applyProtection="1">
      <alignment wrapText="1"/>
    </xf>
    <xf numFmtId="0" fontId="18" fillId="0" borderId="168" xfId="0" applyFont="1" applyBorder="1" applyProtection="1"/>
    <xf numFmtId="0" fontId="18" fillId="0" borderId="169" xfId="0" applyFont="1" applyBorder="1" applyProtection="1"/>
    <xf numFmtId="0" fontId="18" fillId="0" borderId="171" xfId="0" applyFont="1" applyBorder="1" applyProtection="1"/>
    <xf numFmtId="0" fontId="18" fillId="0" borderId="0" xfId="0" applyFont="1" applyFill="1" applyBorder="1" applyAlignment="1" applyProtection="1">
      <alignment horizontal="left"/>
    </xf>
    <xf numFmtId="0" fontId="19" fillId="0" borderId="0" xfId="0" applyFont="1" applyBorder="1" applyAlignment="1" applyProtection="1"/>
    <xf numFmtId="0" fontId="18" fillId="0" borderId="0" xfId="0" applyFont="1" applyBorder="1" applyAlignment="1" applyProtection="1">
      <alignment horizontal="left" indent="1"/>
    </xf>
    <xf numFmtId="0" fontId="18" fillId="0" borderId="0" xfId="0" applyFont="1" applyBorder="1" applyAlignment="1" applyProtection="1"/>
    <xf numFmtId="0" fontId="18" fillId="0" borderId="0" xfId="0" applyFont="1" applyFill="1" applyBorder="1" applyAlignment="1" applyProtection="1">
      <alignment horizontal="right"/>
    </xf>
    <xf numFmtId="0" fontId="18" fillId="0" borderId="6" xfId="0" applyFont="1" applyFill="1" applyBorder="1" applyProtection="1"/>
    <xf numFmtId="0" fontId="18" fillId="0" borderId="19" xfId="0" applyFont="1" applyFill="1" applyBorder="1" applyAlignment="1" applyProtection="1">
      <alignment horizontal="left"/>
    </xf>
    <xf numFmtId="0" fontId="0" fillId="0" borderId="0" xfId="0" applyProtection="1"/>
    <xf numFmtId="0" fontId="18" fillId="0" borderId="0" xfId="0" applyFont="1" applyFill="1" applyBorder="1" applyAlignment="1" applyProtection="1">
      <alignment horizontal="center" vertical="center"/>
    </xf>
    <xf numFmtId="0" fontId="19" fillId="0" borderId="94" xfId="0" applyFont="1" applyBorder="1" applyAlignment="1" applyProtection="1"/>
    <xf numFmtId="0" fontId="22" fillId="0" borderId="94" xfId="0" applyFont="1" applyFill="1" applyBorder="1" applyAlignment="1" applyProtection="1"/>
    <xf numFmtId="0" fontId="22" fillId="0" borderId="0" xfId="0" applyFont="1" applyBorder="1" applyAlignment="1" applyProtection="1">
      <alignment horizontal="left" indent="1"/>
    </xf>
    <xf numFmtId="0" fontId="18" fillId="0" borderId="0" xfId="0" applyFont="1" applyFill="1" applyBorder="1" applyAlignment="1" applyProtection="1">
      <alignment horizontal="left" indent="1"/>
    </xf>
    <xf numFmtId="0" fontId="18" fillId="0" borderId="0" xfId="0" applyFont="1" applyFill="1" applyBorder="1" applyAlignment="1" applyProtection="1">
      <alignment horizontal="right" vertical="center"/>
    </xf>
    <xf numFmtId="0" fontId="0" fillId="0" borderId="0" xfId="0" applyFont="1" applyFill="1" applyProtection="1"/>
    <xf numFmtId="0" fontId="18" fillId="0" borderId="0" xfId="0" applyFont="1" applyFill="1" applyBorder="1" applyAlignment="1" applyProtection="1">
      <alignment vertical="center"/>
    </xf>
    <xf numFmtId="0" fontId="18" fillId="0" borderId="78" xfId="0" applyFont="1" applyFill="1" applyBorder="1" applyAlignment="1" applyProtection="1">
      <alignment vertical="center"/>
    </xf>
    <xf numFmtId="0" fontId="18" fillId="0" borderId="25" xfId="0" applyFont="1" applyFill="1" applyBorder="1" applyAlignment="1" applyProtection="1">
      <alignment horizontal="center" vertical="center"/>
    </xf>
    <xf numFmtId="0" fontId="18" fillId="0" borderId="26" xfId="0"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left" vertical="top"/>
    </xf>
    <xf numFmtId="0" fontId="18" fillId="0" borderId="0" xfId="0" applyFont="1" applyBorder="1" applyAlignment="1" applyProtection="1">
      <alignment horizontal="left" vertical="top"/>
    </xf>
    <xf numFmtId="0" fontId="17" fillId="0" borderId="0" xfId="0" applyFont="1" applyFill="1" applyProtection="1"/>
    <xf numFmtId="0" fontId="55" fillId="0" borderId="2" xfId="0" applyFont="1" applyFill="1" applyBorder="1" applyAlignment="1" applyProtection="1">
      <alignment horizontal="center" vertical="top"/>
    </xf>
    <xf numFmtId="0" fontId="51" fillId="0" borderId="0" xfId="0" applyFont="1" applyFill="1" applyBorder="1" applyAlignment="1" applyProtection="1">
      <alignment vertical="top" wrapText="1"/>
    </xf>
    <xf numFmtId="0" fontId="18" fillId="9" borderId="148" xfId="0" applyFont="1" applyFill="1" applyBorder="1" applyProtection="1"/>
    <xf numFmtId="0" fontId="49" fillId="0" borderId="0" xfId="0" applyFont="1" applyBorder="1" applyProtection="1"/>
    <xf numFmtId="0" fontId="18" fillId="0" borderId="0" xfId="0" applyFont="1" applyBorder="1" applyAlignment="1" applyProtection="1">
      <alignment horizontal="righ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165" xfId="0" applyFont="1" applyBorder="1" applyProtection="1"/>
    <xf numFmtId="0" fontId="18" fillId="0" borderId="166" xfId="0" applyFont="1" applyBorder="1" applyProtection="1"/>
    <xf numFmtId="9" fontId="18" fillId="0" borderId="166" xfId="0" applyNumberFormat="1" applyFont="1" applyFill="1" applyBorder="1" applyProtection="1"/>
    <xf numFmtId="0" fontId="18" fillId="0" borderId="79" xfId="0" applyFont="1" applyFill="1" applyBorder="1" applyProtection="1">
      <protection locked="0"/>
    </xf>
    <xf numFmtId="0" fontId="54" fillId="0" borderId="6" xfId="0" applyFont="1" applyFill="1" applyBorder="1" applyAlignment="1" applyProtection="1">
      <alignment horizontal="left"/>
      <protection locked="0"/>
    </xf>
    <xf numFmtId="0" fontId="18" fillId="0" borderId="79"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7" fillId="0" borderId="0" xfId="0" applyFont="1" applyFill="1" applyProtection="1">
      <protection locked="0"/>
    </xf>
    <xf numFmtId="0" fontId="18" fillId="0" borderId="170" xfId="0" applyFont="1" applyBorder="1" applyProtection="1"/>
    <xf numFmtId="0" fontId="18" fillId="0" borderId="172" xfId="0" applyFont="1" applyBorder="1" applyProtection="1"/>
    <xf numFmtId="0" fontId="18" fillId="0" borderId="167" xfId="0" applyFont="1" applyBorder="1" applyProtection="1"/>
    <xf numFmtId="0" fontId="0" fillId="0" borderId="0" xfId="0" applyFont="1" applyProtection="1">
      <protection locked="0"/>
    </xf>
    <xf numFmtId="0" fontId="17" fillId="0" borderId="195" xfId="0" applyFont="1" applyBorder="1" applyAlignment="1" applyProtection="1">
      <alignment horizontal="center"/>
      <protection locked="0"/>
    </xf>
    <xf numFmtId="0" fontId="17" fillId="0" borderId="182" xfId="0" applyFont="1" applyFill="1" applyBorder="1" applyAlignment="1" applyProtection="1">
      <alignment horizontal="center"/>
      <protection locked="0"/>
    </xf>
    <xf numFmtId="0" fontId="0" fillId="0" borderId="182" xfId="0" applyFont="1" applyFill="1" applyBorder="1" applyAlignment="1" applyProtection="1">
      <alignment horizontal="center"/>
      <protection locked="0"/>
    </xf>
    <xf numFmtId="0" fontId="17" fillId="0" borderId="67" xfId="0" applyFont="1" applyFill="1" applyBorder="1" applyAlignment="1" applyProtection="1">
      <alignment horizontal="center"/>
      <protection locked="0"/>
    </xf>
    <xf numFmtId="0" fontId="0" fillId="0" borderId="67" xfId="0" applyFont="1" applyFill="1" applyBorder="1" applyAlignment="1" applyProtection="1">
      <alignment horizontal="center"/>
      <protection locked="0"/>
    </xf>
    <xf numFmtId="0" fontId="17" fillId="0" borderId="112" xfId="0" applyFont="1" applyBorder="1" applyAlignment="1" applyProtection="1">
      <alignment horizontal="center"/>
      <protection locked="0"/>
    </xf>
    <xf numFmtId="0" fontId="17" fillId="0" borderId="76" xfId="0" applyFont="1" applyFill="1" applyBorder="1" applyAlignment="1" applyProtection="1">
      <alignment horizontal="center"/>
      <protection locked="0"/>
    </xf>
    <xf numFmtId="0" fontId="0" fillId="0" borderId="76" xfId="0" applyFont="1" applyFill="1" applyBorder="1" applyAlignment="1" applyProtection="1">
      <alignment horizontal="center"/>
      <protection locked="0"/>
    </xf>
    <xf numFmtId="0" fontId="18" fillId="0" borderId="195" xfId="0" applyFont="1" applyBorder="1" applyAlignment="1" applyProtection="1">
      <alignment horizontal="center"/>
      <protection locked="0"/>
    </xf>
    <xf numFmtId="0" fontId="18" fillId="0" borderId="182" xfId="0" applyFont="1" applyBorder="1" applyAlignment="1" applyProtection="1">
      <alignment horizontal="center"/>
      <protection locked="0"/>
    </xf>
    <xf numFmtId="0" fontId="18" fillId="0" borderId="194" xfId="0" applyFont="1" applyBorder="1" applyAlignment="1" applyProtection="1">
      <alignment horizontal="center"/>
      <protection locked="0"/>
    </xf>
    <xf numFmtId="0" fontId="18" fillId="0" borderId="70" xfId="0" applyFont="1" applyBorder="1" applyAlignment="1" applyProtection="1">
      <alignment horizontal="center"/>
      <protection locked="0"/>
    </xf>
    <xf numFmtId="0" fontId="18" fillId="0" borderId="43" xfId="0" applyFont="1" applyBorder="1" applyProtection="1"/>
    <xf numFmtId="0" fontId="2" fillId="17" borderId="9" xfId="0" applyFont="1" applyFill="1" applyBorder="1" applyAlignment="1" applyProtection="1">
      <alignment horizontal="center" wrapText="1"/>
    </xf>
    <xf numFmtId="0" fontId="17" fillId="17" borderId="196" xfId="0" applyFont="1" applyFill="1" applyBorder="1" applyProtection="1"/>
    <xf numFmtId="0" fontId="17" fillId="17" borderId="157" xfId="0" applyFont="1" applyFill="1" applyBorder="1" applyProtection="1"/>
    <xf numFmtId="0" fontId="0" fillId="17" borderId="157" xfId="0" applyFont="1" applyFill="1" applyBorder="1" applyProtection="1"/>
    <xf numFmtId="0" fontId="18" fillId="0" borderId="44" xfId="0" applyFont="1" applyBorder="1" applyProtection="1"/>
    <xf numFmtId="9" fontId="42" fillId="5" borderId="96" xfId="0" applyNumberFormat="1" applyFont="1" applyFill="1" applyBorder="1" applyAlignment="1" applyProtection="1">
      <alignment horizontal="center" vertical="center" wrapText="1"/>
    </xf>
    <xf numFmtId="9" fontId="42" fillId="17" borderId="191" xfId="0" applyNumberFormat="1" applyFont="1" applyFill="1" applyBorder="1" applyAlignment="1" applyProtection="1">
      <alignment horizontal="center" vertical="center" wrapText="1"/>
    </xf>
    <xf numFmtId="0" fontId="18" fillId="6" borderId="197" xfId="0" applyFont="1" applyFill="1" applyBorder="1" applyAlignment="1" applyProtection="1">
      <alignment horizontal="center"/>
    </xf>
    <xf numFmtId="0" fontId="18" fillId="6" borderId="198" xfId="0" applyFont="1" applyFill="1" applyBorder="1" applyAlignment="1" applyProtection="1">
      <alignment horizontal="center"/>
    </xf>
    <xf numFmtId="0" fontId="0" fillId="6" borderId="198" xfId="0" applyFont="1" applyFill="1" applyBorder="1" applyAlignment="1" applyProtection="1">
      <alignment horizontal="center"/>
    </xf>
    <xf numFmtId="0" fontId="22" fillId="6" borderId="95" xfId="0" applyFont="1" applyFill="1" applyBorder="1" applyAlignment="1" applyProtection="1">
      <alignment horizontal="center"/>
    </xf>
    <xf numFmtId="9" fontId="42" fillId="17" borderId="199" xfId="0" applyNumberFormat="1" applyFont="1" applyFill="1" applyBorder="1" applyAlignment="1" applyProtection="1">
      <alignment horizontal="center" vertical="center" wrapText="1"/>
    </xf>
    <xf numFmtId="9" fontId="42" fillId="17" borderId="200" xfId="0" applyNumberFormat="1" applyFont="1" applyFill="1" applyBorder="1" applyAlignment="1" applyProtection="1">
      <alignment horizontal="center" vertical="center" wrapText="1"/>
    </xf>
    <xf numFmtId="9" fontId="42" fillId="17" borderId="1" xfId="0" applyNumberFormat="1" applyFont="1" applyFill="1" applyBorder="1" applyAlignment="1" applyProtection="1">
      <alignment horizontal="center" vertical="center" wrapText="1"/>
    </xf>
    <xf numFmtId="0" fontId="18" fillId="6" borderId="201" xfId="0" applyFont="1" applyFill="1" applyBorder="1" applyAlignment="1" applyProtection="1">
      <alignment horizontal="center"/>
    </xf>
    <xf numFmtId="0" fontId="18" fillId="6" borderId="180" xfId="0" applyFont="1" applyFill="1" applyBorder="1" applyAlignment="1" applyProtection="1">
      <alignment horizontal="center"/>
    </xf>
    <xf numFmtId="0" fontId="0" fillId="6" borderId="180" xfId="0" applyFont="1" applyFill="1" applyBorder="1" applyAlignment="1" applyProtection="1">
      <alignment horizontal="center"/>
    </xf>
    <xf numFmtId="9" fontId="42" fillId="22" borderId="9" xfId="0" applyNumberFormat="1" applyFont="1" applyFill="1" applyBorder="1" applyAlignment="1" applyProtection="1">
      <alignment horizontal="center" vertical="center" wrapText="1"/>
    </xf>
    <xf numFmtId="0" fontId="18" fillId="22" borderId="7" xfId="0" applyFont="1" applyFill="1" applyBorder="1" applyAlignment="1" applyProtection="1">
      <alignment horizontal="center"/>
    </xf>
    <xf numFmtId="0" fontId="0" fillId="22" borderId="7" xfId="0" applyFont="1" applyFill="1" applyBorder="1" applyAlignment="1" applyProtection="1">
      <alignment horizontal="center"/>
    </xf>
    <xf numFmtId="9" fontId="42" fillId="17" borderId="202" xfId="0" applyNumberFormat="1" applyFont="1" applyFill="1" applyBorder="1" applyAlignment="1" applyProtection="1">
      <alignment horizontal="center" vertical="center" wrapText="1"/>
    </xf>
    <xf numFmtId="0" fontId="18" fillId="6" borderId="3" xfId="0" applyFont="1" applyFill="1" applyBorder="1" applyAlignment="1" applyProtection="1">
      <alignment horizontal="center"/>
    </xf>
    <xf numFmtId="0" fontId="2" fillId="17" borderId="200" xfId="0" applyFont="1" applyFill="1" applyBorder="1" applyAlignment="1" applyProtection="1">
      <alignment horizontal="center" vertical="center"/>
    </xf>
    <xf numFmtId="0" fontId="22" fillId="22" borderId="193" xfId="0" applyFont="1" applyFill="1" applyBorder="1" applyAlignment="1" applyProtection="1">
      <alignment horizontal="center"/>
    </xf>
    <xf numFmtId="0" fontId="18" fillId="0" borderId="45" xfId="0" applyFont="1" applyBorder="1" applyProtection="1"/>
    <xf numFmtId="0" fontId="18" fillId="0" borderId="46" xfId="0" applyFont="1" applyBorder="1" applyProtection="1"/>
    <xf numFmtId="0" fontId="18" fillId="0" borderId="47" xfId="0" applyFont="1" applyBorder="1" applyProtection="1"/>
    <xf numFmtId="0" fontId="43" fillId="0" borderId="107" xfId="0" applyFont="1" applyFill="1" applyBorder="1" applyAlignment="1" applyProtection="1">
      <protection locked="0"/>
    </xf>
    <xf numFmtId="0" fontId="3" fillId="0" borderId="182" xfId="0" applyFont="1" applyFill="1" applyBorder="1" applyAlignment="1" applyProtection="1">
      <alignment horizontal="center"/>
      <protection locked="0"/>
    </xf>
    <xf numFmtId="0" fontId="43" fillId="0" borderId="105" xfId="0" applyFont="1" applyFill="1" applyBorder="1" applyAlignment="1" applyProtection="1">
      <protection locked="0"/>
    </xf>
    <xf numFmtId="0" fontId="43" fillId="0" borderId="67" xfId="0" applyFont="1" applyFill="1" applyBorder="1" applyAlignment="1" applyProtection="1">
      <alignment horizontal="center"/>
      <protection locked="0"/>
    </xf>
    <xf numFmtId="0" fontId="3" fillId="0" borderId="67" xfId="0" applyFont="1" applyFill="1" applyBorder="1" applyAlignment="1" applyProtection="1">
      <alignment horizontal="center"/>
      <protection locked="0"/>
    </xf>
    <xf numFmtId="0" fontId="44" fillId="0" borderId="67" xfId="0" applyFont="1" applyFill="1" applyBorder="1" applyAlignment="1" applyProtection="1">
      <alignment horizontal="center"/>
      <protection locked="0"/>
    </xf>
    <xf numFmtId="0" fontId="3" fillId="0" borderId="168" xfId="0" applyFont="1" applyBorder="1" applyProtection="1"/>
    <xf numFmtId="0" fontId="3" fillId="0" borderId="169" xfId="0" applyFont="1" applyBorder="1" applyProtection="1"/>
    <xf numFmtId="0" fontId="3" fillId="0" borderId="169" xfId="0" applyFont="1" applyFill="1" applyBorder="1" applyProtection="1"/>
    <xf numFmtId="0" fontId="3" fillId="0" borderId="170" xfId="0" applyFont="1" applyBorder="1" applyProtection="1"/>
    <xf numFmtId="0" fontId="3" fillId="0" borderId="171" xfId="0" applyFont="1" applyBorder="1" applyProtection="1"/>
    <xf numFmtId="0" fontId="3" fillId="0" borderId="172" xfId="0" applyFont="1" applyBorder="1" applyProtection="1"/>
    <xf numFmtId="0" fontId="3" fillId="0" borderId="0" xfId="0" applyFont="1" applyBorder="1" applyProtection="1"/>
    <xf numFmtId="0" fontId="3" fillId="0" borderId="0" xfId="0" applyFont="1" applyFill="1" applyBorder="1" applyAlignment="1" applyProtection="1"/>
    <xf numFmtId="0" fontId="3" fillId="0" borderId="171" xfId="0" applyFont="1" applyBorder="1" applyAlignment="1" applyProtection="1">
      <alignment vertical="center"/>
    </xf>
    <xf numFmtId="0" fontId="42" fillId="17" borderId="188" xfId="0" applyFont="1" applyFill="1" applyBorder="1" applyAlignment="1" applyProtection="1">
      <alignment horizontal="center" vertical="center" wrapText="1"/>
    </xf>
    <xf numFmtId="0" fontId="42" fillId="17" borderId="204" xfId="0" applyFont="1" applyFill="1" applyBorder="1" applyAlignment="1" applyProtection="1">
      <alignment horizontal="center" vertical="center"/>
    </xf>
    <xf numFmtId="9" fontId="42" fillId="17" borderId="189" xfId="0" applyNumberFormat="1" applyFont="1" applyFill="1" applyBorder="1" applyAlignment="1" applyProtection="1">
      <alignment horizontal="center" vertical="center" wrapText="1"/>
    </xf>
    <xf numFmtId="9" fontId="45" fillId="17" borderId="189" xfId="0" applyNumberFormat="1" applyFont="1" applyFill="1" applyBorder="1" applyAlignment="1" applyProtection="1">
      <alignment horizontal="center" vertical="center" wrapText="1"/>
    </xf>
    <xf numFmtId="9" fontId="42" fillId="17" borderId="204" xfId="0" applyNumberFormat="1" applyFont="1" applyFill="1" applyBorder="1" applyAlignment="1" applyProtection="1">
      <alignment horizontal="center" vertical="center" wrapText="1"/>
    </xf>
    <xf numFmtId="9" fontId="42" fillId="17" borderId="205" xfId="0" applyNumberFormat="1" applyFont="1" applyFill="1" applyBorder="1" applyAlignment="1" applyProtection="1">
      <alignment horizontal="center" vertical="center" wrapText="1"/>
    </xf>
    <xf numFmtId="9" fontId="42" fillId="17" borderId="108" xfId="0" applyNumberFormat="1" applyFont="1" applyFill="1" applyBorder="1" applyAlignment="1" applyProtection="1">
      <alignment horizontal="center" vertical="center" wrapText="1"/>
    </xf>
    <xf numFmtId="0" fontId="3" fillId="0" borderId="172" xfId="0" applyFont="1" applyBorder="1" applyAlignment="1" applyProtection="1">
      <alignment vertical="center"/>
    </xf>
    <xf numFmtId="0" fontId="3" fillId="6" borderId="203" xfId="0" applyFont="1" applyFill="1" applyBorder="1" applyAlignment="1" applyProtection="1">
      <alignment horizontal="center"/>
    </xf>
    <xf numFmtId="0" fontId="3" fillId="6" borderId="123" xfId="0" applyFont="1" applyFill="1" applyBorder="1" applyAlignment="1" applyProtection="1">
      <alignment horizontal="center"/>
    </xf>
    <xf numFmtId="0" fontId="1" fillId="6" borderId="123" xfId="0" applyFont="1" applyFill="1" applyBorder="1" applyAlignment="1" applyProtection="1">
      <alignment horizontal="center"/>
    </xf>
    <xf numFmtId="0" fontId="1" fillId="6" borderId="119" xfId="0" applyFont="1" applyFill="1" applyBorder="1" applyAlignment="1" applyProtection="1">
      <alignment horizontal="center"/>
    </xf>
    <xf numFmtId="0" fontId="6" fillId="6" borderId="113" xfId="0" applyFont="1" applyFill="1" applyBorder="1" applyAlignment="1" applyProtection="1">
      <alignment horizontal="center"/>
    </xf>
    <xf numFmtId="0" fontId="3" fillId="6" borderId="186" xfId="0" applyFont="1" applyFill="1" applyBorder="1" applyAlignment="1" applyProtection="1">
      <alignment horizontal="center"/>
    </xf>
    <xf numFmtId="0" fontId="3" fillId="6" borderId="187" xfId="0" applyFont="1" applyFill="1" applyBorder="1" applyAlignment="1" applyProtection="1">
      <alignment horizontal="center"/>
    </xf>
    <xf numFmtId="0" fontId="6" fillId="6" borderId="148" xfId="0" applyFont="1" applyFill="1" applyBorder="1" applyAlignment="1" applyProtection="1">
      <alignment horizontal="center"/>
    </xf>
    <xf numFmtId="0" fontId="3" fillId="0" borderId="166" xfId="0" applyFont="1" applyBorder="1" applyProtection="1"/>
    <xf numFmtId="0" fontId="3" fillId="0" borderId="167"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19" fillId="0" borderId="0" xfId="0" applyFont="1" applyFill="1" applyBorder="1" applyAlignment="1" applyProtection="1"/>
    <xf numFmtId="0" fontId="17" fillId="6" borderId="6" xfId="0" applyNumberFormat="1" applyFont="1" applyFill="1" applyBorder="1" applyAlignment="1" applyProtection="1"/>
    <xf numFmtId="0" fontId="0" fillId="6" borderId="6" xfId="0" applyFill="1" applyBorder="1" applyProtection="1"/>
    <xf numFmtId="0" fontId="2" fillId="0" borderId="0" xfId="0" applyFont="1" applyFill="1" applyBorder="1" applyProtection="1"/>
    <xf numFmtId="0" fontId="3" fillId="0" borderId="34" xfId="0" applyFont="1" applyBorder="1" applyAlignment="1" applyProtection="1">
      <alignment vertical="center" wrapText="1"/>
    </xf>
    <xf numFmtId="0" fontId="3" fillId="0" borderId="33" xfId="0" applyFont="1" applyBorder="1" applyAlignment="1" applyProtection="1">
      <alignment vertical="center"/>
    </xf>
    <xf numFmtId="0" fontId="17" fillId="0" borderId="430" xfId="0" applyFont="1" applyFill="1" applyBorder="1" applyAlignment="1" applyProtection="1">
      <alignment horizontal="center"/>
    </xf>
    <xf numFmtId="0" fontId="22" fillId="17" borderId="115" xfId="0" applyFont="1" applyFill="1" applyBorder="1" applyAlignment="1" applyProtection="1">
      <alignment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0" xfId="0" applyFont="1" applyFill="1" applyBorder="1" applyProtection="1"/>
    <xf numFmtId="0" fontId="1" fillId="0" borderId="34" xfId="0" applyFont="1" applyFill="1" applyBorder="1" applyProtection="1"/>
    <xf numFmtId="0" fontId="2" fillId="0" borderId="0" xfId="0" applyFont="1" applyFill="1" applyAlignment="1" applyProtection="1">
      <alignment horizontal="right"/>
    </xf>
    <xf numFmtId="0" fontId="1" fillId="6" borderId="258" xfId="0" applyFont="1" applyFill="1" applyBorder="1" applyProtection="1"/>
    <xf numFmtId="14" fontId="1" fillId="0" borderId="0" xfId="0" applyNumberFormat="1" applyFont="1" applyFill="1" applyBorder="1" applyProtection="1"/>
    <xf numFmtId="0" fontId="18" fillId="0" borderId="0" xfId="0" applyFont="1" applyFill="1" applyBorder="1" applyProtection="1"/>
    <xf numFmtId="0" fontId="1" fillId="0" borderId="0" xfId="0" applyFont="1" applyFill="1" applyProtection="1"/>
    <xf numFmtId="0" fontId="18" fillId="0" borderId="34" xfId="0" applyFont="1" applyFill="1" applyBorder="1" applyProtection="1"/>
    <xf numFmtId="0" fontId="18" fillId="0" borderId="475" xfId="0" applyFont="1" applyFill="1" applyBorder="1" applyProtection="1"/>
    <xf numFmtId="0" fontId="85" fillId="0" borderId="0" xfId="0" applyFont="1" applyFill="1" applyBorder="1" applyAlignment="1" applyProtection="1">
      <alignment horizontal="right"/>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22" fillId="0" borderId="6" xfId="0" applyFont="1" applyFill="1" applyBorder="1" applyAlignment="1" applyProtection="1">
      <alignment horizontal="left"/>
    </xf>
    <xf numFmtId="0" fontId="22" fillId="15" borderId="80" xfId="0" applyFont="1" applyFill="1" applyBorder="1" applyAlignment="1" applyProtection="1">
      <alignment horizontal="center" wrapText="1"/>
    </xf>
    <xf numFmtId="0" fontId="22" fillId="15" borderId="475" xfId="0" applyFont="1" applyFill="1" applyBorder="1" applyAlignment="1" applyProtection="1">
      <alignment horizontal="left" wrapText="1"/>
    </xf>
    <xf numFmtId="0" fontId="22" fillId="15" borderId="475" xfId="0" applyFont="1" applyFill="1" applyBorder="1" applyAlignment="1" applyProtection="1">
      <alignment horizontal="center" wrapText="1"/>
    </xf>
    <xf numFmtId="0" fontId="42" fillId="15" borderId="475" xfId="0" applyFont="1" applyFill="1" applyBorder="1" applyProtection="1"/>
    <xf numFmtId="0" fontId="2" fillId="15" borderId="81" xfId="0" applyFont="1" applyFill="1" applyBorder="1" applyAlignment="1" applyProtection="1">
      <alignment horizontal="left"/>
    </xf>
    <xf numFmtId="0" fontId="1" fillId="0" borderId="507" xfId="0" applyFont="1" applyFill="1" applyBorder="1" applyAlignment="1" applyProtection="1">
      <alignment horizontal="center"/>
    </xf>
    <xf numFmtId="0" fontId="0" fillId="0" borderId="518" xfId="0" applyFill="1" applyBorder="1" applyProtection="1"/>
    <xf numFmtId="0" fontId="1" fillId="0" borderId="508" xfId="0" applyFont="1" applyFill="1" applyBorder="1" applyAlignment="1" applyProtection="1">
      <alignment horizontal="center"/>
    </xf>
    <xf numFmtId="0" fontId="0" fillId="0" borderId="519" xfId="0" applyFill="1" applyBorder="1" applyProtection="1"/>
    <xf numFmtId="0" fontId="1" fillId="8" borderId="80" xfId="0" applyFont="1" applyFill="1" applyBorder="1" applyAlignment="1" applyProtection="1">
      <alignment horizontal="center"/>
    </xf>
    <xf numFmtId="0" fontId="1" fillId="8" borderId="475" xfId="0" applyFont="1" applyFill="1" applyBorder="1" applyProtection="1"/>
    <xf numFmtId="0" fontId="1" fillId="8" borderId="475" xfId="0" applyFont="1" applyFill="1" applyBorder="1" applyAlignment="1" applyProtection="1">
      <alignment horizontal="center"/>
    </xf>
    <xf numFmtId="0" fontId="1" fillId="17" borderId="81" xfId="0" applyFont="1" applyFill="1" applyBorder="1" applyAlignment="1" applyProtection="1">
      <alignment horizontal="right"/>
    </xf>
    <xf numFmtId="0" fontId="1" fillId="6" borderId="47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1" fillId="0" borderId="25" xfId="0" applyFont="1" applyFill="1" applyBorder="1" applyAlignment="1" applyProtection="1">
      <alignment horizontal="center"/>
    </xf>
    <xf numFmtId="0" fontId="1" fillId="0" borderId="520" xfId="0" applyFont="1" applyFill="1" applyBorder="1" applyAlignment="1" applyProtection="1">
      <alignment horizontal="center"/>
    </xf>
    <xf numFmtId="0" fontId="0" fillId="0" borderId="521" xfId="0" applyFill="1" applyBorder="1" applyProtection="1"/>
    <xf numFmtId="0" fontId="52" fillId="0" borderId="34" xfId="0" applyFont="1" applyFill="1" applyBorder="1" applyProtection="1"/>
    <xf numFmtId="0" fontId="0" fillId="0" borderId="520"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1" fillId="0" borderId="520" xfId="0" quotePrefix="1" applyFont="1" applyFill="1" applyBorder="1" applyAlignment="1" applyProtection="1">
      <alignment horizontal="center"/>
    </xf>
    <xf numFmtId="0" fontId="18" fillId="0" borderId="521" xfId="0" applyFont="1" applyFill="1" applyBorder="1" applyProtection="1"/>
    <xf numFmtId="0" fontId="1" fillId="0" borderId="511" xfId="0" applyFont="1" applyFill="1" applyBorder="1" applyAlignment="1" applyProtection="1">
      <alignment horizontal="center"/>
    </xf>
    <xf numFmtId="0" fontId="0" fillId="0" borderId="522" xfId="0" applyFill="1" applyBorder="1" applyProtection="1"/>
    <xf numFmtId="0" fontId="1" fillId="0" borderId="500" xfId="0" applyFont="1" applyFill="1" applyBorder="1" applyAlignment="1" applyProtection="1">
      <alignment horizontal="center"/>
    </xf>
    <xf numFmtId="0" fontId="0" fillId="0" borderId="523" xfId="0" applyFill="1" applyBorder="1" applyProtection="1"/>
    <xf numFmtId="0" fontId="0" fillId="0" borderId="524" xfId="0" applyFill="1" applyBorder="1" applyProtection="1"/>
    <xf numFmtId="0" fontId="2" fillId="0" borderId="33" xfId="0" applyFont="1" applyFill="1" applyBorder="1" applyProtection="1"/>
    <xf numFmtId="0" fontId="1"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1" fillId="0" borderId="525" xfId="0" applyFont="1" applyFill="1" applyBorder="1" applyAlignment="1" applyProtection="1">
      <alignment horizontal="center"/>
    </xf>
    <xf numFmtId="0" fontId="0" fillId="0" borderId="526" xfId="0" applyFill="1" applyBorder="1" applyProtection="1"/>
    <xf numFmtId="0" fontId="0" fillId="0" borderId="506" xfId="0" applyFont="1" applyFill="1" applyBorder="1" applyAlignment="1" applyProtection="1">
      <alignment horizontal="center"/>
    </xf>
    <xf numFmtId="0" fontId="0" fillId="0" borderId="499" xfId="0" applyFill="1" applyBorder="1" applyProtection="1"/>
    <xf numFmtId="0" fontId="1" fillId="0" borderId="506" xfId="0" applyFont="1" applyFill="1" applyBorder="1" applyAlignment="1" applyProtection="1">
      <alignment horizontal="center"/>
    </xf>
    <xf numFmtId="0" fontId="18" fillId="0" borderId="499" xfId="0" applyFont="1" applyFill="1" applyBorder="1" applyProtection="1"/>
    <xf numFmtId="0" fontId="1" fillId="0" borderId="504" xfId="0" applyFont="1" applyFill="1" applyBorder="1" applyAlignment="1" applyProtection="1">
      <alignment horizontal="center"/>
    </xf>
    <xf numFmtId="0" fontId="0" fillId="0" borderId="503" xfId="0" applyFill="1" applyBorder="1" applyProtection="1"/>
    <xf numFmtId="0" fontId="1" fillId="0" borderId="35" xfId="0" applyFont="1" applyFill="1" applyBorder="1" applyProtection="1"/>
    <xf numFmtId="0" fontId="1" fillId="0" borderId="36" xfId="0" applyFont="1" applyFill="1" applyBorder="1" applyAlignment="1" applyProtection="1">
      <alignment horizontal="center"/>
    </xf>
    <xf numFmtId="0" fontId="1" fillId="0" borderId="36" xfId="0" applyFont="1" applyFill="1" applyBorder="1" applyProtection="1"/>
    <xf numFmtId="0" fontId="0" fillId="0" borderId="36" xfId="0" applyFill="1" applyBorder="1" applyProtection="1"/>
    <xf numFmtId="0" fontId="1" fillId="0" borderId="37" xfId="0" applyFont="1" applyFill="1" applyBorder="1" applyProtection="1"/>
    <xf numFmtId="0" fontId="2" fillId="0" borderId="31" xfId="0" applyFont="1" applyFill="1" applyBorder="1" applyAlignment="1" applyProtection="1">
      <alignment horizontal="left"/>
    </xf>
    <xf numFmtId="0" fontId="0" fillId="0" borderId="31" xfId="0" applyFill="1" applyBorder="1" applyProtection="1"/>
    <xf numFmtId="0" fontId="1" fillId="0" borderId="33" xfId="0" applyFont="1" applyFill="1" applyBorder="1" applyAlignment="1" applyProtection="1">
      <alignment vertical="top"/>
    </xf>
    <xf numFmtId="0" fontId="1" fillId="0" borderId="506" xfId="0" applyFont="1" applyFill="1" applyBorder="1" applyAlignment="1" applyProtection="1">
      <alignment horizontal="center" vertical="top"/>
    </xf>
    <xf numFmtId="0" fontId="1" fillId="0" borderId="34" xfId="0" applyFont="1" applyFill="1" applyBorder="1" applyAlignment="1" applyProtection="1">
      <alignment vertical="top"/>
    </xf>
    <xf numFmtId="0" fontId="1" fillId="0" borderId="498" xfId="0" applyFont="1" applyFill="1" applyBorder="1" applyAlignment="1" applyProtection="1">
      <alignment horizontal="right"/>
    </xf>
    <xf numFmtId="0" fontId="1" fillId="6" borderId="497" xfId="0" applyFont="1" applyFill="1" applyBorder="1" applyProtection="1"/>
    <xf numFmtId="0" fontId="1" fillId="0" borderId="496" xfId="0" applyFont="1" applyFill="1" applyBorder="1" applyAlignment="1" applyProtection="1">
      <alignment horizontal="right"/>
    </xf>
    <xf numFmtId="0" fontId="1" fillId="6" borderId="495" xfId="0" applyFont="1" applyFill="1" applyBorder="1" applyProtection="1"/>
    <xf numFmtId="0" fontId="1" fillId="0" borderId="494" xfId="0" applyFont="1" applyFill="1" applyBorder="1" applyAlignment="1" applyProtection="1">
      <alignment horizontal="right"/>
    </xf>
    <xf numFmtId="0" fontId="1" fillId="6" borderId="493"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1" fillId="5" borderId="145" xfId="0" applyFont="1" applyFill="1" applyBorder="1" applyAlignment="1" applyProtection="1">
      <protection locked="0"/>
    </xf>
    <xf numFmtId="0" fontId="43" fillId="0" borderId="133" xfId="0" applyFont="1" applyBorder="1" applyAlignment="1" applyProtection="1">
      <protection locked="0"/>
    </xf>
    <xf numFmtId="0" fontId="1" fillId="5" borderId="143" xfId="0" applyFont="1" applyFill="1" applyBorder="1" applyAlignment="1" applyProtection="1">
      <protection locked="0"/>
    </xf>
    <xf numFmtId="0" fontId="1" fillId="5" borderId="206" xfId="0" applyFont="1" applyFill="1" applyBorder="1" applyAlignment="1" applyProtection="1">
      <protection locked="0"/>
    </xf>
    <xf numFmtId="0" fontId="1" fillId="5" borderId="67" xfId="0" applyFont="1" applyFill="1" applyBorder="1" applyAlignment="1" applyProtection="1">
      <protection locked="0"/>
    </xf>
    <xf numFmtId="0" fontId="3" fillId="0" borderId="105" xfId="0" applyFont="1" applyBorder="1" applyAlignment="1" applyProtection="1">
      <protection locked="0"/>
    </xf>
    <xf numFmtId="0" fontId="1" fillId="5" borderId="68" xfId="0" applyFont="1" applyFill="1" applyBorder="1" applyAlignment="1" applyProtection="1">
      <protection locked="0"/>
    </xf>
    <xf numFmtId="0" fontId="1" fillId="5" borderId="70" xfId="0" applyFont="1" applyFill="1" applyBorder="1" applyAlignment="1" applyProtection="1">
      <protection locked="0"/>
    </xf>
    <xf numFmtId="0" fontId="3" fillId="0" borderId="134" xfId="0" applyFont="1" applyBorder="1" applyAlignment="1" applyProtection="1">
      <protection locked="0"/>
    </xf>
    <xf numFmtId="0" fontId="1" fillId="5" borderId="161" xfId="0" applyFont="1" applyFill="1" applyBorder="1" applyAlignment="1" applyProtection="1">
      <protection locked="0"/>
    </xf>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3" fillId="0" borderId="44" xfId="0" applyFont="1" applyBorder="1" applyProtection="1"/>
    <xf numFmtId="0" fontId="6" fillId="0" borderId="0" xfId="0" applyFont="1" applyBorder="1" applyProtection="1"/>
    <xf numFmtId="0" fontId="3" fillId="6" borderId="6" xfId="0" applyFont="1" applyFill="1" applyBorder="1" applyAlignment="1" applyProtection="1"/>
    <xf numFmtId="0" fontId="3" fillId="0" borderId="43" xfId="0" applyFont="1" applyBorder="1" applyAlignment="1" applyProtection="1"/>
    <xf numFmtId="0" fontId="2" fillId="17" borderId="435" xfId="0" applyFont="1" applyFill="1" applyBorder="1" applyAlignment="1" applyProtection="1">
      <alignment horizontal="center" wrapText="1"/>
    </xf>
    <xf numFmtId="0" fontId="2" fillId="17" borderId="433" xfId="0" applyFont="1" applyFill="1" applyBorder="1" applyAlignment="1" applyProtection="1"/>
    <xf numFmtId="0" fontId="2" fillId="17" borderId="434" xfId="0" applyFont="1" applyFill="1" applyBorder="1" applyAlignment="1" applyProtection="1">
      <alignment wrapText="1"/>
    </xf>
    <xf numFmtId="0" fontId="3" fillId="0" borderId="44" xfId="0" applyFont="1" applyBorder="1" applyAlignment="1" applyProtection="1"/>
    <xf numFmtId="0" fontId="24" fillId="0" borderId="0" xfId="0" applyFont="1" applyBorder="1" applyAlignment="1" applyProtection="1">
      <alignment horizontal="right"/>
    </xf>
    <xf numFmtId="0" fontId="1" fillId="0" borderId="0" xfId="0" applyFont="1" applyFill="1" applyBorder="1" applyAlignment="1" applyProtection="1"/>
    <xf numFmtId="0" fontId="3" fillId="0" borderId="45" xfId="0" applyFont="1" applyBorder="1" applyProtection="1"/>
    <xf numFmtId="0" fontId="3" fillId="0" borderId="46" xfId="0" applyFont="1" applyBorder="1" applyProtection="1"/>
    <xf numFmtId="0" fontId="3" fillId="0" borderId="47" xfId="0" applyFont="1" applyBorder="1" applyProtection="1"/>
    <xf numFmtId="0" fontId="3" fillId="6" borderId="148"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9" fillId="17" borderId="432" xfId="0" applyFont="1" applyFill="1" applyBorder="1" applyAlignment="1" applyProtection="1">
      <alignment vertical="center"/>
    </xf>
    <xf numFmtId="0" fontId="6" fillId="17" borderId="438" xfId="0" applyFont="1" applyFill="1" applyBorder="1" applyAlignment="1" applyProtection="1">
      <alignment vertical="center"/>
    </xf>
    <xf numFmtId="0" fontId="6" fillId="17" borderId="432" xfId="0" applyFont="1" applyFill="1" applyBorder="1" applyAlignment="1" applyProtection="1">
      <alignment horizontal="center" vertical="center" wrapText="1"/>
    </xf>
    <xf numFmtId="0" fontId="6" fillId="17" borderId="227" xfId="0" applyFont="1" applyFill="1" applyBorder="1" applyAlignment="1" applyProtection="1">
      <alignment horizontal="center" vertical="center" wrapText="1"/>
    </xf>
    <xf numFmtId="0" fontId="6" fillId="17" borderId="439" xfId="0" applyFont="1" applyFill="1" applyBorder="1" applyAlignment="1" applyProtection="1">
      <alignment horizontal="center" vertical="center"/>
    </xf>
    <xf numFmtId="7" fontId="3" fillId="4" borderId="226" xfId="0" applyNumberFormat="1" applyFont="1" applyFill="1" applyBorder="1" applyAlignment="1" applyProtection="1">
      <alignment horizontal="center"/>
    </xf>
    <xf numFmtId="7" fontId="3" fillId="4" borderId="227" xfId="0" applyNumberFormat="1" applyFont="1" applyFill="1" applyBorder="1" applyAlignment="1" applyProtection="1">
      <alignment horizontal="center"/>
    </xf>
    <xf numFmtId="7" fontId="3" fillId="4" borderId="439" xfId="0" applyNumberFormat="1" applyFont="1" applyFill="1" applyBorder="1" applyAlignment="1" applyProtection="1">
      <alignment horizontal="center"/>
    </xf>
    <xf numFmtId="0" fontId="18" fillId="3" borderId="82" xfId="0" applyFont="1" applyFill="1" applyBorder="1" applyAlignment="1" applyProtection="1"/>
    <xf numFmtId="0" fontId="18" fillId="3" borderId="87" xfId="0" applyFont="1" applyFill="1" applyBorder="1" applyAlignment="1" applyProtection="1"/>
    <xf numFmtId="44" fontId="3" fillId="2" borderId="440" xfId="0" applyNumberFormat="1" applyFont="1" applyFill="1" applyBorder="1" applyAlignment="1" applyProtection="1"/>
    <xf numFmtId="44" fontId="3" fillId="2" borderId="403" xfId="0" applyNumberFormat="1" applyFont="1" applyFill="1" applyBorder="1" applyAlignment="1" applyProtection="1"/>
    <xf numFmtId="0" fontId="18" fillId="3" borderId="98" xfId="0" applyFont="1" applyFill="1" applyBorder="1" applyAlignment="1" applyProtection="1"/>
    <xf numFmtId="0" fontId="18" fillId="3" borderId="99" xfId="0" applyFont="1" applyFill="1" applyBorder="1" applyAlignment="1" applyProtection="1"/>
    <xf numFmtId="44" fontId="3" fillId="2" borderId="441" xfId="0" applyNumberFormat="1" applyFont="1" applyFill="1" applyBorder="1" applyAlignment="1" applyProtection="1"/>
    <xf numFmtId="0" fontId="6" fillId="17" borderId="12" xfId="0" applyFont="1" applyFill="1" applyBorder="1" applyAlignment="1" applyProtection="1"/>
    <xf numFmtId="0" fontId="6" fillId="17" borderId="13" xfId="0" applyFont="1" applyFill="1" applyBorder="1" applyAlignment="1" applyProtection="1"/>
    <xf numFmtId="0" fontId="6" fillId="17" borderId="469" xfId="0" applyFont="1" applyFill="1" applyBorder="1" applyAlignment="1" applyProtection="1"/>
    <xf numFmtId="0" fontId="6" fillId="0" borderId="0" xfId="0" applyFont="1" applyFill="1" applyBorder="1" applyAlignment="1" applyProtection="1"/>
    <xf numFmtId="44" fontId="6" fillId="0" borderId="0" xfId="0" applyNumberFormat="1" applyFont="1" applyFill="1" applyBorder="1" applyAlignment="1" applyProtection="1">
      <alignment horizontal="center" vertical="center"/>
    </xf>
    <xf numFmtId="44" fontId="24"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9" fillId="0" borderId="0" xfId="0" applyFont="1" applyFill="1" applyBorder="1" applyAlignment="1" applyProtection="1">
      <alignment horizontal="left" vertical="center"/>
    </xf>
    <xf numFmtId="0" fontId="3" fillId="0" borderId="246" xfId="0" applyFont="1" applyBorder="1" applyAlignment="1" applyProtection="1">
      <alignment vertical="center" wrapText="1"/>
    </xf>
    <xf numFmtId="0" fontId="3" fillId="0" borderId="246" xfId="0" applyFont="1" applyBorder="1" applyAlignment="1" applyProtection="1">
      <alignment vertical="center"/>
    </xf>
    <xf numFmtId="0" fontId="27" fillId="0" borderId="168" xfId="0" applyFont="1" applyFill="1" applyBorder="1" applyProtection="1"/>
    <xf numFmtId="0" fontId="27" fillId="0" borderId="169" xfId="0" applyFont="1" applyFill="1" applyBorder="1" applyProtection="1"/>
    <xf numFmtId="0" fontId="27" fillId="0" borderId="171" xfId="0" applyFont="1" applyFill="1" applyBorder="1" applyProtection="1"/>
    <xf numFmtId="0" fontId="27" fillId="0" borderId="171" xfId="0" applyFont="1" applyBorder="1" applyProtection="1"/>
    <xf numFmtId="0" fontId="3" fillId="0" borderId="0" xfId="0" applyFont="1" applyProtection="1"/>
    <xf numFmtId="0" fontId="27" fillId="0" borderId="172" xfId="0" applyFont="1" applyFill="1" applyBorder="1" applyProtection="1"/>
    <xf numFmtId="0" fontId="27" fillId="16" borderId="74" xfId="0" applyFont="1" applyFill="1" applyBorder="1" applyProtection="1"/>
    <xf numFmtId="5" fontId="29" fillId="17" borderId="80" xfId="0" applyNumberFormat="1" applyFont="1" applyFill="1" applyBorder="1" applyAlignment="1" applyProtection="1">
      <alignment vertical="center" wrapText="1"/>
    </xf>
    <xf numFmtId="0" fontId="27" fillId="16" borderId="0" xfId="0" applyFont="1" applyFill="1" applyBorder="1" applyProtection="1"/>
    <xf numFmtId="5" fontId="29" fillId="17" borderId="95" xfId="0" applyNumberFormat="1" applyFont="1" applyFill="1" applyBorder="1" applyAlignment="1" applyProtection="1">
      <alignment vertical="center" wrapText="1"/>
    </xf>
    <xf numFmtId="0" fontId="27" fillId="16" borderId="13" xfId="0" applyFont="1" applyFill="1" applyBorder="1" applyProtection="1"/>
    <xf numFmtId="5" fontId="29" fillId="0" borderId="0" xfId="0" applyNumberFormat="1" applyFont="1" applyFill="1" applyBorder="1" applyAlignment="1" applyProtection="1">
      <alignment horizontal="center" vertical="center" wrapText="1"/>
    </xf>
    <xf numFmtId="42" fontId="25" fillId="16" borderId="74" xfId="0" applyNumberFormat="1" applyFont="1" applyFill="1" applyBorder="1" applyProtection="1"/>
    <xf numFmtId="42" fontId="25" fillId="6" borderId="231" xfId="0" applyNumberFormat="1" applyFont="1" applyFill="1" applyBorder="1" applyAlignment="1" applyProtection="1">
      <alignment vertical="center"/>
    </xf>
    <xf numFmtId="42" fontId="25" fillId="16" borderId="0" xfId="0" applyNumberFormat="1" applyFont="1" applyFill="1" applyBorder="1" applyProtection="1"/>
    <xf numFmtId="42" fontId="25" fillId="6" borderId="126" xfId="0" applyNumberFormat="1" applyFont="1" applyFill="1" applyBorder="1" applyAlignment="1" applyProtection="1">
      <alignment vertical="center" wrapText="1"/>
    </xf>
    <xf numFmtId="42" fontId="25" fillId="12" borderId="84" xfId="0" applyNumberFormat="1" applyFont="1" applyFill="1" applyBorder="1" applyAlignment="1" applyProtection="1">
      <alignment vertical="center"/>
    </xf>
    <xf numFmtId="42" fontId="25" fillId="12" borderId="135" xfId="0" applyNumberFormat="1" applyFont="1" applyFill="1" applyBorder="1" applyAlignment="1" applyProtection="1">
      <alignment vertical="center"/>
    </xf>
    <xf numFmtId="42" fontId="25" fillId="16" borderId="114" xfId="0" applyNumberFormat="1" applyFont="1" applyFill="1" applyBorder="1" applyProtection="1"/>
    <xf numFmtId="42" fontId="25" fillId="12" borderId="86" xfId="0" applyNumberFormat="1" applyFont="1" applyFill="1" applyBorder="1" applyAlignment="1" applyProtection="1">
      <alignment vertical="center"/>
    </xf>
    <xf numFmtId="42" fontId="25" fillId="12" borderId="73" xfId="0" applyNumberFormat="1" applyFont="1" applyFill="1" applyBorder="1" applyAlignment="1" applyProtection="1">
      <alignment vertical="center"/>
    </xf>
    <xf numFmtId="0" fontId="3" fillId="0" borderId="74" xfId="0" applyFont="1" applyBorder="1" applyProtection="1"/>
    <xf numFmtId="0" fontId="27" fillId="0" borderId="165" xfId="0" applyFont="1" applyFill="1" applyBorder="1" applyProtection="1"/>
    <xf numFmtId="0" fontId="3" fillId="0" borderId="246" xfId="0" applyFont="1" applyBorder="1" applyProtection="1"/>
    <xf numFmtId="0" fontId="27" fillId="0" borderId="246" xfId="0" applyFont="1" applyBorder="1" applyProtection="1"/>
    <xf numFmtId="42" fontId="37" fillId="0" borderId="246" xfId="0" applyNumberFormat="1" applyFont="1" applyFill="1" applyBorder="1" applyAlignment="1" applyProtection="1">
      <alignment horizontal="center" vertical="center"/>
    </xf>
    <xf numFmtId="42" fontId="25" fillId="16" borderId="246" xfId="0" applyNumberFormat="1" applyFont="1" applyFill="1" applyBorder="1" applyProtection="1"/>
    <xf numFmtId="0" fontId="3" fillId="0" borderId="339" xfId="0" applyFont="1" applyBorder="1" applyProtection="1"/>
    <xf numFmtId="0" fontId="27" fillId="0" borderId="339" xfId="0" applyFont="1" applyBorder="1" applyProtection="1"/>
    <xf numFmtId="42" fontId="37" fillId="0" borderId="339" xfId="0" applyNumberFormat="1" applyFont="1" applyFill="1" applyBorder="1" applyAlignment="1" applyProtection="1">
      <alignment horizontal="center" vertical="center"/>
    </xf>
    <xf numFmtId="42" fontId="25" fillId="16" borderId="339" xfId="0" applyNumberFormat="1" applyFont="1" applyFill="1" applyBorder="1" applyProtection="1"/>
    <xf numFmtId="42" fontId="18" fillId="0" borderId="13" xfId="0" applyNumberFormat="1" applyFont="1" applyFill="1" applyBorder="1" applyProtection="1"/>
    <xf numFmtId="0" fontId="27" fillId="0" borderId="166" xfId="0" applyFont="1" applyBorder="1" applyProtection="1"/>
    <xf numFmtId="42" fontId="25" fillId="16" borderId="166" xfId="0" applyNumberFormat="1" applyFont="1" applyFill="1" applyBorder="1" applyProtection="1"/>
    <xf numFmtId="42" fontId="25" fillId="11" borderId="224" xfId="0" applyNumberFormat="1" applyFont="1" applyFill="1" applyBorder="1" applyAlignment="1" applyProtection="1">
      <alignment vertical="center"/>
    </xf>
    <xf numFmtId="42" fontId="25" fillId="11" borderId="249" xfId="0" applyNumberFormat="1" applyFont="1" applyFill="1" applyBorder="1" applyAlignment="1" applyProtection="1">
      <alignment vertical="center"/>
    </xf>
    <xf numFmtId="42" fontId="25" fillId="12" borderId="251" xfId="0" applyNumberFormat="1" applyFont="1" applyFill="1" applyBorder="1" applyAlignment="1" applyProtection="1">
      <alignment vertical="center"/>
    </xf>
    <xf numFmtId="42" fontId="25" fillId="12" borderId="242" xfId="0" applyNumberFormat="1" applyFont="1" applyFill="1" applyBorder="1" applyAlignment="1" applyProtection="1">
      <alignment vertical="center"/>
    </xf>
    <xf numFmtId="42" fontId="25" fillId="16" borderId="13" xfId="0" applyNumberFormat="1" applyFont="1" applyFill="1" applyBorder="1" applyProtection="1"/>
    <xf numFmtId="42" fontId="25" fillId="12" borderId="243" xfId="0" applyNumberFormat="1" applyFont="1" applyFill="1" applyBorder="1" applyAlignment="1" applyProtection="1">
      <alignment vertical="center"/>
    </xf>
    <xf numFmtId="42" fontId="25" fillId="0" borderId="0" xfId="0" applyNumberFormat="1" applyFont="1" applyFill="1" applyBorder="1" applyProtection="1"/>
    <xf numFmtId="0" fontId="27" fillId="0" borderId="166" xfId="0" applyFont="1" applyFill="1" applyBorder="1" applyProtection="1"/>
    <xf numFmtId="166" fontId="39" fillId="0" borderId="166" xfId="0" applyNumberFormat="1" applyFont="1" applyFill="1" applyBorder="1" applyAlignment="1" applyProtection="1"/>
    <xf numFmtId="0" fontId="3" fillId="0" borderId="167" xfId="0" applyFont="1" applyFill="1" applyBorder="1" applyProtection="1"/>
    <xf numFmtId="44" fontId="0" fillId="0" borderId="0" xfId="0" applyNumberFormat="1" applyProtection="1">
      <protection locked="0"/>
    </xf>
    <xf numFmtId="0" fontId="13" fillId="0" borderId="30" xfId="0" applyFont="1" applyBorder="1" applyProtection="1"/>
    <xf numFmtId="0" fontId="13" fillId="0" borderId="31" xfId="0" applyFont="1" applyBorder="1" applyProtection="1"/>
    <xf numFmtId="0" fontId="13" fillId="0" borderId="32" xfId="0" applyFont="1" applyBorder="1" applyProtection="1"/>
    <xf numFmtId="0" fontId="13" fillId="0" borderId="33" xfId="0" applyFont="1" applyBorder="1" applyProtection="1"/>
    <xf numFmtId="0" fontId="13" fillId="0" borderId="34" xfId="0" applyFont="1" applyBorder="1" applyProtection="1"/>
    <xf numFmtId="0" fontId="13" fillId="0" borderId="0" xfId="0" applyFont="1" applyBorder="1" applyProtection="1"/>
    <xf numFmtId="0" fontId="17" fillId="0" borderId="0" xfId="0" applyFont="1" applyBorder="1" applyAlignment="1" applyProtection="1"/>
    <xf numFmtId="0" fontId="17" fillId="6" borderId="6" xfId="0" applyFont="1" applyFill="1" applyBorder="1" applyAlignment="1" applyProtection="1"/>
    <xf numFmtId="0" fontId="17" fillId="0" borderId="0" xfId="0" applyFont="1" applyFill="1" applyBorder="1" applyAlignment="1" applyProtection="1"/>
    <xf numFmtId="0" fontId="13" fillId="0" borderId="33" xfId="0" applyFont="1" applyFill="1" applyBorder="1" applyProtection="1"/>
    <xf numFmtId="0" fontId="13" fillId="0" borderId="0" xfId="0" applyFont="1" applyFill="1" applyBorder="1" applyProtection="1"/>
    <xf numFmtId="0" fontId="13" fillId="0" borderId="0" xfId="0" applyFont="1" applyProtection="1"/>
    <xf numFmtId="0" fontId="13" fillId="0" borderId="35" xfId="0" applyFont="1" applyFill="1" applyBorder="1" applyProtection="1"/>
    <xf numFmtId="0" fontId="13" fillId="0" borderId="36" xfId="0" applyFont="1" applyBorder="1" applyProtection="1"/>
    <xf numFmtId="0" fontId="13" fillId="0" borderId="37" xfId="0" applyFont="1" applyBorder="1" applyProtection="1"/>
    <xf numFmtId="0" fontId="13" fillId="0" borderId="34" xfId="0" applyFont="1" applyBorder="1" applyAlignment="1" applyProtection="1"/>
    <xf numFmtId="0" fontId="13" fillId="0" borderId="34" xfId="0" applyFont="1" applyFill="1" applyBorder="1" applyProtection="1"/>
    <xf numFmtId="0" fontId="13" fillId="0" borderId="0" xfId="0" applyFont="1" applyFill="1" applyProtection="1"/>
    <xf numFmtId="5" fontId="10"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0" fontId="17" fillId="6" borderId="6" xfId="0" applyFont="1" applyFill="1" applyBorder="1" applyAlignment="1" applyProtection="1"/>
    <xf numFmtId="3" fontId="27" fillId="0" borderId="3" xfId="0" applyNumberFormat="1" applyFont="1" applyFill="1" applyBorder="1" applyAlignment="1" applyProtection="1"/>
    <xf numFmtId="3" fontId="33"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7" fillId="0" borderId="40" xfId="0" applyFont="1" applyBorder="1" applyProtection="1"/>
    <xf numFmtId="0" fontId="57" fillId="0" borderId="41" xfId="0" applyFont="1" applyBorder="1" applyProtection="1"/>
    <xf numFmtId="0" fontId="57" fillId="0" borderId="41" xfId="0" applyFont="1" applyFill="1" applyBorder="1" applyAlignment="1" applyProtection="1">
      <alignment wrapText="1"/>
    </xf>
    <xf numFmtId="0" fontId="57" fillId="0" borderId="42" xfId="0" applyFont="1" applyFill="1" applyBorder="1" applyAlignment="1" applyProtection="1">
      <alignment wrapText="1"/>
    </xf>
    <xf numFmtId="0" fontId="57" fillId="0" borderId="43" xfId="0" applyFont="1" applyBorder="1" applyProtection="1"/>
    <xf numFmtId="0" fontId="57" fillId="0" borderId="44" xfId="0" applyFont="1" applyFill="1" applyBorder="1" applyAlignment="1" applyProtection="1">
      <alignment wrapText="1"/>
    </xf>
    <xf numFmtId="0" fontId="57" fillId="0" borderId="0" xfId="0" applyFont="1" applyBorder="1" applyProtection="1"/>
    <xf numFmtId="0" fontId="57" fillId="0" borderId="0" xfId="0" applyFont="1" applyFill="1" applyBorder="1" applyAlignment="1" applyProtection="1">
      <alignment wrapText="1"/>
    </xf>
    <xf numFmtId="0" fontId="56" fillId="0" borderId="0" xfId="0" applyFont="1" applyProtection="1"/>
    <xf numFmtId="0" fontId="17" fillId="0" borderId="44" xfId="0" applyFont="1" applyBorder="1" applyAlignment="1" applyProtection="1"/>
    <xf numFmtId="0" fontId="58" fillId="0" borderId="44" xfId="0" applyFont="1" applyBorder="1" applyProtection="1"/>
    <xf numFmtId="0" fontId="0" fillId="0" borderId="0" xfId="0" applyFont="1" applyProtection="1"/>
    <xf numFmtId="0" fontId="57" fillId="0" borderId="13" xfId="0" applyFont="1" applyBorder="1" applyProtection="1"/>
    <xf numFmtId="42" fontId="58" fillId="19" borderId="68" xfId="0" applyNumberFormat="1" applyFont="1" applyFill="1" applyBorder="1" applyProtection="1"/>
    <xf numFmtId="0" fontId="0" fillId="0" borderId="29" xfId="0" applyFont="1" applyBorder="1" applyProtection="1"/>
    <xf numFmtId="0" fontId="0" fillId="0" borderId="6" xfId="0" applyFont="1" applyBorder="1" applyProtection="1"/>
    <xf numFmtId="0" fontId="57" fillId="0" borderId="45" xfId="0" applyFont="1" applyBorder="1" applyProtection="1"/>
    <xf numFmtId="0" fontId="57" fillId="0" borderId="46" xfId="0" applyFont="1" applyBorder="1" applyProtection="1"/>
    <xf numFmtId="0" fontId="58" fillId="0" borderId="47" xfId="0" applyFont="1" applyBorder="1" applyProtection="1"/>
    <xf numFmtId="42" fontId="18" fillId="0" borderId="121" xfId="0" applyNumberFormat="1" applyFont="1" applyFill="1" applyBorder="1" applyAlignment="1" applyProtection="1">
      <alignment vertical="center"/>
      <protection locked="0"/>
    </xf>
    <xf numFmtId="0" fontId="3" fillId="0" borderId="219" xfId="0" applyFont="1" applyFill="1" applyBorder="1" applyProtection="1">
      <protection locked="0"/>
    </xf>
    <xf numFmtId="0" fontId="3" fillId="0" borderId="181" xfId="0" applyFont="1" applyFill="1" applyBorder="1" applyProtection="1">
      <protection locked="0"/>
    </xf>
    <xf numFmtId="0" fontId="3" fillId="0" borderId="168" xfId="0" applyFont="1" applyFill="1" applyBorder="1" applyProtection="1"/>
    <xf numFmtId="0" fontId="3" fillId="0" borderId="170" xfId="0" applyFont="1" applyFill="1" applyBorder="1" applyProtection="1"/>
    <xf numFmtId="0" fontId="3" fillId="0" borderId="171" xfId="0" applyFont="1" applyFill="1" applyBorder="1" applyProtection="1"/>
    <xf numFmtId="0" fontId="3" fillId="0" borderId="172" xfId="0" applyFont="1" applyFill="1" applyBorder="1" applyProtection="1"/>
    <xf numFmtId="0" fontId="30" fillId="0" borderId="0" xfId="0" applyFont="1" applyFill="1" applyBorder="1" applyProtection="1"/>
    <xf numFmtId="0" fontId="32" fillId="0" borderId="128" xfId="0" applyFont="1" applyFill="1" applyBorder="1" applyProtection="1"/>
    <xf numFmtId="0" fontId="3" fillId="0" borderId="266" xfId="0" applyFont="1" applyFill="1" applyBorder="1" applyProtection="1"/>
    <xf numFmtId="0" fontId="3" fillId="0" borderId="267" xfId="0" applyFont="1" applyFill="1" applyBorder="1" applyProtection="1"/>
    <xf numFmtId="0" fontId="29" fillId="0" borderId="267" xfId="0" applyFont="1" applyFill="1" applyBorder="1" applyAlignment="1" applyProtection="1">
      <alignment horizontal="right"/>
    </xf>
    <xf numFmtId="0" fontId="3" fillId="0" borderId="128" xfId="0" applyFont="1" applyFill="1" applyBorder="1" applyProtection="1"/>
    <xf numFmtId="0" fontId="3" fillId="5" borderId="171" xfId="0" applyFont="1" applyFill="1" applyBorder="1" applyProtection="1"/>
    <xf numFmtId="0" fontId="34" fillId="17" borderId="252" xfId="0" applyFont="1" applyFill="1" applyBorder="1" applyProtection="1"/>
    <xf numFmtId="0" fontId="27" fillId="17" borderId="252" xfId="0" applyFont="1" applyFill="1" applyBorder="1" applyProtection="1"/>
    <xf numFmtId="0" fontId="3" fillId="17" borderId="252" xfId="0" applyFont="1" applyFill="1" applyBorder="1" applyProtection="1"/>
    <xf numFmtId="0" fontId="3" fillId="17" borderId="253" xfId="0" applyFont="1" applyFill="1" applyBorder="1" applyProtection="1"/>
    <xf numFmtId="44" fontId="3" fillId="6" borderId="258" xfId="0" applyNumberFormat="1" applyFont="1" applyFill="1" applyBorder="1" applyProtection="1"/>
    <xf numFmtId="0" fontId="24" fillId="0" borderId="0" xfId="0" applyFont="1" applyFill="1" applyBorder="1" applyProtection="1"/>
    <xf numFmtId="0" fontId="3" fillId="0" borderId="165" xfId="0" applyFont="1" applyFill="1" applyBorder="1" applyProtection="1"/>
    <xf numFmtId="0" fontId="3" fillId="0" borderId="166" xfId="0" applyFont="1" applyFill="1" applyBorder="1" applyProtection="1"/>
    <xf numFmtId="0" fontId="24" fillId="0" borderId="166" xfId="0" applyFont="1" applyFill="1" applyBorder="1" applyProtection="1"/>
    <xf numFmtId="0" fontId="52" fillId="0" borderId="0" xfId="0" applyFont="1" applyFill="1" applyProtection="1">
      <protection locked="0"/>
    </xf>
    <xf numFmtId="0" fontId="18" fillId="0" borderId="30" xfId="0" applyFont="1" applyFill="1" applyBorder="1" applyAlignment="1" applyProtection="1"/>
    <xf numFmtId="0" fontId="18" fillId="0" borderId="31" xfId="0" applyFont="1" applyFill="1" applyBorder="1" applyAlignment="1" applyProtection="1"/>
    <xf numFmtId="0" fontId="18" fillId="0" borderId="31" xfId="0" applyFont="1" applyFill="1" applyBorder="1" applyAlignment="1" applyProtection="1">
      <alignment horizontal="left"/>
    </xf>
    <xf numFmtId="0" fontId="18" fillId="0" borderId="32" xfId="0" applyFont="1" applyFill="1" applyBorder="1" applyAlignment="1" applyProtection="1"/>
    <xf numFmtId="0" fontId="18" fillId="0" borderId="33" xfId="0" applyFont="1" applyFill="1" applyBorder="1" applyAlignment="1" applyProtection="1"/>
    <xf numFmtId="0" fontId="18" fillId="0" borderId="34" xfId="0" applyFont="1" applyFill="1" applyBorder="1" applyAlignment="1" applyProtection="1"/>
    <xf numFmtId="0" fontId="18" fillId="6" borderId="6" xfId="0" applyFont="1" applyFill="1" applyBorder="1" applyAlignment="1" applyProtection="1"/>
    <xf numFmtId="0" fontId="17" fillId="6" borderId="6" xfId="0" applyFont="1" applyFill="1" applyBorder="1" applyAlignment="1" applyProtection="1">
      <alignment horizontal="left"/>
    </xf>
    <xf numFmtId="0" fontId="17" fillId="0" borderId="0" xfId="0" applyFont="1" applyFill="1" applyBorder="1" applyAlignment="1" applyProtection="1">
      <alignment horizontal="left"/>
    </xf>
    <xf numFmtId="0" fontId="17" fillId="0" borderId="34" xfId="0" applyFont="1" applyFill="1" applyBorder="1" applyAlignment="1" applyProtection="1"/>
    <xf numFmtId="0" fontId="22" fillId="0" borderId="33" xfId="0" applyFont="1" applyFill="1" applyBorder="1" applyAlignment="1" applyProtection="1">
      <alignment horizontal="center"/>
    </xf>
    <xf numFmtId="0" fontId="22" fillId="17" borderId="255" xfId="0" applyFont="1" applyFill="1" applyBorder="1" applyAlignment="1" applyProtection="1"/>
    <xf numFmtId="0" fontId="22" fillId="17" borderId="255" xfId="0" applyFont="1" applyFill="1" applyBorder="1" applyAlignment="1" applyProtection="1">
      <alignment wrapText="1"/>
    </xf>
    <xf numFmtId="0" fontId="22" fillId="17" borderId="255" xfId="0" applyFont="1" applyFill="1" applyBorder="1" applyAlignment="1" applyProtection="1">
      <alignment horizontal="center" wrapText="1"/>
    </xf>
    <xf numFmtId="0" fontId="46" fillId="17" borderId="255" xfId="0" applyFont="1" applyFill="1" applyBorder="1" applyAlignment="1" applyProtection="1">
      <alignment horizontal="center" wrapText="1"/>
    </xf>
    <xf numFmtId="0" fontId="46" fillId="0" borderId="0" xfId="0" applyFont="1" applyFill="1" applyBorder="1" applyAlignment="1" applyProtection="1">
      <alignment horizontal="center"/>
    </xf>
    <xf numFmtId="0" fontId="46" fillId="0" borderId="34" xfId="0" applyFont="1" applyFill="1" applyBorder="1" applyAlignment="1" applyProtection="1">
      <alignment horizontal="center"/>
    </xf>
    <xf numFmtId="44" fontId="18" fillId="6" borderId="12" xfId="0" applyNumberFormat="1" applyFont="1" applyFill="1" applyBorder="1" applyAlignment="1" applyProtection="1"/>
    <xf numFmtId="44" fontId="18" fillId="6" borderId="457" xfId="0" applyNumberFormat="1" applyFont="1" applyFill="1" applyBorder="1" applyAlignment="1" applyProtection="1"/>
    <xf numFmtId="0" fontId="18" fillId="0" borderId="0" xfId="0" applyFont="1" applyFill="1" applyProtection="1"/>
    <xf numFmtId="0" fontId="22" fillId="0" borderId="0" xfId="0" applyFont="1" applyFill="1" applyBorder="1" applyAlignment="1" applyProtection="1"/>
    <xf numFmtId="0" fontId="22" fillId="17" borderId="256" xfId="0" applyFont="1" applyFill="1" applyBorder="1" applyAlignment="1" applyProtection="1">
      <alignment wrapText="1"/>
    </xf>
    <xf numFmtId="166" fontId="18" fillId="0" borderId="265" xfId="0" applyNumberFormat="1" applyFont="1" applyFill="1" applyBorder="1" applyAlignment="1" applyProtection="1">
      <alignment horizontal="left"/>
    </xf>
    <xf numFmtId="166" fontId="18" fillId="0" borderId="74" xfId="0" applyNumberFormat="1" applyFont="1" applyFill="1" applyBorder="1" applyAlignment="1" applyProtection="1"/>
    <xf numFmtId="0" fontId="46" fillId="0" borderId="34" xfId="0" applyFont="1" applyFill="1" applyBorder="1" applyAlignment="1" applyProtection="1"/>
    <xf numFmtId="166" fontId="18" fillId="0" borderId="0" xfId="0" applyNumberFormat="1" applyFont="1" applyFill="1" applyBorder="1" applyAlignment="1" applyProtection="1"/>
    <xf numFmtId="0" fontId="46" fillId="0" borderId="0" xfId="0" applyFont="1" applyFill="1" applyBorder="1" applyAlignment="1" applyProtection="1">
      <alignment horizontal="left"/>
    </xf>
    <xf numFmtId="5" fontId="18" fillId="0" borderId="0" xfId="0" applyNumberFormat="1" applyFont="1" applyFill="1" applyBorder="1" applyAlignment="1" applyProtection="1">
      <alignment horizontal="left"/>
    </xf>
    <xf numFmtId="0" fontId="46" fillId="17" borderId="255" xfId="0" applyFont="1" applyFill="1" applyBorder="1" applyAlignment="1" applyProtection="1">
      <alignment wrapText="1"/>
    </xf>
    <xf numFmtId="44" fontId="22" fillId="6" borderId="288" xfId="0" applyNumberFormat="1" applyFont="1" applyFill="1" applyBorder="1" applyAlignment="1" applyProtection="1"/>
    <xf numFmtId="44" fontId="22" fillId="6" borderId="260" xfId="0" applyNumberFormat="1" applyFont="1" applyFill="1" applyBorder="1" applyAlignment="1" applyProtection="1"/>
    <xf numFmtId="0" fontId="46" fillId="0" borderId="3" xfId="0" applyFont="1" applyFill="1" applyBorder="1" applyAlignment="1" applyProtection="1"/>
    <xf numFmtId="166" fontId="67" fillId="0" borderId="0" xfId="0" applyNumberFormat="1" applyFont="1" applyFill="1" applyBorder="1" applyAlignment="1" applyProtection="1"/>
    <xf numFmtId="5" fontId="21" fillId="0" borderId="35" xfId="0" applyNumberFormat="1" applyFont="1" applyFill="1" applyBorder="1" applyAlignment="1" applyProtection="1"/>
    <xf numFmtId="5" fontId="18" fillId="0" borderId="36" xfId="0" applyNumberFormat="1" applyFont="1" applyFill="1" applyBorder="1" applyAlignment="1" applyProtection="1"/>
    <xf numFmtId="0" fontId="18" fillId="0" borderId="36" xfId="0" applyFont="1" applyFill="1" applyBorder="1" applyAlignment="1" applyProtection="1"/>
    <xf numFmtId="5" fontId="18" fillId="0" borderId="36" xfId="0" applyNumberFormat="1" applyFont="1" applyFill="1" applyBorder="1" applyAlignment="1" applyProtection="1">
      <alignment horizontal="left"/>
    </xf>
    <xf numFmtId="164" fontId="18" fillId="0" borderId="36" xfId="0" applyNumberFormat="1" applyFont="1" applyFill="1" applyBorder="1" applyAlignment="1" applyProtection="1">
      <alignment horizontal="left"/>
    </xf>
    <xf numFmtId="5" fontId="43" fillId="0" borderId="36" xfId="0" applyNumberFormat="1" applyFont="1" applyFill="1" applyBorder="1" applyAlignment="1" applyProtection="1"/>
    <xf numFmtId="5" fontId="43" fillId="0" borderId="37" xfId="0" applyNumberFormat="1" applyFont="1" applyFill="1" applyBorder="1" applyAlignment="1" applyProtection="1"/>
    <xf numFmtId="0" fontId="18" fillId="0" borderId="538" xfId="0" applyFont="1" applyFill="1" applyBorder="1" applyAlignment="1" applyProtection="1">
      <protection locked="0"/>
    </xf>
    <xf numFmtId="0" fontId="18" fillId="0" borderId="541" xfId="0" applyFont="1" applyFill="1" applyBorder="1" applyAlignment="1" applyProtection="1">
      <protection locked="0"/>
    </xf>
    <xf numFmtId="0" fontId="18" fillId="0" borderId="114" xfId="0" applyFont="1" applyFill="1" applyBorder="1" applyAlignment="1" applyProtection="1">
      <protection locked="0"/>
    </xf>
    <xf numFmtId="0" fontId="16" fillId="0" borderId="168" xfId="0" applyFont="1" applyFill="1" applyBorder="1" applyAlignment="1" applyProtection="1">
      <alignment horizontal="left"/>
    </xf>
    <xf numFmtId="0" fontId="3" fillId="0" borderId="169" xfId="0" applyFont="1" applyFill="1" applyBorder="1" applyAlignment="1" applyProtection="1"/>
    <xf numFmtId="0" fontId="3" fillId="0" borderId="170" xfId="0" applyFont="1" applyBorder="1" applyAlignment="1" applyProtection="1"/>
    <xf numFmtId="0" fontId="16" fillId="0" borderId="171" xfId="0" applyFont="1" applyFill="1" applyBorder="1" applyAlignment="1" applyProtection="1">
      <alignment horizontal="left"/>
    </xf>
    <xf numFmtId="0" fontId="3" fillId="0" borderId="172" xfId="0" applyFont="1" applyBorder="1" applyAlignment="1" applyProtection="1"/>
    <xf numFmtId="0" fontId="3" fillId="0" borderId="171" xfId="0" applyFont="1" applyFill="1" applyBorder="1" applyAlignment="1" applyProtection="1"/>
    <xf numFmtId="0" fontId="19" fillId="0" borderId="0" xfId="0" applyFont="1" applyBorder="1" applyAlignment="1" applyProtection="1">
      <alignment vertical="center"/>
    </xf>
    <xf numFmtId="0" fontId="47" fillId="6" borderId="6" xfId="0" applyFont="1" applyFill="1" applyBorder="1" applyAlignment="1" applyProtection="1">
      <alignment vertical="top"/>
    </xf>
    <xf numFmtId="0" fontId="47" fillId="0" borderId="0" xfId="0" applyFont="1" applyFill="1" applyBorder="1" applyAlignment="1" applyProtection="1">
      <alignment vertical="top"/>
    </xf>
    <xf numFmtId="0" fontId="22" fillId="0" borderId="0" xfId="0" applyFont="1" applyBorder="1" applyAlignment="1" applyProtection="1">
      <alignment vertical="center"/>
    </xf>
    <xf numFmtId="0" fontId="18" fillId="0" borderId="0" xfId="0" applyFont="1" applyFill="1" applyBorder="1" applyAlignment="1" applyProtection="1">
      <alignment vertical="top"/>
    </xf>
    <xf numFmtId="0" fontId="21" fillId="0" borderId="0" xfId="0" applyFont="1" applyBorder="1" applyAlignment="1" applyProtection="1">
      <alignment vertical="center"/>
    </xf>
    <xf numFmtId="0" fontId="21" fillId="0" borderId="0" xfId="0" applyFont="1" applyBorder="1" applyProtection="1"/>
    <xf numFmtId="0" fontId="22" fillId="0" borderId="0" xfId="0" applyFont="1" applyBorder="1" applyAlignment="1" applyProtection="1">
      <alignment horizontal="right" vertical="center"/>
    </xf>
    <xf numFmtId="3" fontId="18" fillId="0" borderId="13" xfId="0" applyNumberFormat="1" applyFont="1" applyBorder="1" applyProtection="1"/>
    <xf numFmtId="14" fontId="18" fillId="0" borderId="0" xfId="0" applyNumberFormat="1" applyFont="1" applyBorder="1" applyProtection="1"/>
    <xf numFmtId="0" fontId="18" fillId="0" borderId="0" xfId="0" applyNumberFormat="1" applyFont="1" applyBorder="1" applyProtection="1"/>
    <xf numFmtId="5" fontId="48" fillId="0" borderId="97" xfId="0" applyNumberFormat="1" applyFont="1" applyFill="1" applyBorder="1" applyProtection="1"/>
    <xf numFmtId="5" fontId="48" fillId="6" borderId="87" xfId="0" applyNumberFormat="1" applyFont="1" applyFill="1" applyBorder="1" applyProtection="1"/>
    <xf numFmtId="5" fontId="43" fillId="0" borderId="74" xfId="0" applyNumberFormat="1" applyFont="1" applyFill="1" applyBorder="1" applyProtection="1"/>
    <xf numFmtId="5" fontId="43" fillId="0" borderId="13" xfId="0" applyNumberFormat="1" applyFont="1" applyFill="1" applyBorder="1" applyProtection="1"/>
    <xf numFmtId="5" fontId="49" fillId="6" borderId="97" xfId="0" applyNumberFormat="1" applyFont="1" applyFill="1" applyBorder="1" applyProtection="1"/>
    <xf numFmtId="5" fontId="49" fillId="6" borderId="87" xfId="0" applyNumberFormat="1" applyFont="1" applyFill="1" applyBorder="1" applyProtection="1"/>
    <xf numFmtId="0" fontId="49" fillId="6" borderId="87" xfId="0" applyFont="1" applyFill="1" applyBorder="1" applyAlignment="1" applyProtection="1"/>
    <xf numFmtId="0" fontId="38" fillId="0" borderId="171" xfId="0" applyFont="1" applyFill="1" applyBorder="1" applyAlignment="1" applyProtection="1"/>
    <xf numFmtId="0" fontId="18" fillId="0" borderId="0" xfId="0" applyFont="1" applyAlignment="1" applyProtection="1"/>
    <xf numFmtId="5" fontId="43" fillId="0" borderId="252" xfId="0" applyNumberFormat="1" applyFont="1" applyFill="1" applyBorder="1" applyProtection="1"/>
    <xf numFmtId="0" fontId="18" fillId="0" borderId="74" xfId="0" applyFont="1" applyBorder="1" applyProtection="1"/>
    <xf numFmtId="3" fontId="18" fillId="0" borderId="13" xfId="0" applyNumberFormat="1" applyFont="1" applyFill="1" applyBorder="1" applyProtection="1"/>
    <xf numFmtId="5" fontId="46" fillId="0" borderId="13" xfId="0" applyNumberFormat="1" applyFont="1" applyFill="1" applyBorder="1" applyAlignment="1" applyProtection="1">
      <alignment horizontal="center"/>
    </xf>
    <xf numFmtId="0" fontId="18" fillId="0" borderId="13" xfId="0" applyNumberFormat="1" applyFont="1" applyBorder="1" applyProtection="1"/>
    <xf numFmtId="0" fontId="18" fillId="0" borderId="13" xfId="0" applyFont="1" applyBorder="1" applyProtection="1"/>
    <xf numFmtId="0" fontId="15" fillId="0" borderId="171" xfId="0" applyFont="1" applyFill="1" applyBorder="1" applyAlignment="1" applyProtection="1"/>
    <xf numFmtId="5" fontId="18" fillId="0" borderId="0" xfId="0" applyNumberFormat="1" applyFont="1" applyBorder="1" applyProtection="1"/>
    <xf numFmtId="0" fontId="3" fillId="0" borderId="165" xfId="0" applyFont="1" applyFill="1" applyBorder="1" applyAlignment="1" applyProtection="1"/>
    <xf numFmtId="0" fontId="18" fillId="0" borderId="166" xfId="0" applyFont="1" applyBorder="1" applyAlignment="1" applyProtection="1"/>
    <xf numFmtId="0" fontId="3" fillId="0" borderId="167" xfId="0" applyFont="1" applyBorder="1" applyAlignment="1" applyProtection="1"/>
    <xf numFmtId="0" fontId="18" fillId="6" borderId="79" xfId="0" applyFont="1" applyFill="1" applyBorder="1" applyProtection="1"/>
    <xf numFmtId="3" fontId="18" fillId="0" borderId="0" xfId="0" applyNumberFormat="1" applyFont="1" applyBorder="1" applyProtection="1"/>
    <xf numFmtId="5" fontId="46" fillId="0" borderId="0" xfId="0" applyNumberFormat="1" applyFont="1" applyFill="1" applyBorder="1" applyAlignment="1" applyProtection="1">
      <alignment horizontal="center"/>
    </xf>
    <xf numFmtId="0" fontId="3" fillId="0" borderId="166" xfId="0" applyFont="1" applyBorder="1" applyAlignment="1" applyProtection="1"/>
    <xf numFmtId="6" fontId="18" fillId="0" borderId="278" xfId="0" applyNumberFormat="1" applyFont="1" applyFill="1" applyBorder="1" applyAlignment="1" applyProtection="1">
      <protection locked="0"/>
    </xf>
    <xf numFmtId="0" fontId="18" fillId="0" borderId="280" xfId="0" applyFont="1" applyFill="1" applyBorder="1" applyAlignment="1" applyProtection="1">
      <protection locked="0"/>
    </xf>
    <xf numFmtId="6" fontId="18" fillId="0" borderId="122" xfId="0" applyNumberFormat="1" applyFont="1" applyFill="1" applyBorder="1" applyAlignment="1" applyProtection="1">
      <protection locked="0"/>
    </xf>
    <xf numFmtId="0" fontId="18" fillId="0" borderId="121" xfId="0" applyFont="1" applyFill="1" applyBorder="1" applyAlignment="1" applyProtection="1">
      <protection locked="0"/>
    </xf>
    <xf numFmtId="6" fontId="18" fillId="0" borderId="136" xfId="0" applyNumberFormat="1" applyFont="1" applyFill="1" applyBorder="1" applyAlignment="1" applyProtection="1">
      <protection locked="0"/>
    </xf>
    <xf numFmtId="0" fontId="18" fillId="0" borderId="150" xfId="0" applyFont="1" applyFill="1" applyBorder="1" applyAlignment="1" applyProtection="1">
      <protection locked="0"/>
    </xf>
    <xf numFmtId="5" fontId="18" fillId="0" borderId="278" xfId="0" applyNumberFormat="1" applyFont="1" applyFill="1" applyBorder="1" applyAlignment="1" applyProtection="1">
      <protection locked="0"/>
    </xf>
    <xf numFmtId="5" fontId="18" fillId="0" borderId="122" xfId="0" applyNumberFormat="1" applyFont="1" applyFill="1" applyBorder="1" applyAlignment="1" applyProtection="1">
      <protection locked="0"/>
    </xf>
    <xf numFmtId="5" fontId="18" fillId="0" borderId="136" xfId="0" applyNumberFormat="1" applyFont="1" applyFill="1" applyBorder="1" applyAlignment="1" applyProtection="1">
      <protection locked="0"/>
    </xf>
    <xf numFmtId="42" fontId="43" fillId="0" borderId="85" xfId="0" applyNumberFormat="1" applyFont="1" applyFill="1" applyBorder="1" applyAlignment="1" applyProtection="1">
      <protection locked="0"/>
    </xf>
    <xf numFmtId="42" fontId="43" fillId="0" borderId="151" xfId="0" applyNumberFormat="1" applyFont="1" applyFill="1" applyBorder="1" applyAlignment="1" applyProtection="1">
      <protection locked="0"/>
    </xf>
    <xf numFmtId="0" fontId="23" fillId="0" borderId="168" xfId="0" applyFont="1" applyFill="1" applyBorder="1" applyAlignment="1" applyProtection="1">
      <alignment horizontal="left"/>
    </xf>
    <xf numFmtId="0" fontId="18" fillId="0" borderId="169" xfId="0" applyFont="1" applyFill="1" applyBorder="1" applyAlignment="1" applyProtection="1"/>
    <xf numFmtId="0" fontId="18" fillId="0" borderId="192" xfId="0" applyFont="1" applyFill="1" applyBorder="1" applyAlignment="1" applyProtection="1"/>
    <xf numFmtId="0" fontId="23" fillId="0" borderId="171" xfId="0" applyFont="1" applyFill="1" applyBorder="1" applyAlignment="1" applyProtection="1">
      <alignment horizontal="left"/>
    </xf>
    <xf numFmtId="0" fontId="19" fillId="0" borderId="0" xfId="0" applyFont="1" applyFill="1" applyBorder="1" applyAlignment="1" applyProtection="1">
      <alignment vertical="center"/>
    </xf>
    <xf numFmtId="0" fontId="18" fillId="6" borderId="6" xfId="0" applyFont="1" applyFill="1" applyBorder="1" applyAlignment="1" applyProtection="1">
      <alignment vertical="center"/>
    </xf>
    <xf numFmtId="0" fontId="0" fillId="6" borderId="6" xfId="0" applyFont="1" applyFill="1" applyBorder="1" applyProtection="1"/>
    <xf numFmtId="0" fontId="22" fillId="0" borderId="0" xfId="0" applyFont="1" applyFill="1" applyBorder="1" applyAlignment="1" applyProtection="1">
      <alignment vertical="center"/>
    </xf>
    <xf numFmtId="0" fontId="19" fillId="0" borderId="0" xfId="0" applyFont="1" applyFill="1" applyBorder="1" applyAlignment="1" applyProtection="1">
      <alignment horizontal="right"/>
    </xf>
    <xf numFmtId="0" fontId="3" fillId="6" borderId="6" xfId="0" applyFont="1" applyFill="1" applyBorder="1" applyProtection="1"/>
    <xf numFmtId="0" fontId="20" fillId="17" borderId="288" xfId="0" applyFont="1" applyFill="1" applyBorder="1" applyAlignment="1" applyProtection="1"/>
    <xf numFmtId="0" fontId="20" fillId="17" borderId="452" xfId="0" applyFont="1" applyFill="1" applyBorder="1" applyAlignment="1" applyProtection="1"/>
    <xf numFmtId="0" fontId="20" fillId="17" borderId="428" xfId="0" applyFont="1" applyFill="1" applyBorder="1" applyAlignment="1" applyProtection="1"/>
    <xf numFmtId="0" fontId="18" fillId="17" borderId="479" xfId="0" applyFont="1" applyFill="1" applyBorder="1" applyAlignment="1" applyProtection="1">
      <alignment wrapText="1"/>
    </xf>
    <xf numFmtId="166" fontId="18" fillId="17" borderId="479" xfId="0" applyNumberFormat="1" applyFont="1" applyFill="1" applyBorder="1" applyAlignment="1" applyProtection="1">
      <alignment wrapText="1"/>
    </xf>
    <xf numFmtId="9" fontId="18" fillId="17" borderId="479" xfId="0" applyNumberFormat="1" applyFont="1" applyFill="1" applyBorder="1" applyAlignment="1" applyProtection="1">
      <alignment wrapText="1"/>
    </xf>
    <xf numFmtId="166" fontId="18" fillId="17" borderId="480" xfId="0" applyNumberFormat="1" applyFont="1" applyFill="1" applyBorder="1" applyAlignment="1" applyProtection="1">
      <alignment wrapText="1"/>
    </xf>
    <xf numFmtId="0" fontId="18" fillId="0" borderId="13" xfId="0" applyFont="1" applyFill="1" applyBorder="1" applyProtection="1"/>
    <xf numFmtId="166" fontId="18" fillId="0" borderId="0" xfId="0" applyNumberFormat="1" applyFont="1" applyFill="1" applyBorder="1" applyAlignment="1" applyProtection="1">
      <alignment horizontal="right" wrapText="1"/>
    </xf>
    <xf numFmtId="9" fontId="18" fillId="0" borderId="0" xfId="0" applyNumberFormat="1" applyFont="1" applyFill="1" applyBorder="1" applyAlignment="1" applyProtection="1">
      <alignment horizontal="right" wrapText="1"/>
    </xf>
    <xf numFmtId="166" fontId="18" fillId="0" borderId="34" xfId="0" applyNumberFormat="1" applyFont="1" applyFill="1" applyBorder="1" applyAlignment="1" applyProtection="1">
      <alignment horizontal="right" wrapText="1"/>
    </xf>
    <xf numFmtId="3" fontId="50" fillId="0" borderId="13" xfId="0" applyNumberFormat="1" applyFont="1" applyFill="1" applyBorder="1" applyAlignment="1" applyProtection="1">
      <alignment wrapText="1"/>
    </xf>
    <xf numFmtId="0" fontId="18" fillId="0" borderId="35" xfId="0" applyFont="1" applyFill="1" applyBorder="1" applyProtection="1"/>
    <xf numFmtId="0" fontId="18" fillId="0" borderId="36" xfId="0" applyFont="1" applyFill="1" applyBorder="1" applyAlignment="1" applyProtection="1">
      <alignment horizontal="left" wrapText="1"/>
    </xf>
    <xf numFmtId="0" fontId="46" fillId="6" borderId="210" xfId="0" applyNumberFormat="1" applyFont="1" applyFill="1" applyBorder="1" applyAlignment="1" applyProtection="1">
      <alignment horizontal="center" vertical="center" wrapText="1"/>
    </xf>
    <xf numFmtId="0" fontId="46" fillId="6" borderId="482" xfId="0" applyNumberFormat="1" applyFont="1" applyFill="1" applyBorder="1" applyAlignment="1" applyProtection="1">
      <alignment horizontal="center" vertical="center" wrapText="1"/>
    </xf>
    <xf numFmtId="0" fontId="0" fillId="0" borderId="0" xfId="0" applyFont="1" applyFill="1" applyBorder="1" applyProtection="1"/>
    <xf numFmtId="3" fontId="19" fillId="0" borderId="0" xfId="0" applyNumberFormat="1" applyFont="1" applyFill="1" applyProtection="1"/>
    <xf numFmtId="0" fontId="18" fillId="0" borderId="36" xfId="0" applyFont="1" applyFill="1" applyBorder="1" applyAlignment="1" applyProtection="1">
      <alignment horizontal="center"/>
    </xf>
    <xf numFmtId="166" fontId="18" fillId="0" borderId="36" xfId="0" applyNumberFormat="1" applyFont="1" applyFill="1" applyBorder="1" applyProtection="1"/>
    <xf numFmtId="9" fontId="18" fillId="0" borderId="36" xfId="0" applyNumberFormat="1" applyFont="1" applyFill="1" applyBorder="1" applyAlignment="1" applyProtection="1">
      <alignment horizontal="center"/>
    </xf>
    <xf numFmtId="166" fontId="18" fillId="0" borderId="36" xfId="0" applyNumberFormat="1" applyFont="1" applyFill="1" applyBorder="1" applyAlignment="1" applyProtection="1">
      <alignment horizontal="center"/>
    </xf>
    <xf numFmtId="3" fontId="18" fillId="0" borderId="36" xfId="0" applyNumberFormat="1" applyFont="1" applyFill="1" applyBorder="1" applyProtection="1"/>
    <xf numFmtId="166" fontId="19" fillId="6" borderId="148" xfId="0" applyNumberFormat="1" applyFont="1" applyFill="1" applyBorder="1" applyAlignment="1" applyProtection="1"/>
    <xf numFmtId="166" fontId="19" fillId="6" borderId="259" xfId="0" applyNumberFormat="1" applyFont="1" applyFill="1" applyBorder="1" applyAlignment="1" applyProtection="1">
      <alignment horizontal="right"/>
    </xf>
    <xf numFmtId="166" fontId="19" fillId="6" borderId="255" xfId="0" applyNumberFormat="1" applyFont="1" applyFill="1" applyBorder="1" applyAlignment="1" applyProtection="1">
      <alignment horizontal="right"/>
    </xf>
    <xf numFmtId="166" fontId="19" fillId="6" borderId="256" xfId="0" applyNumberFormat="1" applyFont="1" applyFill="1" applyBorder="1" applyAlignment="1" applyProtection="1">
      <alignment horizontal="right"/>
    </xf>
    <xf numFmtId="166" fontId="19" fillId="6" borderId="24" xfId="0" applyNumberFormat="1" applyFont="1" applyFill="1" applyBorder="1" applyProtection="1"/>
    <xf numFmtId="166" fontId="19" fillId="6" borderId="17" xfId="0" applyNumberFormat="1" applyFont="1" applyFill="1" applyBorder="1" applyProtection="1"/>
    <xf numFmtId="166" fontId="19" fillId="6" borderId="23" xfId="0" applyNumberFormat="1" applyFont="1" applyFill="1" applyBorder="1" applyProtection="1"/>
    <xf numFmtId="0" fontId="17" fillId="0" borderId="474" xfId="0" applyFont="1" applyFill="1" applyBorder="1" applyAlignment="1" applyProtection="1">
      <alignment horizontal="center"/>
      <protection locked="0"/>
    </xf>
    <xf numFmtId="0" fontId="18" fillId="0" borderId="335" xfId="0" applyFont="1" applyFill="1" applyBorder="1" applyProtection="1"/>
    <xf numFmtId="0" fontId="18" fillId="0" borderId="336" xfId="0" applyFont="1" applyFill="1" applyBorder="1" applyProtection="1"/>
    <xf numFmtId="0" fontId="18" fillId="0" borderId="366" xfId="0" applyFont="1" applyFill="1" applyBorder="1" applyProtection="1"/>
    <xf numFmtId="0" fontId="18" fillId="0" borderId="333" xfId="0" applyFont="1" applyFill="1" applyBorder="1" applyProtection="1"/>
    <xf numFmtId="0" fontId="18" fillId="0" borderId="331" xfId="0" applyFont="1" applyFill="1" applyBorder="1" applyProtection="1"/>
    <xf numFmtId="0" fontId="18" fillId="0" borderId="358" xfId="0" applyFont="1" applyFill="1" applyBorder="1" applyProtection="1"/>
    <xf numFmtId="0" fontId="18" fillId="0" borderId="394" xfId="0" applyFont="1" applyFill="1" applyBorder="1" applyProtection="1"/>
    <xf numFmtId="165" fontId="18" fillId="0" borderId="252" xfId="0" applyNumberFormat="1" applyFont="1" applyFill="1" applyBorder="1" applyProtection="1"/>
    <xf numFmtId="9" fontId="18" fillId="0" borderId="0" xfId="0" applyNumberFormat="1" applyFont="1" applyFill="1" applyBorder="1" applyProtection="1"/>
    <xf numFmtId="0" fontId="18" fillId="0" borderId="304" xfId="0" applyFont="1" applyFill="1" applyBorder="1" applyProtection="1"/>
    <xf numFmtId="9" fontId="18" fillId="0" borderId="304" xfId="0" applyNumberFormat="1" applyFont="1" applyFill="1" applyBorder="1" applyProtection="1"/>
    <xf numFmtId="0" fontId="18" fillId="0" borderId="353" xfId="0" applyFont="1" applyFill="1" applyBorder="1" applyProtection="1"/>
    <xf numFmtId="5" fontId="69" fillId="6" borderId="372" xfId="0" applyNumberFormat="1" applyFont="1" applyFill="1" applyBorder="1" applyAlignment="1" applyProtection="1">
      <alignment vertical="center"/>
    </xf>
    <xf numFmtId="5" fontId="69" fillId="6" borderId="373" xfId="0" applyNumberFormat="1" applyFont="1" applyFill="1" applyBorder="1" applyAlignment="1" applyProtection="1">
      <alignment vertical="center"/>
    </xf>
    <xf numFmtId="5" fontId="69" fillId="6" borderId="374" xfId="0" applyNumberFormat="1" applyFont="1" applyFill="1" applyBorder="1" applyAlignment="1" applyProtection="1">
      <alignment vertical="center"/>
    </xf>
    <xf numFmtId="0" fontId="18" fillId="0" borderId="364" xfId="0" applyFont="1" applyFill="1" applyBorder="1" applyProtection="1"/>
    <xf numFmtId="5" fontId="69" fillId="6" borderId="375" xfId="0" applyNumberFormat="1" applyFont="1" applyFill="1" applyBorder="1" applyAlignment="1" applyProtection="1">
      <alignment vertical="center"/>
    </xf>
    <xf numFmtId="5" fontId="69" fillId="6" borderId="376" xfId="0" applyNumberFormat="1" applyFont="1" applyFill="1" applyBorder="1" applyAlignment="1" applyProtection="1">
      <alignment vertical="center"/>
    </xf>
    <xf numFmtId="5" fontId="69" fillId="6" borderId="377" xfId="0" applyNumberFormat="1" applyFont="1" applyFill="1" applyBorder="1" applyAlignment="1" applyProtection="1">
      <alignment vertical="center"/>
    </xf>
    <xf numFmtId="165" fontId="18" fillId="0" borderId="421" xfId="0" applyNumberFormat="1" applyFont="1" applyFill="1" applyBorder="1" applyProtection="1"/>
    <xf numFmtId="6" fontId="43" fillId="6" borderId="378" xfId="0" applyNumberFormat="1" applyFont="1" applyFill="1" applyBorder="1" applyAlignment="1" applyProtection="1">
      <alignment vertical="center"/>
    </xf>
    <xf numFmtId="165" fontId="43" fillId="0" borderId="61" xfId="0" applyNumberFormat="1" applyFont="1" applyFill="1" applyBorder="1" applyAlignment="1" applyProtection="1">
      <alignment vertical="center"/>
    </xf>
    <xf numFmtId="6" fontId="43" fillId="6" borderId="381" xfId="0" applyNumberFormat="1" applyFont="1" applyFill="1" applyBorder="1" applyAlignment="1" applyProtection="1">
      <alignment vertical="center"/>
    </xf>
    <xf numFmtId="165" fontId="43" fillId="0" borderId="421" xfId="0" applyNumberFormat="1" applyFont="1" applyFill="1" applyBorder="1" applyAlignment="1" applyProtection="1">
      <alignment vertical="center"/>
    </xf>
    <xf numFmtId="165" fontId="43" fillId="0" borderId="2" xfId="0" applyNumberFormat="1" applyFont="1" applyFill="1" applyBorder="1" applyAlignment="1" applyProtection="1">
      <alignment vertical="center"/>
    </xf>
    <xf numFmtId="165" fontId="43" fillId="0" borderId="304" xfId="0" applyNumberFormat="1" applyFont="1" applyFill="1" applyBorder="1" applyAlignment="1" applyProtection="1">
      <alignment vertical="center"/>
    </xf>
    <xf numFmtId="0" fontId="18" fillId="23" borderId="0" xfId="0" applyFont="1" applyFill="1" applyProtection="1"/>
    <xf numFmtId="49" fontId="43" fillId="0" borderId="0" xfId="0" applyNumberFormat="1" applyFont="1" applyFill="1" applyBorder="1" applyAlignment="1" applyProtection="1">
      <alignment horizontal="left" vertical="center"/>
    </xf>
    <xf numFmtId="44" fontId="43" fillId="0" borderId="0" xfId="0" applyNumberFormat="1" applyFont="1" applyFill="1" applyBorder="1" applyAlignment="1" applyProtection="1">
      <alignment horizontal="right" vertical="center"/>
    </xf>
    <xf numFmtId="44" fontId="40" fillId="0" borderId="0" xfId="0" applyNumberFormat="1" applyFont="1" applyFill="1" applyBorder="1" applyAlignment="1" applyProtection="1">
      <alignment horizontal="right" vertical="center"/>
    </xf>
    <xf numFmtId="6" fontId="43" fillId="0" borderId="0" xfId="0" applyNumberFormat="1" applyFont="1" applyFill="1" applyBorder="1" applyAlignment="1" applyProtection="1">
      <alignment horizontal="right" vertical="center"/>
    </xf>
    <xf numFmtId="6" fontId="43" fillId="6" borderId="69" xfId="0" applyNumberFormat="1" applyFont="1" applyFill="1" applyBorder="1" applyProtection="1"/>
    <xf numFmtId="6" fontId="43" fillId="6" borderId="70" xfId="0" applyNumberFormat="1" applyFont="1" applyFill="1" applyBorder="1" applyProtection="1"/>
    <xf numFmtId="166" fontId="43" fillId="6" borderId="70" xfId="0" applyNumberFormat="1" applyFont="1" applyFill="1" applyBorder="1" applyProtection="1"/>
    <xf numFmtId="166" fontId="43" fillId="6" borderId="71" xfId="0" applyNumberFormat="1" applyFont="1" applyFill="1" applyBorder="1" applyProtection="1"/>
    <xf numFmtId="6" fontId="69" fillId="6" borderId="372" xfId="0" applyNumberFormat="1" applyFont="1" applyFill="1" applyBorder="1" applyAlignment="1" applyProtection="1">
      <alignment vertical="center"/>
    </xf>
    <xf numFmtId="6" fontId="69" fillId="6" borderId="373" xfId="0" applyNumberFormat="1" applyFont="1" applyFill="1" applyBorder="1" applyAlignment="1" applyProtection="1">
      <alignment vertical="center"/>
    </xf>
    <xf numFmtId="6" fontId="69" fillId="6" borderId="374" xfId="0" applyNumberFormat="1" applyFont="1" applyFill="1" applyBorder="1" applyAlignment="1" applyProtection="1">
      <alignment vertical="center"/>
    </xf>
    <xf numFmtId="6" fontId="69" fillId="6" borderId="375" xfId="0" applyNumberFormat="1" applyFont="1" applyFill="1" applyBorder="1" applyAlignment="1" applyProtection="1">
      <alignment vertical="center"/>
    </xf>
    <xf numFmtId="6" fontId="69" fillId="6" borderId="376" xfId="0" applyNumberFormat="1" applyFont="1" applyFill="1" applyBorder="1" applyAlignment="1" applyProtection="1">
      <alignment vertical="center"/>
    </xf>
    <xf numFmtId="6" fontId="69" fillId="6" borderId="377" xfId="0" applyNumberFormat="1" applyFont="1" applyFill="1" applyBorder="1" applyAlignment="1" applyProtection="1">
      <alignment vertical="center"/>
    </xf>
    <xf numFmtId="0" fontId="18" fillId="0" borderId="339" xfId="0" applyFont="1" applyFill="1" applyBorder="1" applyProtection="1"/>
    <xf numFmtId="0" fontId="18" fillId="0" borderId="165" xfId="0" applyFont="1" applyFill="1" applyBorder="1" applyProtection="1"/>
    <xf numFmtId="0" fontId="18" fillId="0" borderId="167" xfId="0" applyFont="1" applyFill="1" applyBorder="1" applyProtection="1"/>
    <xf numFmtId="0" fontId="59" fillId="6" borderId="79" xfId="0" applyFont="1" applyFill="1" applyBorder="1" applyAlignment="1" applyProtection="1">
      <alignment horizontal="left" vertical="center"/>
    </xf>
    <xf numFmtId="14" fontId="59" fillId="0" borderId="79" xfId="0" applyNumberFormat="1" applyFont="1" applyFill="1" applyBorder="1" applyAlignment="1" applyProtection="1">
      <alignment horizontal="left" vertical="center"/>
      <protection locked="0"/>
    </xf>
    <xf numFmtId="14" fontId="59" fillId="6" borderId="79" xfId="0" applyNumberFormat="1" applyFont="1" applyFill="1" applyBorder="1" applyAlignment="1" applyProtection="1">
      <alignment horizontal="left" vertical="center"/>
    </xf>
    <xf numFmtId="165" fontId="18" fillId="8" borderId="358" xfId="0" applyNumberFormat="1" applyFont="1" applyFill="1" applyBorder="1" applyProtection="1"/>
    <xf numFmtId="5" fontId="43" fillId="8" borderId="317" xfId="0" applyNumberFormat="1" applyFont="1" applyFill="1" applyBorder="1" applyAlignment="1" applyProtection="1">
      <alignment horizontal="right" vertical="center"/>
    </xf>
    <xf numFmtId="5" fontId="43" fillId="8" borderId="318" xfId="0" applyNumberFormat="1" applyFont="1" applyFill="1" applyBorder="1" applyAlignment="1" applyProtection="1">
      <alignment horizontal="right" vertical="center"/>
    </xf>
    <xf numFmtId="6" fontId="43" fillId="8" borderId="316" xfId="0" applyNumberFormat="1" applyFont="1" applyFill="1" applyBorder="1" applyAlignment="1" applyProtection="1">
      <alignment horizontal="right" vertical="center"/>
    </xf>
    <xf numFmtId="6" fontId="43" fillId="8" borderId="317" xfId="0" applyNumberFormat="1" applyFont="1" applyFill="1" applyBorder="1" applyAlignment="1" applyProtection="1">
      <alignment horizontal="right" vertical="center"/>
    </xf>
    <xf numFmtId="6" fontId="43" fillId="8" borderId="318" xfId="0" applyNumberFormat="1" applyFont="1" applyFill="1" applyBorder="1" applyAlignment="1" applyProtection="1">
      <alignment horizontal="right" vertical="center"/>
    </xf>
    <xf numFmtId="0" fontId="46" fillId="6" borderId="258" xfId="0" applyNumberFormat="1" applyFont="1" applyFill="1" applyBorder="1" applyAlignment="1" applyProtection="1">
      <alignment vertical="center"/>
    </xf>
    <xf numFmtId="0" fontId="18" fillId="0" borderId="298" xfId="0" applyFont="1" applyFill="1" applyBorder="1" applyAlignment="1" applyProtection="1"/>
    <xf numFmtId="0" fontId="18" fillId="0" borderId="299" xfId="0" applyFont="1" applyBorder="1" applyAlignment="1" applyProtection="1"/>
    <xf numFmtId="166" fontId="22" fillId="0" borderId="299" xfId="0" applyNumberFormat="1" applyFont="1" applyBorder="1" applyProtection="1"/>
    <xf numFmtId="0" fontId="22" fillId="0" borderId="300" xfId="0" applyFont="1" applyBorder="1" applyProtection="1"/>
    <xf numFmtId="0" fontId="18" fillId="0" borderId="295" xfId="0" applyFont="1" applyFill="1" applyBorder="1" applyAlignment="1" applyProtection="1"/>
    <xf numFmtId="0" fontId="22" fillId="0" borderId="297" xfId="0" applyFont="1" applyBorder="1" applyProtection="1"/>
    <xf numFmtId="0" fontId="17" fillId="0" borderId="0" xfId="0" applyFont="1" applyFill="1" applyBorder="1" applyAlignment="1" applyProtection="1">
      <alignment horizontal="right"/>
    </xf>
    <xf numFmtId="0" fontId="71" fillId="0" borderId="0" xfId="0" applyFont="1" applyFill="1" applyBorder="1" applyProtection="1"/>
    <xf numFmtId="166" fontId="22" fillId="0" borderId="0" xfId="0" applyNumberFormat="1" applyFont="1" applyBorder="1" applyProtection="1"/>
    <xf numFmtId="0" fontId="22" fillId="0" borderId="297" xfId="0" applyFont="1" applyFill="1" applyBorder="1" applyProtection="1"/>
    <xf numFmtId="0" fontId="21" fillId="0" borderId="0" xfId="0" applyFont="1" applyFill="1" applyBorder="1" applyProtection="1"/>
    <xf numFmtId="0" fontId="18" fillId="0" borderId="296" xfId="0" applyFont="1" applyFill="1" applyBorder="1" applyAlignment="1" applyProtection="1"/>
    <xf numFmtId="0" fontId="59" fillId="0" borderId="301" xfId="0" applyFont="1" applyFill="1" applyBorder="1" applyAlignment="1" applyProtection="1"/>
    <xf numFmtId="0" fontId="18" fillId="0" borderId="301" xfId="0" applyFont="1" applyFill="1" applyBorder="1" applyAlignment="1" applyProtection="1">
      <alignment vertical="top"/>
    </xf>
    <xf numFmtId="0" fontId="22" fillId="0" borderId="302" xfId="0" applyFont="1" applyFill="1" applyBorder="1" applyProtection="1"/>
    <xf numFmtId="0" fontId="18" fillId="0" borderId="168" xfId="0" applyFont="1" applyFill="1" applyBorder="1" applyProtection="1"/>
    <xf numFmtId="0" fontId="18" fillId="0" borderId="169" xfId="0" applyFont="1" applyFill="1" applyBorder="1" applyProtection="1"/>
    <xf numFmtId="0" fontId="18" fillId="0" borderId="170" xfId="0" applyFont="1" applyFill="1" applyBorder="1" applyProtection="1"/>
    <xf numFmtId="0" fontId="18" fillId="0" borderId="171" xfId="0" applyFont="1" applyFill="1" applyBorder="1" applyProtection="1"/>
    <xf numFmtId="0" fontId="18" fillId="0" borderId="172" xfId="0" applyFont="1" applyFill="1" applyBorder="1" applyProtection="1"/>
    <xf numFmtId="0" fontId="18" fillId="0" borderId="171" xfId="0" applyFont="1" applyFill="1" applyBorder="1" applyAlignment="1" applyProtection="1"/>
    <xf numFmtId="5" fontId="25" fillId="0" borderId="172" xfId="0" applyNumberFormat="1" applyFont="1" applyFill="1" applyBorder="1" applyAlignment="1" applyProtection="1"/>
    <xf numFmtId="0" fontId="18" fillId="3" borderId="171" xfId="0" applyFont="1" applyFill="1" applyBorder="1" applyProtection="1"/>
    <xf numFmtId="0" fontId="18" fillId="3" borderId="172" xfId="0" applyFont="1" applyFill="1" applyBorder="1" applyProtection="1"/>
    <xf numFmtId="0" fontId="18" fillId="6" borderId="6" xfId="0" applyFont="1" applyFill="1" applyBorder="1" applyAlignment="1" applyProtection="1"/>
    <xf numFmtId="0" fontId="23" fillId="0" borderId="34" xfId="0" applyFont="1" applyFill="1" applyBorder="1" applyAlignment="1" applyProtection="1">
      <alignment horizontal="center"/>
    </xf>
    <xf numFmtId="0" fontId="23" fillId="0" borderId="0" xfId="0" applyFont="1" applyFill="1" applyBorder="1" applyAlignment="1" applyProtection="1">
      <alignment horizontal="center" wrapText="1"/>
    </xf>
    <xf numFmtId="0" fontId="23" fillId="0" borderId="0" xfId="0" applyFont="1" applyFill="1" applyBorder="1" applyAlignment="1" applyProtection="1">
      <alignment horizontal="center"/>
    </xf>
    <xf numFmtId="0" fontId="18" fillId="5" borderId="16" xfId="0" applyFont="1" applyFill="1" applyBorder="1" applyAlignment="1" applyProtection="1">
      <alignment vertical="top"/>
    </xf>
    <xf numFmtId="0" fontId="18" fillId="0" borderId="0" xfId="0" applyFont="1" applyBorder="1" applyAlignment="1" applyProtection="1">
      <alignment wrapText="1"/>
      <protection locked="0"/>
    </xf>
    <xf numFmtId="0" fontId="18" fillId="0" borderId="0" xfId="0" applyFont="1" applyProtection="1">
      <protection locked="0"/>
    </xf>
    <xf numFmtId="0" fontId="18" fillId="0" borderId="0" xfId="0" applyFont="1" applyProtection="1"/>
    <xf numFmtId="0" fontId="22" fillId="0" borderId="0" xfId="0" applyFont="1" applyBorder="1" applyAlignment="1" applyProtection="1">
      <alignment horizontal="center" wrapText="1"/>
    </xf>
    <xf numFmtId="49" fontId="18" fillId="0" borderId="0" xfId="0" applyNumberFormat="1" applyFont="1" applyFill="1" applyBorder="1" applyAlignment="1" applyProtection="1">
      <alignment horizontal="center" wrapText="1"/>
    </xf>
    <xf numFmtId="0" fontId="0" fillId="0" borderId="488" xfId="0" applyFont="1" applyBorder="1" applyProtection="1">
      <protection locked="0"/>
    </xf>
    <xf numFmtId="0" fontId="0" fillId="0" borderId="489" xfId="0" applyFont="1" applyBorder="1" applyProtection="1">
      <protection locked="0"/>
    </xf>
    <xf numFmtId="0" fontId="0" fillId="0" borderId="490" xfId="0" applyFont="1" applyBorder="1" applyProtection="1">
      <protection locked="0"/>
    </xf>
    <xf numFmtId="0" fontId="18" fillId="6" borderId="6" xfId="0" applyFont="1" applyFill="1" applyBorder="1" applyProtection="1"/>
    <xf numFmtId="0" fontId="19" fillId="0" borderId="79" xfId="0" applyFont="1" applyFill="1" applyBorder="1" applyProtection="1">
      <protection locked="0"/>
    </xf>
    <xf numFmtId="0" fontId="2" fillId="0" borderId="0" xfId="0" applyFont="1" applyFill="1" applyProtection="1">
      <protection locked="0"/>
    </xf>
    <xf numFmtId="0" fontId="19" fillId="0" borderId="474" xfId="0" applyFont="1" applyFill="1" applyBorder="1" applyProtection="1">
      <protection locked="0"/>
    </xf>
    <xf numFmtId="0" fontId="57" fillId="0" borderId="168" xfId="0" applyFont="1" applyFill="1" applyBorder="1" applyProtection="1"/>
    <xf numFmtId="0" fontId="57" fillId="0" borderId="169" xfId="0" applyFont="1" applyFill="1" applyBorder="1" applyAlignment="1" applyProtection="1">
      <alignment wrapText="1"/>
    </xf>
    <xf numFmtId="0" fontId="57" fillId="0" borderId="170" xfId="0" applyFont="1" applyFill="1" applyBorder="1" applyProtection="1"/>
    <xf numFmtId="0" fontId="57" fillId="0" borderId="171" xfId="0" applyFont="1" applyFill="1" applyBorder="1" applyProtection="1"/>
    <xf numFmtId="0" fontId="57" fillId="0" borderId="172" xfId="0" applyFont="1" applyFill="1" applyBorder="1" applyProtection="1"/>
    <xf numFmtId="0" fontId="22" fillId="0" borderId="0" xfId="0" applyFont="1" applyFill="1" applyBorder="1" applyAlignment="1" applyProtection="1">
      <alignment horizontal="center" wrapText="1"/>
    </xf>
    <xf numFmtId="0" fontId="75" fillId="0" borderId="0" xfId="0" applyFont="1" applyFill="1" applyBorder="1" applyAlignment="1" applyProtection="1">
      <alignment horizontal="center" wrapText="1"/>
    </xf>
    <xf numFmtId="0" fontId="19" fillId="0" borderId="6" xfId="0" applyFont="1" applyFill="1" applyBorder="1" applyAlignment="1" applyProtection="1"/>
    <xf numFmtId="0" fontId="57" fillId="0" borderId="6" xfId="0" applyFont="1" applyFill="1" applyBorder="1" applyProtection="1"/>
    <xf numFmtId="0" fontId="19" fillId="0" borderId="6" xfId="0" applyFont="1" applyFill="1" applyBorder="1" applyProtection="1"/>
    <xf numFmtId="0" fontId="19" fillId="0" borderId="6" xfId="0" applyFont="1" applyFill="1" applyBorder="1" applyAlignment="1" applyProtection="1">
      <alignment horizontal="center"/>
    </xf>
    <xf numFmtId="0" fontId="57" fillId="0" borderId="0" xfId="0" applyFont="1" applyFill="1" applyBorder="1" applyAlignment="1" applyProtection="1"/>
    <xf numFmtId="0" fontId="57" fillId="0" borderId="0" xfId="0" applyFont="1" applyFill="1" applyBorder="1" applyAlignment="1" applyProtection="1">
      <alignment horizontal="left" indent="2"/>
    </xf>
    <xf numFmtId="0" fontId="0" fillId="0" borderId="171" xfId="0" applyFont="1" applyFill="1" applyBorder="1" applyProtection="1"/>
    <xf numFmtId="0" fontId="0" fillId="8" borderId="0" xfId="0" applyFont="1" applyFill="1" applyBorder="1" applyProtection="1"/>
    <xf numFmtId="0" fontId="0" fillId="0" borderId="172" xfId="0" applyFont="1" applyFill="1" applyBorder="1" applyProtection="1"/>
    <xf numFmtId="0" fontId="57" fillId="0" borderId="0" xfId="0" applyFont="1" applyFill="1" applyBorder="1" applyProtection="1"/>
    <xf numFmtId="0" fontId="22" fillId="0" borderId="0" xfId="0" applyFont="1" applyFill="1" applyBorder="1" applyAlignment="1" applyProtection="1">
      <alignment horizontal="center"/>
    </xf>
    <xf numFmtId="0" fontId="57" fillId="0" borderId="0" xfId="0" quotePrefix="1" applyFont="1" applyFill="1" applyBorder="1" applyAlignment="1" applyProtection="1">
      <alignment horizontal="center"/>
    </xf>
    <xf numFmtId="0" fontId="57" fillId="0" borderId="0" xfId="0" applyFont="1" applyFill="1" applyBorder="1" applyAlignment="1" applyProtection="1">
      <alignment horizontal="center"/>
    </xf>
    <xf numFmtId="0" fontId="56" fillId="0" borderId="171" xfId="0" applyFont="1" applyFill="1" applyBorder="1" applyProtection="1"/>
    <xf numFmtId="0" fontId="56" fillId="0" borderId="6" xfId="0" applyFont="1" applyFill="1" applyBorder="1" applyProtection="1"/>
    <xf numFmtId="0" fontId="56" fillId="0" borderId="172" xfId="0" applyFont="1" applyFill="1" applyBorder="1" applyProtection="1"/>
    <xf numFmtId="0" fontId="22" fillId="0" borderId="0" xfId="0" applyFont="1" applyFill="1" applyBorder="1" applyAlignment="1" applyProtection="1">
      <alignment wrapText="1"/>
    </xf>
    <xf numFmtId="0" fontId="22" fillId="0" borderId="172" xfId="0" applyFont="1" applyFill="1" applyBorder="1" applyAlignment="1" applyProtection="1">
      <alignment wrapText="1"/>
    </xf>
    <xf numFmtId="0" fontId="57" fillId="0" borderId="0" xfId="0" applyFont="1" applyFill="1" applyBorder="1" applyAlignment="1" applyProtection="1">
      <alignment horizontal="left"/>
    </xf>
    <xf numFmtId="0" fontId="47" fillId="0" borderId="0" xfId="0" applyFont="1" applyFill="1" applyBorder="1" applyProtection="1"/>
    <xf numFmtId="0" fontId="47" fillId="0" borderId="0" xfId="0" applyFont="1" applyFill="1" applyBorder="1" applyAlignment="1" applyProtection="1"/>
    <xf numFmtId="1" fontId="57" fillId="0" borderId="0" xfId="0" applyNumberFormat="1" applyFont="1" applyFill="1" applyBorder="1" applyAlignment="1" applyProtection="1">
      <alignment horizontal="right"/>
    </xf>
    <xf numFmtId="0" fontId="75" fillId="0" borderId="0" xfId="0" applyFont="1" applyFill="1" applyBorder="1" applyProtection="1"/>
    <xf numFmtId="44" fontId="47" fillId="0" borderId="0" xfId="0" applyNumberFormat="1" applyFont="1" applyFill="1" applyBorder="1" applyAlignment="1" applyProtection="1">
      <alignment horizontal="left"/>
    </xf>
    <xf numFmtId="44" fontId="57" fillId="0" borderId="0" xfId="0" applyNumberFormat="1" applyFont="1" applyFill="1" applyBorder="1" applyAlignment="1" applyProtection="1">
      <alignment horizontal="left"/>
    </xf>
    <xf numFmtId="169" fontId="57" fillId="0" borderId="0" xfId="0" applyNumberFormat="1" applyFont="1" applyFill="1" applyBorder="1" applyAlignment="1" applyProtection="1">
      <alignment horizontal="left"/>
    </xf>
    <xf numFmtId="0" fontId="57" fillId="0" borderId="165" xfId="0" applyFont="1" applyFill="1" applyBorder="1" applyProtection="1"/>
    <xf numFmtId="0" fontId="57" fillId="0" borderId="166" xfId="0" applyFont="1" applyFill="1" applyBorder="1" applyProtection="1"/>
    <xf numFmtId="44" fontId="47" fillId="0" borderId="166" xfId="0" applyNumberFormat="1" applyFont="1" applyFill="1" applyBorder="1" applyAlignment="1" applyProtection="1">
      <alignment horizontal="left"/>
    </xf>
    <xf numFmtId="169" fontId="57" fillId="0" borderId="166" xfId="0" applyNumberFormat="1" applyFont="1" applyFill="1" applyBorder="1" applyAlignment="1" applyProtection="1">
      <alignment horizontal="left"/>
    </xf>
    <xf numFmtId="0" fontId="57" fillId="0" borderId="46" xfId="0" applyFont="1" applyFill="1" applyBorder="1" applyProtection="1"/>
    <xf numFmtId="0" fontId="57" fillId="0" borderId="167" xfId="0" applyFont="1" applyFill="1" applyBorder="1" applyProtection="1"/>
    <xf numFmtId="0" fontId="59" fillId="0" borderId="0" xfId="0" applyFont="1" applyFill="1" applyBorder="1" applyProtection="1"/>
    <xf numFmtId="165" fontId="47" fillId="0" borderId="0" xfId="0" applyNumberFormat="1" applyFont="1" applyFill="1" applyBorder="1" applyAlignment="1" applyProtection="1">
      <alignment horizontal="right"/>
    </xf>
    <xf numFmtId="0" fontId="19" fillId="0" borderId="0" xfId="0" applyFont="1" applyFill="1" applyBorder="1" applyAlignment="1" applyProtection="1">
      <alignment horizontal="center"/>
    </xf>
    <xf numFmtId="0" fontId="22" fillId="0" borderId="166" xfId="0" applyFont="1" applyFill="1" applyBorder="1" applyAlignment="1" applyProtection="1">
      <alignment wrapText="1"/>
    </xf>
    <xf numFmtId="0" fontId="22" fillId="0" borderId="46" xfId="0" applyFont="1" applyFill="1" applyBorder="1" applyAlignment="1" applyProtection="1">
      <alignment wrapText="1"/>
    </xf>
    <xf numFmtId="0" fontId="22" fillId="0" borderId="0" xfId="0" applyFont="1" applyFill="1" applyBorder="1" applyAlignment="1" applyProtection="1">
      <alignment horizontal="left"/>
    </xf>
    <xf numFmtId="0" fontId="20" fillId="26" borderId="288" xfId="0" applyFont="1" applyFill="1" applyBorder="1" applyAlignment="1" applyProtection="1">
      <alignment horizontal="left"/>
    </xf>
    <xf numFmtId="0" fontId="57" fillId="26" borderId="452" xfId="0" applyFont="1" applyFill="1" applyBorder="1" applyProtection="1"/>
    <xf numFmtId="0" fontId="57" fillId="26" borderId="452" xfId="0" applyFont="1" applyFill="1" applyBorder="1" applyAlignment="1" applyProtection="1"/>
    <xf numFmtId="0" fontId="57" fillId="26" borderId="467" xfId="0" applyFont="1" applyFill="1" applyBorder="1" applyProtection="1"/>
    <xf numFmtId="0" fontId="19" fillId="6" borderId="148" xfId="0" applyFont="1" applyFill="1" applyBorder="1" applyAlignment="1" applyProtection="1">
      <alignment horizontal="right"/>
    </xf>
    <xf numFmtId="0" fontId="57" fillId="0" borderId="0" xfId="0" applyFont="1" applyFill="1" applyBorder="1" applyAlignment="1" applyProtection="1">
      <alignment vertical="center" wrapText="1"/>
    </xf>
    <xf numFmtId="1" fontId="57" fillId="0" borderId="0" xfId="0" applyNumberFormat="1" applyFont="1" applyFill="1" applyBorder="1" applyProtection="1"/>
    <xf numFmtId="0" fontId="76" fillId="0" borderId="0" xfId="0" applyFont="1" applyFill="1" applyBorder="1" applyAlignment="1" applyProtection="1">
      <alignment horizontal="left"/>
    </xf>
    <xf numFmtId="0" fontId="75" fillId="0" borderId="0" xfId="0" applyFont="1" applyFill="1" applyBorder="1" applyAlignment="1" applyProtection="1">
      <alignment horizontal="left"/>
    </xf>
    <xf numFmtId="0" fontId="57" fillId="0" borderId="0" xfId="0" applyFont="1" applyFill="1" applyBorder="1" applyAlignment="1" applyProtection="1">
      <alignment horizontal="left" vertical="top"/>
    </xf>
    <xf numFmtId="37" fontId="47" fillId="0" borderId="0" xfId="0" applyNumberFormat="1" applyFont="1" applyFill="1" applyBorder="1" applyAlignment="1" applyProtection="1">
      <alignment horizontal="right"/>
    </xf>
    <xf numFmtId="37" fontId="47" fillId="0" borderId="0" xfId="0" applyNumberFormat="1" applyFont="1" applyFill="1" applyBorder="1" applyAlignment="1" applyProtection="1"/>
    <xf numFmtId="0" fontId="47" fillId="0" borderId="397" xfId="0" applyFont="1" applyFill="1" applyBorder="1" applyProtection="1"/>
    <xf numFmtId="44" fontId="57" fillId="0" borderId="397" xfId="0" applyNumberFormat="1" applyFont="1" applyFill="1" applyBorder="1" applyAlignment="1" applyProtection="1">
      <alignment horizontal="left"/>
    </xf>
    <xf numFmtId="44" fontId="47" fillId="0" borderId="397" xfId="0" applyNumberFormat="1" applyFont="1" applyFill="1" applyBorder="1" applyAlignment="1" applyProtection="1">
      <alignment horizontal="left"/>
    </xf>
    <xf numFmtId="165" fontId="47" fillId="0" borderId="0" xfId="0" applyNumberFormat="1" applyFont="1" applyFill="1" applyBorder="1" applyAlignment="1" applyProtection="1"/>
    <xf numFmtId="169" fontId="47" fillId="0" borderId="0" xfId="0" applyNumberFormat="1" applyFont="1" applyFill="1" applyBorder="1" applyAlignment="1" applyProtection="1">
      <alignment horizontal="left"/>
    </xf>
    <xf numFmtId="44" fontId="57" fillId="0" borderId="166" xfId="0" applyNumberFormat="1" applyFont="1" applyFill="1" applyBorder="1" applyAlignment="1" applyProtection="1">
      <alignment horizontal="left"/>
    </xf>
    <xf numFmtId="165" fontId="47" fillId="0" borderId="166" xfId="0" applyNumberFormat="1" applyFont="1" applyFill="1" applyBorder="1" applyAlignment="1" applyProtection="1">
      <alignment horizontal="right"/>
    </xf>
    <xf numFmtId="0" fontId="57" fillId="0" borderId="397" xfId="0" applyFont="1" applyFill="1" applyBorder="1" applyProtection="1"/>
    <xf numFmtId="0" fontId="47" fillId="0" borderId="0" xfId="0" applyNumberFormat="1" applyFont="1" applyFill="1" applyBorder="1" applyAlignment="1" applyProtection="1">
      <alignment horizontal="right"/>
    </xf>
    <xf numFmtId="42" fontId="47" fillId="0" borderId="0" xfId="0" applyNumberFormat="1" applyFont="1" applyFill="1" applyBorder="1" applyAlignment="1" applyProtection="1">
      <alignment horizontal="right"/>
    </xf>
    <xf numFmtId="0" fontId="57" fillId="0" borderId="166" xfId="0" applyFont="1" applyFill="1" applyBorder="1" applyAlignment="1" applyProtection="1">
      <alignment wrapText="1"/>
    </xf>
    <xf numFmtId="0" fontId="75" fillId="0" borderId="0" xfId="0" applyFont="1" applyFill="1" applyBorder="1" applyAlignment="1" applyProtection="1">
      <alignment horizontal="left" vertical="top"/>
    </xf>
    <xf numFmtId="0" fontId="57" fillId="0" borderId="0" xfId="0" applyFont="1" applyFill="1" applyBorder="1" applyAlignment="1" applyProtection="1">
      <alignment vertical="center"/>
    </xf>
    <xf numFmtId="0" fontId="19" fillId="6" borderId="148" xfId="0" applyFont="1" applyFill="1" applyBorder="1" applyAlignment="1" applyProtection="1">
      <alignment horizontal="right" vertical="center"/>
    </xf>
    <xf numFmtId="9" fontId="7" fillId="0" borderId="264" xfId="0" applyNumberFormat="1" applyFont="1" applyFill="1" applyBorder="1" applyAlignment="1" applyProtection="1">
      <alignment vertical="center"/>
      <protection locked="0"/>
    </xf>
    <xf numFmtId="1" fontId="9" fillId="0" borderId="277" xfId="0" applyNumberFormat="1" applyFont="1" applyFill="1" applyBorder="1" applyAlignment="1" applyProtection="1">
      <protection locked="0"/>
    </xf>
    <xf numFmtId="1" fontId="9" fillId="0" borderId="477" xfId="0" applyNumberFormat="1" applyFont="1" applyFill="1" applyBorder="1" applyAlignment="1" applyProtection="1">
      <protection locked="0"/>
    </xf>
    <xf numFmtId="42" fontId="9" fillId="0" borderId="277" xfId="0" applyNumberFormat="1" applyFont="1" applyFill="1" applyBorder="1" applyAlignment="1" applyProtection="1">
      <protection locked="0"/>
    </xf>
    <xf numFmtId="9" fontId="7" fillId="0" borderId="82" xfId="0" applyNumberFormat="1" applyFont="1" applyFill="1" applyBorder="1" applyAlignment="1" applyProtection="1">
      <alignment vertical="center"/>
      <protection locked="0"/>
    </xf>
    <xf numFmtId="1" fontId="9" fillId="0" borderId="105" xfId="0" applyNumberFormat="1" applyFont="1" applyFill="1" applyBorder="1" applyAlignment="1" applyProtection="1">
      <protection locked="0"/>
    </xf>
    <xf numFmtId="42" fontId="9" fillId="0" borderId="105" xfId="0" applyNumberFormat="1" applyFont="1" applyFill="1" applyBorder="1" applyAlignment="1" applyProtection="1">
      <protection locked="0"/>
    </xf>
    <xf numFmtId="1" fontId="9" fillId="0" borderId="106" xfId="0" applyNumberFormat="1" applyFont="1" applyFill="1" applyBorder="1" applyAlignment="1" applyProtection="1">
      <protection locked="0"/>
    </xf>
    <xf numFmtId="1" fontId="9" fillId="0" borderId="212" xfId="0" applyNumberFormat="1" applyFont="1" applyFill="1" applyBorder="1" applyAlignment="1" applyProtection="1">
      <protection locked="0"/>
    </xf>
    <xf numFmtId="1" fontId="9" fillId="0" borderId="134" xfId="0" applyNumberFormat="1" applyFont="1" applyFill="1" applyBorder="1" applyAlignment="1" applyProtection="1">
      <protection locked="0"/>
    </xf>
    <xf numFmtId="1" fontId="9" fillId="0" borderId="70" xfId="0" applyNumberFormat="1" applyFont="1" applyFill="1" applyBorder="1" applyAlignment="1" applyProtection="1">
      <protection locked="0"/>
    </xf>
    <xf numFmtId="42" fontId="9" fillId="0" borderId="134" xfId="0" applyNumberFormat="1" applyFont="1" applyFill="1" applyBorder="1" applyAlignment="1" applyProtection="1">
      <protection locked="0"/>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8" fillId="17" borderId="456" xfId="0" applyFont="1" applyFill="1" applyBorder="1" applyAlignment="1" applyProtection="1">
      <alignment horizontal="center" vertical="center" wrapText="1"/>
    </xf>
    <xf numFmtId="0" fontId="8" fillId="17" borderId="445" xfId="0" applyFont="1" applyFill="1" applyBorder="1" applyAlignment="1" applyProtection="1">
      <alignment horizontal="center" vertical="center" wrapText="1"/>
    </xf>
    <xf numFmtId="0" fontId="8" fillId="17" borderId="272" xfId="0" applyFont="1" applyFill="1" applyBorder="1" applyAlignment="1" applyProtection="1">
      <alignment horizontal="center" vertical="center" wrapText="1"/>
    </xf>
    <xf numFmtId="0" fontId="10" fillId="17" borderId="445" xfId="0" applyFont="1" applyFill="1" applyBorder="1" applyAlignment="1" applyProtection="1">
      <alignment horizontal="center" vertical="center" wrapText="1"/>
    </xf>
    <xf numFmtId="0" fontId="8" fillId="17" borderId="446" xfId="0" applyFont="1" applyFill="1" applyBorder="1" applyAlignment="1" applyProtection="1">
      <alignment horizontal="center" vertical="center" wrapText="1"/>
    </xf>
    <xf numFmtId="42" fontId="6" fillId="6" borderId="277" xfId="0" applyNumberFormat="1" applyFont="1" applyFill="1" applyBorder="1" applyAlignment="1" applyProtection="1">
      <alignment wrapText="1"/>
    </xf>
    <xf numFmtId="42" fontId="6" fillId="6" borderId="276" xfId="0" applyNumberFormat="1" applyFont="1" applyFill="1" applyBorder="1" applyAlignment="1" applyProtection="1">
      <alignment wrapText="1"/>
    </xf>
    <xf numFmtId="42" fontId="6" fillId="6" borderId="105" xfId="0" applyNumberFormat="1" applyFont="1" applyFill="1" applyBorder="1" applyAlignment="1" applyProtection="1">
      <alignment wrapText="1"/>
    </xf>
    <xf numFmtId="42" fontId="6" fillId="6" borderId="68" xfId="0" applyNumberFormat="1" applyFont="1" applyFill="1" applyBorder="1" applyAlignment="1" applyProtection="1">
      <alignment wrapText="1"/>
    </xf>
    <xf numFmtId="10" fontId="9" fillId="17" borderId="109" xfId="0" applyNumberFormat="1" applyFont="1" applyFill="1" applyBorder="1" applyAlignment="1" applyProtection="1">
      <alignment horizontal="center" vertical="center" wrapText="1"/>
    </xf>
    <xf numFmtId="10" fontId="9" fillId="17" borderId="89" xfId="0" applyNumberFormat="1" applyFont="1" applyFill="1" applyBorder="1" applyAlignment="1" applyProtection="1">
      <alignment horizontal="center" vertical="center" wrapText="1"/>
    </xf>
    <xf numFmtId="42" fontId="6" fillId="6" borderId="134" xfId="0" applyNumberFormat="1" applyFont="1" applyFill="1" applyBorder="1" applyAlignment="1" applyProtection="1">
      <alignment wrapText="1"/>
    </xf>
    <xf numFmtId="42" fontId="6" fillId="6" borderId="147" xfId="0" applyNumberFormat="1" applyFont="1" applyFill="1" applyBorder="1" applyAlignment="1" applyProtection="1">
      <alignment wrapText="1"/>
    </xf>
    <xf numFmtId="0" fontId="6" fillId="0" borderId="12" xfId="0" applyFont="1" applyFill="1" applyBorder="1" applyAlignment="1" applyProtection="1">
      <alignment horizontal="center" vertical="center" wrapText="1"/>
    </xf>
    <xf numFmtId="37" fontId="6" fillId="0" borderId="27" xfId="0" applyNumberFormat="1" applyFont="1" applyFill="1" applyBorder="1" applyAlignment="1" applyProtection="1">
      <alignment wrapText="1"/>
    </xf>
    <xf numFmtId="42" fontId="6" fillId="25" borderId="118" xfId="0" applyNumberFormat="1" applyFont="1" applyFill="1" applyBorder="1" applyAlignment="1" applyProtection="1">
      <alignment vertical="center"/>
    </xf>
    <xf numFmtId="42" fontId="6" fillId="25" borderId="461" xfId="0" applyNumberFormat="1" applyFont="1" applyFill="1" applyBorder="1" applyAlignment="1" applyProtection="1">
      <alignment vertical="center"/>
    </xf>
    <xf numFmtId="42" fontId="6" fillId="25" borderId="252" xfId="0" applyNumberFormat="1" applyFont="1" applyFill="1" applyBorder="1" applyAlignment="1" applyProtection="1">
      <alignment vertical="center"/>
    </xf>
    <xf numFmtId="42" fontId="6" fillId="25" borderId="128" xfId="0" applyNumberFormat="1" applyFont="1" applyFill="1" applyBorder="1" applyAlignment="1" applyProtection="1">
      <alignment vertical="center"/>
    </xf>
    <xf numFmtId="42" fontId="6" fillId="6" borderId="252" xfId="0" applyNumberFormat="1" applyFont="1" applyFill="1" applyBorder="1" applyAlignment="1" applyProtection="1">
      <alignment wrapText="1"/>
    </xf>
    <xf numFmtId="42" fontId="6" fillId="6" borderId="257" xfId="0" applyNumberFormat="1" applyFont="1" applyFill="1" applyBorder="1" applyAlignment="1" applyProtection="1">
      <alignment wrapText="1"/>
    </xf>
    <xf numFmtId="42" fontId="6" fillId="6" borderId="148" xfId="0" applyNumberFormat="1" applyFont="1" applyFill="1" applyBorder="1" applyAlignment="1" applyProtection="1">
      <alignment wrapText="1"/>
    </xf>
    <xf numFmtId="0" fontId="6" fillId="0" borderId="0" xfId="0" applyFont="1" applyFill="1" applyBorder="1" applyAlignment="1" applyProtection="1">
      <alignment horizontal="center" vertical="center" wrapText="1"/>
    </xf>
    <xf numFmtId="37" fontId="6" fillId="0" borderId="0" xfId="0" applyNumberFormat="1" applyFont="1" applyFill="1" applyBorder="1" applyAlignment="1" applyProtection="1">
      <alignment wrapText="1"/>
    </xf>
    <xf numFmtId="42" fontId="6" fillId="0" borderId="0" xfId="0" applyNumberFormat="1" applyFont="1" applyFill="1" applyBorder="1" applyAlignment="1" applyProtection="1">
      <alignment vertical="center"/>
    </xf>
    <xf numFmtId="42" fontId="6" fillId="0" borderId="0" xfId="0" applyNumberFormat="1" applyFont="1" applyFill="1" applyBorder="1" applyAlignment="1" applyProtection="1">
      <alignment wrapText="1"/>
    </xf>
    <xf numFmtId="42" fontId="24" fillId="0" borderId="0" xfId="0" applyNumberFormat="1" applyFont="1" applyFill="1" applyBorder="1" applyAlignment="1" applyProtection="1">
      <alignment horizontal="right"/>
    </xf>
    <xf numFmtId="0" fontId="3" fillId="0" borderId="36" xfId="0" applyFont="1" applyFill="1" applyBorder="1" applyProtection="1"/>
    <xf numFmtId="0" fontId="24" fillId="0" borderId="36" xfId="0" applyFont="1" applyFill="1" applyBorder="1" applyAlignment="1" applyProtection="1">
      <alignment horizontal="right" vertical="center"/>
    </xf>
    <xf numFmtId="0" fontId="18" fillId="0" borderId="10" xfId="0" applyFont="1" applyFill="1" applyBorder="1" applyAlignment="1" applyProtection="1">
      <alignment horizontal="right" vertical="top"/>
      <protection locked="0"/>
    </xf>
    <xf numFmtId="9" fontId="42" fillId="0" borderId="82" xfId="0" applyNumberFormat="1" applyFont="1" applyFill="1" applyBorder="1" applyAlignment="1" applyProtection="1">
      <alignment horizontal="center" vertical="center" wrapText="1"/>
    </xf>
    <xf numFmtId="0" fontId="17" fillId="0" borderId="111" xfId="0" applyFont="1" applyFill="1" applyBorder="1" applyAlignment="1" applyProtection="1">
      <alignment horizontal="center"/>
      <protection locked="0"/>
    </xf>
    <xf numFmtId="0" fontId="18" fillId="0" borderId="111" xfId="0" applyFont="1" applyFill="1" applyBorder="1" applyAlignment="1" applyProtection="1">
      <alignment horizontal="center"/>
      <protection locked="0"/>
    </xf>
    <xf numFmtId="0" fontId="18" fillId="0" borderId="67" xfId="0" applyFont="1" applyFill="1" applyBorder="1" applyAlignment="1" applyProtection="1">
      <alignment horizontal="center"/>
      <protection locked="0"/>
    </xf>
    <xf numFmtId="0" fontId="0" fillId="17" borderId="242" xfId="0" applyFont="1" applyFill="1" applyBorder="1" applyProtection="1"/>
    <xf numFmtId="0" fontId="0" fillId="0" borderId="107" xfId="0" applyFont="1" applyFill="1" applyBorder="1" applyAlignment="1" applyProtection="1">
      <alignment horizontal="center"/>
      <protection locked="0"/>
    </xf>
    <xf numFmtId="0" fontId="0" fillId="0" borderId="105" xfId="0" applyFont="1" applyFill="1" applyBorder="1" applyAlignment="1" applyProtection="1">
      <alignment horizontal="center"/>
      <protection locked="0"/>
    </xf>
    <xf numFmtId="0" fontId="18" fillId="0" borderId="105" xfId="0" applyFont="1" applyFill="1" applyBorder="1" applyAlignment="1" applyProtection="1">
      <alignment horizontal="center"/>
      <protection locked="0"/>
    </xf>
    <xf numFmtId="0" fontId="0" fillId="6" borderId="546" xfId="0" applyFont="1" applyFill="1" applyBorder="1" applyAlignment="1" applyProtection="1">
      <alignment horizontal="center"/>
    </xf>
    <xf numFmtId="0" fontId="0" fillId="0" borderId="106" xfId="0" applyFont="1" applyFill="1" applyBorder="1" applyAlignment="1" applyProtection="1">
      <alignment horizontal="center"/>
      <protection locked="0"/>
    </xf>
    <xf numFmtId="0" fontId="2" fillId="6" borderId="480" xfId="0" applyFont="1" applyFill="1" applyBorder="1" applyProtection="1"/>
    <xf numFmtId="0" fontId="18" fillId="6" borderId="280" xfId="0" applyFont="1" applyFill="1" applyBorder="1" applyAlignment="1" applyProtection="1">
      <alignment horizontal="center"/>
    </xf>
    <xf numFmtId="0" fontId="18" fillId="6" borderId="121" xfId="0" applyFont="1" applyFill="1" applyBorder="1" applyAlignment="1" applyProtection="1">
      <alignment horizontal="center"/>
    </xf>
    <xf numFmtId="0" fontId="18" fillId="6" borderId="220" xfId="0" applyFont="1" applyFill="1" applyBorder="1" applyAlignment="1" applyProtection="1">
      <alignment horizontal="center"/>
    </xf>
    <xf numFmtId="0" fontId="18" fillId="6" borderId="547" xfId="0" applyFont="1" applyFill="1" applyBorder="1" applyAlignment="1" applyProtection="1">
      <alignment horizontal="center"/>
    </xf>
    <xf numFmtId="0" fontId="22" fillId="22" borderId="462" xfId="0" applyFont="1" applyFill="1" applyBorder="1" applyAlignment="1" applyProtection="1">
      <alignment horizontal="center"/>
    </xf>
    <xf numFmtId="0" fontId="22" fillId="6" borderId="148" xfId="0" applyFont="1" applyFill="1" applyBorder="1" applyAlignment="1" applyProtection="1">
      <alignment horizontal="center"/>
    </xf>
    <xf numFmtId="0" fontId="43" fillId="0" borderId="106" xfId="0" applyFont="1" applyFill="1" applyBorder="1" applyAlignment="1" applyProtection="1">
      <protection locked="0"/>
    </xf>
    <xf numFmtId="0" fontId="44" fillId="0" borderId="76" xfId="0" applyFont="1" applyFill="1" applyBorder="1" applyAlignment="1" applyProtection="1">
      <alignment horizontal="center"/>
      <protection locked="0"/>
    </xf>
    <xf numFmtId="0" fontId="3" fillId="0" borderId="76" xfId="0" applyFont="1" applyFill="1" applyBorder="1" applyAlignment="1" applyProtection="1">
      <alignment horizontal="center"/>
      <protection locked="0"/>
    </xf>
    <xf numFmtId="0" fontId="3" fillId="0" borderId="88" xfId="0" applyFont="1" applyFill="1" applyBorder="1" applyAlignment="1" applyProtection="1">
      <alignment horizontal="center"/>
      <protection locked="0"/>
    </xf>
    <xf numFmtId="0" fontId="17" fillId="0" borderId="199" xfId="0" applyFont="1" applyFill="1" applyBorder="1" applyAlignment="1" applyProtection="1">
      <alignment horizontal="center"/>
    </xf>
    <xf numFmtId="0" fontId="0" fillId="7" borderId="7" xfId="0" applyFont="1" applyFill="1" applyBorder="1" applyAlignment="1" applyProtection="1"/>
    <xf numFmtId="0" fontId="0" fillId="7" borderId="252" xfId="0" applyFont="1" applyFill="1" applyBorder="1" applyAlignment="1" applyProtection="1"/>
    <xf numFmtId="0" fontId="0" fillId="29" borderId="272" xfId="0" applyFont="1" applyFill="1" applyBorder="1" applyAlignment="1" applyProtection="1"/>
    <xf numFmtId="0" fontId="18" fillId="17" borderId="258" xfId="0" applyFont="1" applyFill="1" applyBorder="1" applyAlignment="1" applyProtection="1">
      <alignment horizontal="center"/>
    </xf>
    <xf numFmtId="0" fontId="0" fillId="29" borderId="130" xfId="0" applyFont="1" applyFill="1" applyBorder="1" applyAlignment="1" applyProtection="1">
      <alignment horizontal="center"/>
    </xf>
    <xf numFmtId="0" fontId="0" fillId="0" borderId="430" xfId="0" applyFont="1" applyFill="1" applyBorder="1" applyAlignment="1" applyProtection="1">
      <alignment horizontal="center"/>
    </xf>
    <xf numFmtId="0" fontId="0" fillId="0" borderId="431" xfId="0" applyFont="1" applyFill="1" applyBorder="1" applyAlignment="1" applyProtection="1">
      <alignment horizontal="center"/>
    </xf>
    <xf numFmtId="3" fontId="18" fillId="28" borderId="13" xfId="0" applyNumberFormat="1" applyFont="1" applyFill="1" applyBorder="1" applyAlignment="1" applyProtection="1">
      <alignment vertical="center" wrapText="1"/>
    </xf>
    <xf numFmtId="3" fontId="22" fillId="6" borderId="13" xfId="0" applyNumberFormat="1" applyFont="1" applyFill="1" applyBorder="1" applyAlignment="1" applyProtection="1">
      <alignment vertical="center"/>
    </xf>
    <xf numFmtId="3" fontId="22" fillId="6" borderId="461" xfId="0" applyNumberFormat="1" applyFont="1" applyFill="1" applyBorder="1" applyAlignment="1" applyProtection="1">
      <alignment vertical="center"/>
    </xf>
    <xf numFmtId="3" fontId="22" fillId="29" borderId="17" xfId="0" applyNumberFormat="1" applyFont="1" applyFill="1" applyBorder="1" applyAlignment="1" applyProtection="1">
      <alignment vertical="center"/>
    </xf>
    <xf numFmtId="3" fontId="18" fillId="28" borderId="461" xfId="0" applyNumberFormat="1" applyFont="1" applyFill="1" applyBorder="1" applyAlignment="1" applyProtection="1">
      <alignment vertical="center" wrapText="1"/>
    </xf>
    <xf numFmtId="0" fontId="19" fillId="17" borderId="427" xfId="0" applyFont="1" applyFill="1" applyBorder="1" applyAlignment="1" applyProtection="1">
      <alignment horizontal="center" wrapText="1"/>
    </xf>
    <xf numFmtId="0" fontId="17" fillId="29" borderId="130" xfId="0" applyFont="1" applyFill="1" applyBorder="1" applyAlignment="1" applyProtection="1">
      <alignment horizontal="center" vertical="center" wrapText="1"/>
    </xf>
    <xf numFmtId="3" fontId="19" fillId="0" borderId="548" xfId="0" applyNumberFormat="1" applyFont="1" applyFill="1" applyBorder="1" applyAlignment="1" applyProtection="1">
      <alignment vertical="center"/>
      <protection locked="0"/>
    </xf>
    <xf numFmtId="3" fontId="19" fillId="0" borderId="550" xfId="0" applyNumberFormat="1" applyFont="1" applyFill="1" applyBorder="1" applyAlignment="1" applyProtection="1">
      <alignment vertical="center"/>
      <protection locked="0"/>
    </xf>
    <xf numFmtId="3" fontId="19" fillId="0" borderId="143" xfId="0" applyNumberFormat="1" applyFont="1" applyFill="1" applyBorder="1" applyAlignment="1" applyProtection="1">
      <alignment vertical="center"/>
      <protection locked="0"/>
    </xf>
    <xf numFmtId="3" fontId="17" fillId="29" borderId="130" xfId="0" applyNumberFormat="1" applyFont="1" applyFill="1" applyBorder="1" applyAlignment="1" applyProtection="1">
      <alignment vertical="center"/>
    </xf>
    <xf numFmtId="3" fontId="17" fillId="0" borderId="144" xfId="0" applyNumberFormat="1" applyFont="1" applyFill="1" applyBorder="1" applyAlignment="1" applyProtection="1">
      <alignment vertical="center"/>
      <protection locked="0"/>
    </xf>
    <xf numFmtId="3" fontId="17" fillId="0" borderId="133" xfId="0" applyNumberFormat="1" applyFont="1" applyFill="1" applyBorder="1" applyAlignment="1" applyProtection="1">
      <alignment vertical="center"/>
      <protection locked="0"/>
    </xf>
    <xf numFmtId="3" fontId="17" fillId="0" borderId="87" xfId="0" applyNumberFormat="1" applyFont="1" applyFill="1" applyBorder="1" applyAlignment="1" applyProtection="1">
      <alignment vertical="center" wrapText="1"/>
      <protection locked="0"/>
    </xf>
    <xf numFmtId="3" fontId="17" fillId="0" borderId="111" xfId="0" applyNumberFormat="1" applyFont="1" applyFill="1" applyBorder="1" applyAlignment="1" applyProtection="1">
      <alignment vertical="center" wrapText="1"/>
      <protection locked="0"/>
    </xf>
    <xf numFmtId="3" fontId="17" fillId="0" borderId="67" xfId="0" applyNumberFormat="1" applyFont="1" applyFill="1" applyBorder="1" applyAlignment="1" applyProtection="1">
      <alignment vertical="center" wrapText="1"/>
      <protection locked="0"/>
    </xf>
    <xf numFmtId="3" fontId="17" fillId="29" borderId="130" xfId="0" applyNumberFormat="1" applyFont="1" applyFill="1" applyBorder="1" applyAlignment="1" applyProtection="1">
      <alignment vertical="center" wrapText="1"/>
    </xf>
    <xf numFmtId="3" fontId="17" fillId="0" borderId="83" xfId="0" applyNumberFormat="1" applyFont="1" applyFill="1" applyBorder="1" applyAlignment="1" applyProtection="1">
      <alignment vertical="center"/>
      <protection locked="0"/>
    </xf>
    <xf numFmtId="3" fontId="17" fillId="0" borderId="105" xfId="0" applyNumberFormat="1" applyFont="1" applyFill="1" applyBorder="1" applyAlignment="1" applyProtection="1">
      <alignment vertical="center"/>
      <protection locked="0"/>
    </xf>
    <xf numFmtId="3" fontId="17" fillId="0" borderId="87" xfId="0" applyNumberFormat="1" applyFont="1" applyFill="1" applyBorder="1" applyAlignment="1" applyProtection="1">
      <alignment vertical="center"/>
      <protection locked="0"/>
    </xf>
    <xf numFmtId="3" fontId="17" fillId="0" borderId="111" xfId="0" applyNumberFormat="1" applyFont="1" applyFill="1" applyBorder="1" applyAlignment="1" applyProtection="1">
      <alignment vertical="center"/>
      <protection locked="0"/>
    </xf>
    <xf numFmtId="3" fontId="17" fillId="0" borderId="67" xfId="0" applyNumberFormat="1" applyFont="1" applyFill="1" applyBorder="1" applyAlignment="1" applyProtection="1">
      <alignment vertical="center"/>
      <protection locked="0"/>
    </xf>
    <xf numFmtId="3" fontId="17" fillId="0" borderId="549" xfId="0" applyNumberFormat="1" applyFont="1" applyFill="1" applyBorder="1" applyAlignment="1" applyProtection="1">
      <alignment vertical="center" wrapText="1"/>
      <protection locked="0"/>
    </xf>
    <xf numFmtId="3" fontId="17" fillId="0" borderId="551" xfId="0" applyNumberFormat="1" applyFont="1" applyFill="1" applyBorder="1" applyAlignment="1" applyProtection="1">
      <alignment vertical="center" wrapText="1"/>
      <protection locked="0"/>
    </xf>
    <xf numFmtId="3" fontId="17" fillId="0" borderId="162" xfId="0" applyNumberFormat="1" applyFont="1" applyFill="1" applyBorder="1" applyAlignment="1" applyProtection="1">
      <alignment vertical="center" wrapText="1"/>
      <protection locked="0"/>
    </xf>
    <xf numFmtId="3" fontId="17" fillId="0" borderId="429" xfId="0" applyNumberFormat="1" applyFont="1" applyFill="1" applyBorder="1" applyAlignment="1" applyProtection="1">
      <alignment vertical="center"/>
      <protection locked="0"/>
    </xf>
    <xf numFmtId="3" fontId="17" fillId="0" borderId="212" xfId="0" applyNumberFormat="1" applyFont="1" applyFill="1" applyBorder="1" applyAlignment="1" applyProtection="1">
      <alignment vertical="center"/>
      <protection locked="0"/>
    </xf>
    <xf numFmtId="3" fontId="17" fillId="6" borderId="286" xfId="0" applyNumberFormat="1" applyFont="1" applyFill="1" applyBorder="1" applyAlignment="1" applyProtection="1">
      <alignment vertical="center"/>
    </xf>
    <xf numFmtId="3" fontId="17" fillId="6" borderId="164" xfId="0" applyNumberFormat="1" applyFont="1" applyFill="1" applyBorder="1" applyAlignment="1" applyProtection="1">
      <alignment vertical="center"/>
    </xf>
    <xf numFmtId="3" fontId="17" fillId="6" borderId="132" xfId="0" applyNumberFormat="1" applyFont="1" applyFill="1" applyBorder="1" applyAlignment="1" applyProtection="1">
      <alignment vertical="center"/>
    </xf>
    <xf numFmtId="3" fontId="22" fillId="6" borderId="482" xfId="0" applyNumberFormat="1" applyFont="1" applyFill="1" applyBorder="1" applyAlignment="1" applyProtection="1">
      <alignment vertical="center"/>
    </xf>
    <xf numFmtId="0" fontId="2" fillId="7" borderId="179" xfId="0" applyFont="1" applyFill="1" applyBorder="1" applyAlignment="1" applyProtection="1"/>
    <xf numFmtId="3" fontId="19" fillId="0" borderId="133" xfId="0" applyNumberFormat="1" applyFont="1" applyFill="1" applyBorder="1" applyAlignment="1" applyProtection="1">
      <alignment vertical="center"/>
      <protection locked="0"/>
    </xf>
    <xf numFmtId="3" fontId="17" fillId="0" borderId="105" xfId="0" applyNumberFormat="1" applyFont="1" applyFill="1" applyBorder="1" applyAlignment="1" applyProtection="1">
      <alignment vertical="center" wrapText="1"/>
      <protection locked="0"/>
    </xf>
    <xf numFmtId="3" fontId="17" fillId="0" borderId="212" xfId="0" applyNumberFormat="1" applyFont="1" applyFill="1" applyBorder="1" applyAlignment="1" applyProtection="1">
      <alignment vertical="center" wrapText="1"/>
      <protection locked="0"/>
    </xf>
    <xf numFmtId="3" fontId="17" fillId="6" borderId="552" xfId="0" applyNumberFormat="1" applyFont="1" applyFill="1" applyBorder="1" applyAlignment="1" applyProtection="1">
      <alignment vertical="center"/>
    </xf>
    <xf numFmtId="3" fontId="17" fillId="6" borderId="123" xfId="0" applyNumberFormat="1" applyFont="1" applyFill="1" applyBorder="1" applyAlignment="1" applyProtection="1">
      <alignment vertical="center" wrapText="1"/>
    </xf>
    <xf numFmtId="3" fontId="17" fillId="6" borderId="553" xfId="0" applyNumberFormat="1" applyFont="1" applyFill="1" applyBorder="1" applyAlignment="1" applyProtection="1">
      <alignment vertical="center" wrapText="1"/>
    </xf>
    <xf numFmtId="3" fontId="22" fillId="6" borderId="17" xfId="0" applyNumberFormat="1" applyFont="1" applyFill="1" applyBorder="1" applyAlignment="1" applyProtection="1">
      <alignment vertical="center"/>
    </xf>
    <xf numFmtId="0" fontId="22" fillId="17" borderId="80" xfId="0" applyFont="1" applyFill="1" applyBorder="1" applyAlignment="1" applyProtection="1">
      <alignment horizontal="center" wrapText="1"/>
    </xf>
    <xf numFmtId="0" fontId="22" fillId="17" borderId="475" xfId="0" applyFont="1" applyFill="1" applyBorder="1" applyAlignment="1" applyProtection="1">
      <alignment horizontal="left" wrapText="1"/>
    </xf>
    <xf numFmtId="0" fontId="22" fillId="17" borderId="475" xfId="0" applyFont="1" applyFill="1" applyBorder="1" applyAlignment="1" applyProtection="1">
      <alignment horizontal="center" wrapText="1"/>
    </xf>
    <xf numFmtId="0" fontId="42" fillId="17" borderId="475" xfId="0" applyFont="1" applyFill="1" applyBorder="1" applyProtection="1"/>
    <xf numFmtId="0" fontId="2" fillId="17" borderId="81" xfId="0" applyFont="1" applyFill="1" applyBorder="1" applyAlignment="1" applyProtection="1">
      <alignment horizontal="left"/>
    </xf>
    <xf numFmtId="0" fontId="58" fillId="0" borderId="474" xfId="0" applyFont="1" applyFill="1" applyBorder="1" applyAlignment="1" applyProtection="1">
      <alignment horizontal="center"/>
      <protection locked="0"/>
    </xf>
    <xf numFmtId="42" fontId="58" fillId="0" borderId="66" xfId="0" applyNumberFormat="1" applyFont="1" applyFill="1" applyBorder="1" applyProtection="1">
      <protection locked="0"/>
    </xf>
    <xf numFmtId="42" fontId="58" fillId="0" borderId="159" xfId="0" applyNumberFormat="1" applyFont="1" applyFill="1" applyBorder="1" applyProtection="1">
      <protection locked="0"/>
    </xf>
    <xf numFmtId="42" fontId="58" fillId="0" borderId="68" xfId="0" applyNumberFormat="1" applyFont="1" applyFill="1" applyBorder="1" applyProtection="1">
      <protection locked="0"/>
    </xf>
    <xf numFmtId="42" fontId="58" fillId="0" borderId="138" xfId="0" applyNumberFormat="1" applyFont="1" applyFill="1" applyBorder="1" applyProtection="1">
      <protection locked="0"/>
    </xf>
    <xf numFmtId="6" fontId="58" fillId="0" borderId="474" xfId="0" applyNumberFormat="1" applyFont="1" applyFill="1" applyBorder="1" applyAlignment="1" applyProtection="1">
      <alignment horizontal="center"/>
      <protection locked="0"/>
    </xf>
    <xf numFmtId="44" fontId="18" fillId="6" borderId="291" xfId="0" applyNumberFormat="1" applyFont="1" applyFill="1" applyBorder="1" applyProtection="1"/>
    <xf numFmtId="0" fontId="18" fillId="0" borderId="292" xfId="0" applyFont="1" applyFill="1" applyBorder="1" applyProtection="1">
      <protection locked="0"/>
    </xf>
    <xf numFmtId="44" fontId="18" fillId="6" borderId="210" xfId="0" applyNumberFormat="1" applyFont="1" applyFill="1" applyBorder="1" applyProtection="1"/>
    <xf numFmtId="0" fontId="18" fillId="0" borderId="207" xfId="0" applyFont="1" applyFill="1" applyBorder="1" applyProtection="1">
      <protection locked="0"/>
    </xf>
    <xf numFmtId="44" fontId="18" fillId="6" borderId="277" xfId="0" applyNumberFormat="1" applyFont="1" applyFill="1" applyBorder="1" applyProtection="1"/>
    <xf numFmtId="0" fontId="18" fillId="0" borderId="280" xfId="0" applyFont="1" applyFill="1" applyBorder="1" applyProtection="1">
      <protection locked="0"/>
    </xf>
    <xf numFmtId="44" fontId="18" fillId="6" borderId="107" xfId="0" applyNumberFormat="1" applyFont="1" applyFill="1" applyBorder="1" applyProtection="1"/>
    <xf numFmtId="0" fontId="18" fillId="0" borderId="121" xfId="0" applyFont="1" applyFill="1" applyBorder="1" applyProtection="1">
      <protection locked="0"/>
    </xf>
    <xf numFmtId="44" fontId="18" fillId="6" borderId="125" xfId="0" applyNumberFormat="1" applyFont="1" applyFill="1" applyBorder="1" applyProtection="1"/>
    <xf numFmtId="0" fontId="18" fillId="0" borderId="150" xfId="0" applyFont="1" applyFill="1" applyBorder="1" applyProtection="1">
      <protection locked="0"/>
    </xf>
    <xf numFmtId="44" fontId="18" fillId="6" borderId="115" xfId="0" applyNumberFormat="1" applyFont="1" applyFill="1" applyBorder="1" applyProtection="1"/>
    <xf numFmtId="0" fontId="18" fillId="0" borderId="23" xfId="0" applyFont="1" applyFill="1" applyBorder="1" applyProtection="1">
      <protection locked="0"/>
    </xf>
    <xf numFmtId="0" fontId="18" fillId="0" borderId="220" xfId="0" applyFont="1" applyFill="1" applyBorder="1" applyProtection="1">
      <protection locked="0"/>
    </xf>
    <xf numFmtId="44" fontId="18" fillId="0" borderId="128" xfId="0" applyNumberFormat="1" applyFont="1" applyFill="1" applyBorder="1" applyProtection="1"/>
    <xf numFmtId="44" fontId="18" fillId="6" borderId="93" xfId="0" applyNumberFormat="1" applyFont="1" applyFill="1" applyBorder="1" applyProtection="1"/>
    <xf numFmtId="0" fontId="17" fillId="6" borderId="256" xfId="0" applyFont="1" applyFill="1" applyBorder="1" applyProtection="1"/>
    <xf numFmtId="0" fontId="17" fillId="6" borderId="288" xfId="0" applyFont="1" applyFill="1" applyBorder="1" applyAlignment="1" applyProtection="1">
      <alignment horizontal="center"/>
    </xf>
    <xf numFmtId="0" fontId="17" fillId="6" borderId="257" xfId="0" applyFont="1" applyFill="1" applyBorder="1" applyAlignment="1" applyProtection="1">
      <alignment horizontal="center"/>
    </xf>
    <xf numFmtId="0" fontId="18" fillId="0" borderId="274" xfId="0" applyFont="1" applyFill="1" applyBorder="1" applyProtection="1">
      <protection locked="0"/>
    </xf>
    <xf numFmtId="0" fontId="18" fillId="0" borderId="275" xfId="0" applyFont="1" applyFill="1" applyBorder="1" applyProtection="1">
      <protection locked="0"/>
    </xf>
    <xf numFmtId="0" fontId="18" fillId="0" borderId="66" xfId="0" applyFont="1" applyFill="1" applyBorder="1" applyProtection="1">
      <protection locked="0"/>
    </xf>
    <xf numFmtId="0" fontId="18" fillId="0" borderId="67" xfId="0" applyFont="1" applyFill="1" applyBorder="1" applyProtection="1">
      <protection locked="0"/>
    </xf>
    <xf numFmtId="0" fontId="18" fillId="0" borderId="159" xfId="0" applyFont="1" applyFill="1" applyBorder="1" applyProtection="1">
      <protection locked="0"/>
    </xf>
    <xf numFmtId="0" fontId="18" fillId="0" borderId="158" xfId="0" applyFont="1" applyFill="1" applyBorder="1" applyProtection="1">
      <protection locked="0"/>
    </xf>
    <xf numFmtId="0" fontId="18" fillId="0" borderId="109" xfId="0" applyFont="1" applyFill="1" applyBorder="1" applyProtection="1">
      <protection locked="0"/>
    </xf>
    <xf numFmtId="0" fontId="18" fillId="0" borderId="76" xfId="0" applyFont="1" applyFill="1" applyBorder="1" applyProtection="1">
      <protection locked="0"/>
    </xf>
    <xf numFmtId="0" fontId="18" fillId="0" borderId="177" xfId="0" applyFont="1" applyFill="1" applyBorder="1" applyProtection="1">
      <protection locked="0"/>
    </xf>
    <xf numFmtId="0" fontId="18" fillId="0" borderId="182" xfId="0" applyFont="1" applyFill="1" applyBorder="1" applyProtection="1">
      <protection locked="0"/>
    </xf>
    <xf numFmtId="0" fontId="18" fillId="0" borderId="293" xfId="0" applyFont="1" applyFill="1" applyBorder="1" applyProtection="1">
      <protection locked="0"/>
    </xf>
    <xf numFmtId="0" fontId="18" fillId="0" borderId="289" xfId="0" applyFont="1" applyFill="1" applyBorder="1" applyProtection="1">
      <protection locked="0"/>
    </xf>
    <xf numFmtId="0" fontId="25" fillId="0" borderId="0" xfId="0" applyFont="1" applyFill="1" applyBorder="1" applyProtection="1"/>
    <xf numFmtId="42" fontId="22" fillId="17" borderId="288" xfId="0" applyNumberFormat="1" applyFont="1" applyFill="1" applyBorder="1" applyAlignment="1" applyProtection="1">
      <alignment vertical="center"/>
    </xf>
    <xf numFmtId="0" fontId="23" fillId="17" borderId="0" xfId="0" applyFont="1" applyFill="1" applyBorder="1" applyAlignment="1" applyProtection="1"/>
    <xf numFmtId="0" fontId="3" fillId="17" borderId="0" xfId="0" applyFont="1" applyFill="1" applyBorder="1" applyAlignment="1" applyProtection="1"/>
    <xf numFmtId="17" fontId="43" fillId="0" borderId="24" xfId="0" applyNumberFormat="1" applyFont="1" applyFill="1" applyBorder="1" applyAlignment="1" applyProtection="1">
      <alignment horizontal="center"/>
      <protection locked="0"/>
    </xf>
    <xf numFmtId="17" fontId="43" fillId="0" borderId="17" xfId="0" applyNumberFormat="1" applyFont="1" applyFill="1" applyBorder="1" applyAlignment="1" applyProtection="1">
      <alignment horizontal="center"/>
      <protection locked="0"/>
    </xf>
    <xf numFmtId="17" fontId="43" fillId="0" borderId="23" xfId="0" applyNumberFormat="1" applyFont="1" applyFill="1" applyBorder="1" applyAlignment="1" applyProtection="1">
      <alignment horizontal="center"/>
      <protection locked="0"/>
    </xf>
    <xf numFmtId="0" fontId="22" fillId="17" borderId="12" xfId="0" applyFont="1" applyFill="1" applyBorder="1" applyAlignment="1" applyProtection="1">
      <alignment horizontal="center" wrapText="1"/>
    </xf>
    <xf numFmtId="166" fontId="46" fillId="17" borderId="259" xfId="0" applyNumberFormat="1" applyFont="1" applyFill="1" applyBorder="1" applyAlignment="1" applyProtection="1">
      <alignment horizontal="center" vertical="center" wrapText="1"/>
    </xf>
    <xf numFmtId="3" fontId="20" fillId="17" borderId="428" xfId="0" applyNumberFormat="1" applyFont="1" applyFill="1" applyBorder="1" applyAlignment="1" applyProtection="1"/>
    <xf numFmtId="0" fontId="0" fillId="17" borderId="467" xfId="0" applyFont="1" applyFill="1" applyBorder="1" applyProtection="1"/>
    <xf numFmtId="0" fontId="43" fillId="17" borderId="0" xfId="0" applyFont="1" applyFill="1" applyBorder="1" applyAlignment="1" applyProtection="1">
      <alignment vertical="center"/>
    </xf>
    <xf numFmtId="165" fontId="18" fillId="0" borderId="357" xfId="0" applyNumberFormat="1" applyFont="1" applyFill="1" applyBorder="1" applyProtection="1">
      <protection locked="0"/>
    </xf>
    <xf numFmtId="165" fontId="18" fillId="0" borderId="358" xfId="0" applyNumberFormat="1" applyFont="1" applyFill="1" applyBorder="1" applyProtection="1">
      <protection locked="0"/>
    </xf>
    <xf numFmtId="165" fontId="18" fillId="0" borderId="359" xfId="0" applyNumberFormat="1" applyFont="1" applyFill="1" applyBorder="1" applyProtection="1">
      <protection locked="0"/>
    </xf>
    <xf numFmtId="5" fontId="43" fillId="0" borderId="38" xfId="0" applyNumberFormat="1" applyFont="1" applyFill="1" applyBorder="1" applyAlignment="1" applyProtection="1">
      <alignment horizontal="right" vertical="center"/>
      <protection locked="0"/>
    </xf>
    <xf numFmtId="5" fontId="43" fillId="0" borderId="324" xfId="0" applyNumberFormat="1" applyFont="1" applyFill="1" applyBorder="1" applyAlignment="1" applyProtection="1">
      <alignment horizontal="right" vertical="center"/>
      <protection locked="0"/>
    </xf>
    <xf numFmtId="5" fontId="43" fillId="0" borderId="322" xfId="0" applyNumberFormat="1" applyFont="1" applyFill="1" applyBorder="1" applyAlignment="1" applyProtection="1">
      <alignment vertical="center"/>
      <protection locked="0"/>
    </xf>
    <xf numFmtId="5" fontId="43" fillId="0" borderId="323" xfId="0" applyNumberFormat="1" applyFont="1" applyFill="1" applyBorder="1" applyAlignment="1" applyProtection="1">
      <alignment vertical="center"/>
      <protection locked="0"/>
    </xf>
    <xf numFmtId="5" fontId="43" fillId="0" borderId="330" xfId="0" applyNumberFormat="1" applyFont="1" applyFill="1" applyBorder="1" applyAlignment="1" applyProtection="1">
      <alignment vertical="center"/>
      <protection locked="0"/>
    </xf>
    <xf numFmtId="5" fontId="43" fillId="0" borderId="319" xfId="0" applyNumberFormat="1" applyFont="1" applyFill="1" applyBorder="1" applyAlignment="1" applyProtection="1">
      <alignment vertical="center"/>
      <protection locked="0"/>
    </xf>
    <xf numFmtId="5" fontId="43" fillId="0" borderId="320" xfId="0" applyNumberFormat="1" applyFont="1" applyFill="1" applyBorder="1" applyAlignment="1" applyProtection="1">
      <alignment vertical="center"/>
      <protection locked="0"/>
    </xf>
    <xf numFmtId="165" fontId="18" fillId="0" borderId="360" xfId="0" applyNumberFormat="1" applyFont="1" applyFill="1" applyBorder="1" applyProtection="1">
      <protection locked="0"/>
    </xf>
    <xf numFmtId="165" fontId="43" fillId="0" borderId="361" xfId="0" applyNumberFormat="1" applyFont="1" applyFill="1" applyBorder="1" applyAlignment="1" applyProtection="1">
      <alignment vertical="center"/>
      <protection locked="0"/>
    </xf>
    <xf numFmtId="165" fontId="43" fillId="0" borderId="5" xfId="0" applyNumberFormat="1" applyFont="1" applyFill="1" applyBorder="1" applyAlignment="1" applyProtection="1">
      <alignment vertical="center"/>
      <protection locked="0"/>
    </xf>
    <xf numFmtId="165" fontId="43" fillId="0" borderId="362" xfId="0" applyNumberFormat="1" applyFont="1" applyFill="1" applyBorder="1" applyAlignment="1" applyProtection="1">
      <alignment vertical="center"/>
      <protection locked="0"/>
    </xf>
    <xf numFmtId="165" fontId="43" fillId="0" borderId="258" xfId="0" applyNumberFormat="1" applyFont="1" applyFill="1" applyBorder="1" applyAlignment="1" applyProtection="1">
      <alignment vertical="center"/>
      <protection locked="0"/>
    </xf>
    <xf numFmtId="165" fontId="43" fillId="0" borderId="363" xfId="0" applyNumberFormat="1" applyFont="1" applyFill="1" applyBorder="1" applyAlignment="1" applyProtection="1">
      <alignment vertical="center"/>
      <protection locked="0"/>
    </xf>
    <xf numFmtId="6" fontId="43" fillId="0" borderId="330" xfId="0" applyNumberFormat="1" applyFont="1" applyFill="1" applyBorder="1" applyAlignment="1" applyProtection="1">
      <alignment horizontal="right" vertical="center"/>
      <protection locked="0"/>
    </xf>
    <xf numFmtId="6" fontId="43" fillId="0" borderId="319" xfId="0" applyNumberFormat="1" applyFont="1" applyFill="1" applyBorder="1" applyAlignment="1" applyProtection="1">
      <alignment horizontal="right" vertical="center"/>
      <protection locked="0"/>
    </xf>
    <xf numFmtId="6" fontId="43" fillId="0" borderId="320" xfId="0" applyNumberFormat="1" applyFont="1" applyFill="1" applyBorder="1" applyAlignment="1" applyProtection="1">
      <alignment horizontal="right" vertical="center"/>
      <protection locked="0"/>
    </xf>
    <xf numFmtId="6" fontId="43" fillId="0" borderId="387" xfId="0" applyNumberFormat="1" applyFont="1" applyFill="1" applyBorder="1" applyAlignment="1" applyProtection="1">
      <alignment horizontal="right" vertical="center"/>
      <protection locked="0"/>
    </xf>
    <xf numFmtId="6" fontId="43" fillId="0" borderId="388" xfId="0" applyNumberFormat="1" applyFont="1" applyFill="1" applyBorder="1" applyAlignment="1" applyProtection="1">
      <alignment horizontal="right" vertical="center"/>
      <protection locked="0"/>
    </xf>
    <xf numFmtId="6" fontId="43" fillId="0" borderId="389" xfId="0" applyNumberFormat="1" applyFont="1" applyFill="1" applyBorder="1" applyAlignment="1" applyProtection="1">
      <alignment horizontal="right" vertical="center"/>
      <protection locked="0"/>
    </xf>
    <xf numFmtId="6" fontId="43" fillId="0" borderId="342" xfId="0" applyNumberFormat="1" applyFont="1" applyFill="1" applyBorder="1" applyAlignment="1" applyProtection="1">
      <alignment horizontal="right" vertical="center"/>
      <protection locked="0"/>
    </xf>
    <xf numFmtId="6" fontId="43" fillId="0" borderId="75" xfId="0" applyNumberFormat="1" applyFont="1" applyFill="1" applyBorder="1" applyAlignment="1" applyProtection="1">
      <alignment horizontal="right" vertical="center"/>
      <protection locked="0"/>
    </xf>
    <xf numFmtId="6" fontId="43" fillId="0" borderId="343" xfId="0" applyNumberFormat="1" applyFont="1" applyFill="1" applyBorder="1" applyAlignment="1" applyProtection="1">
      <alignment horizontal="right" vertical="center"/>
      <protection locked="0"/>
    </xf>
    <xf numFmtId="6" fontId="43" fillId="0" borderId="399" xfId="0" applyNumberFormat="1" applyFont="1" applyFill="1" applyBorder="1" applyAlignment="1" applyProtection="1">
      <alignment horizontal="right" vertical="center"/>
      <protection locked="0"/>
    </xf>
    <xf numFmtId="6" fontId="43" fillId="0" borderId="391" xfId="0" applyNumberFormat="1" applyFont="1" applyFill="1" applyBorder="1" applyAlignment="1" applyProtection="1">
      <alignment horizontal="right" vertical="center"/>
      <protection locked="0"/>
    </xf>
    <xf numFmtId="6" fontId="43" fillId="0" borderId="400" xfId="0" applyNumberFormat="1" applyFont="1" applyFill="1" applyBorder="1" applyAlignment="1" applyProtection="1">
      <alignment horizontal="right" vertical="center"/>
      <protection locked="0"/>
    </xf>
    <xf numFmtId="6" fontId="43" fillId="0" borderId="344" xfId="0" applyNumberFormat="1" applyFont="1" applyFill="1" applyBorder="1" applyAlignment="1" applyProtection="1">
      <alignment horizontal="right" vertical="center"/>
      <protection locked="0"/>
    </xf>
    <xf numFmtId="6" fontId="43" fillId="0" borderId="345" xfId="0" applyNumberFormat="1" applyFont="1" applyFill="1" applyBorder="1" applyAlignment="1" applyProtection="1">
      <alignment horizontal="right" vertical="center"/>
      <protection locked="0"/>
    </xf>
    <xf numFmtId="6" fontId="43" fillId="0" borderId="338" xfId="0" applyNumberFormat="1" applyFont="1" applyFill="1" applyBorder="1" applyAlignment="1" applyProtection="1">
      <alignment horizontal="right" vertical="center"/>
      <protection locked="0"/>
    </xf>
    <xf numFmtId="6" fontId="43" fillId="0" borderId="346" xfId="0" applyNumberFormat="1" applyFont="1" applyFill="1" applyBorder="1" applyAlignment="1" applyProtection="1">
      <alignment horizontal="right" vertical="center"/>
      <protection locked="0"/>
    </xf>
    <xf numFmtId="6" fontId="43" fillId="0" borderId="347" xfId="0" applyNumberFormat="1" applyFont="1" applyFill="1" applyBorder="1" applyAlignment="1" applyProtection="1">
      <alignment horizontal="right" vertical="center"/>
      <protection locked="0"/>
    </xf>
    <xf numFmtId="6" fontId="43" fillId="0" borderId="348" xfId="0" applyNumberFormat="1" applyFont="1" applyFill="1" applyBorder="1" applyAlignment="1" applyProtection="1">
      <alignment horizontal="right" vertical="center"/>
      <protection locked="0"/>
    </xf>
    <xf numFmtId="6" fontId="43" fillId="0" borderId="321" xfId="0" applyNumberFormat="1" applyFont="1" applyFill="1" applyBorder="1" applyAlignment="1" applyProtection="1">
      <alignment vertical="center"/>
      <protection locked="0"/>
    </xf>
    <xf numFmtId="6" fontId="43" fillId="0" borderId="322" xfId="0" applyNumberFormat="1" applyFont="1" applyFill="1" applyBorder="1" applyAlignment="1" applyProtection="1">
      <alignment vertical="center"/>
      <protection locked="0"/>
    </xf>
    <xf numFmtId="6" fontId="43" fillId="0" borderId="323" xfId="0" applyNumberFormat="1" applyFont="1" applyFill="1" applyBorder="1" applyAlignment="1" applyProtection="1">
      <alignment vertical="center"/>
      <protection locked="0"/>
    </xf>
    <xf numFmtId="6" fontId="43" fillId="0" borderId="330" xfId="0" quotePrefix="1" applyNumberFormat="1" applyFont="1" applyFill="1" applyBorder="1" applyAlignment="1" applyProtection="1">
      <alignment horizontal="right" vertical="center"/>
      <protection locked="0"/>
    </xf>
    <xf numFmtId="6" fontId="43" fillId="0" borderId="319" xfId="0" applyNumberFormat="1" applyFont="1" applyFill="1" applyBorder="1" applyAlignment="1" applyProtection="1">
      <alignment vertical="center"/>
      <protection locked="0"/>
    </xf>
    <xf numFmtId="6" fontId="43" fillId="0" borderId="320" xfId="0" applyNumberFormat="1" applyFont="1" applyFill="1" applyBorder="1" applyAlignment="1" applyProtection="1">
      <alignment vertical="center"/>
      <protection locked="0"/>
    </xf>
    <xf numFmtId="6" fontId="43" fillId="0" borderId="261" xfId="0" applyNumberFormat="1" applyFont="1" applyFill="1" applyBorder="1" applyAlignment="1" applyProtection="1">
      <alignment vertical="center"/>
      <protection locked="0"/>
    </xf>
    <xf numFmtId="6" fontId="43" fillId="0" borderId="313" xfId="0" applyNumberFormat="1" applyFont="1" applyFill="1" applyBorder="1" applyAlignment="1" applyProtection="1">
      <alignment vertical="center"/>
      <protection locked="0"/>
    </xf>
    <xf numFmtId="6" fontId="43" fillId="0" borderId="48" xfId="0" applyNumberFormat="1" applyFont="1" applyFill="1" applyBorder="1" applyAlignment="1" applyProtection="1">
      <alignment vertical="center"/>
      <protection locked="0"/>
    </xf>
    <xf numFmtId="6" fontId="43" fillId="0" borderId="39" xfId="0" applyNumberFormat="1" applyFont="1" applyFill="1" applyBorder="1" applyAlignment="1" applyProtection="1">
      <alignment vertical="center"/>
      <protection locked="0"/>
    </xf>
    <xf numFmtId="6" fontId="43" fillId="0" borderId="52" xfId="0" applyNumberFormat="1" applyFont="1" applyFill="1" applyBorder="1" applyAlignment="1" applyProtection="1">
      <alignment vertical="center"/>
      <protection locked="0"/>
    </xf>
    <xf numFmtId="6" fontId="43" fillId="0" borderId="54" xfId="0" applyNumberFormat="1" applyFont="1" applyFill="1" applyBorder="1" applyAlignment="1" applyProtection="1">
      <alignment vertical="center"/>
      <protection locked="0"/>
    </xf>
    <xf numFmtId="6" fontId="43" fillId="0" borderId="274" xfId="0" applyNumberFormat="1" applyFont="1" applyFill="1" applyBorder="1" applyAlignment="1" applyProtection="1">
      <alignment horizontal="right" vertical="center"/>
      <protection locked="0"/>
    </xf>
    <xf numFmtId="6" fontId="43" fillId="0" borderId="275" xfId="0" applyNumberFormat="1" applyFont="1" applyFill="1" applyBorder="1" applyAlignment="1" applyProtection="1">
      <alignment vertical="center"/>
      <protection locked="0"/>
    </xf>
    <xf numFmtId="6" fontId="43" fillId="0" borderId="276" xfId="0" applyNumberFormat="1" applyFont="1" applyFill="1" applyBorder="1" applyAlignment="1" applyProtection="1">
      <alignment vertical="center"/>
      <protection locked="0"/>
    </xf>
    <xf numFmtId="6" fontId="43" fillId="0" borderId="66" xfId="0" applyNumberFormat="1" applyFont="1" applyFill="1" applyBorder="1" applyAlignment="1" applyProtection="1">
      <alignment horizontal="right" vertical="center"/>
      <protection locked="0"/>
    </xf>
    <xf numFmtId="6" fontId="43" fillId="0" borderId="67" xfId="0" applyNumberFormat="1" applyFont="1" applyFill="1" applyBorder="1" applyAlignment="1" applyProtection="1">
      <alignment vertical="center"/>
      <protection locked="0"/>
    </xf>
    <xf numFmtId="6" fontId="43" fillId="0" borderId="68" xfId="0" applyNumberFormat="1" applyFont="1" applyFill="1" applyBorder="1" applyAlignment="1" applyProtection="1">
      <alignment vertical="center"/>
      <protection locked="0"/>
    </xf>
    <xf numFmtId="6" fontId="43" fillId="0" borderId="404" xfId="0" applyNumberFormat="1" applyFont="1" applyFill="1" applyBorder="1" applyAlignment="1" applyProtection="1">
      <alignment horizontal="right" vertical="center"/>
      <protection locked="0"/>
    </xf>
    <xf numFmtId="6" fontId="43" fillId="0" borderId="162" xfId="0" applyNumberFormat="1" applyFont="1" applyFill="1" applyBorder="1" applyAlignment="1" applyProtection="1">
      <alignment vertical="center"/>
      <protection locked="0"/>
    </xf>
    <xf numFmtId="6" fontId="43" fillId="0" borderId="147" xfId="0" applyNumberFormat="1" applyFont="1" applyFill="1" applyBorder="1" applyAlignment="1" applyProtection="1">
      <alignment vertical="center"/>
      <protection locked="0"/>
    </xf>
    <xf numFmtId="5" fontId="46" fillId="6" borderId="305" xfId="0" applyNumberFormat="1" applyFont="1" applyFill="1" applyBorder="1" applyAlignment="1" applyProtection="1">
      <alignment vertical="center"/>
    </xf>
    <xf numFmtId="5" fontId="46" fillId="6" borderId="306" xfId="0" applyNumberFormat="1" applyFont="1" applyFill="1" applyBorder="1" applyAlignment="1" applyProtection="1">
      <alignment vertical="center"/>
    </xf>
    <xf numFmtId="5" fontId="46" fillId="6" borderId="307" xfId="0" applyNumberFormat="1" applyFont="1" applyFill="1" applyBorder="1" applyAlignment="1" applyProtection="1">
      <alignment vertical="center"/>
    </xf>
    <xf numFmtId="0" fontId="18" fillId="0" borderId="15" xfId="0" applyFont="1" applyFill="1" applyBorder="1" applyAlignment="1" applyProtection="1">
      <alignment textRotation="90" wrapText="1"/>
    </xf>
    <xf numFmtId="0" fontId="18" fillId="0" borderId="20" xfId="0" applyFont="1" applyFill="1" applyBorder="1" applyAlignment="1" applyProtection="1">
      <alignment horizontal="center" vertical="center" wrapText="1"/>
      <protection locked="0"/>
    </xf>
    <xf numFmtId="0" fontId="18" fillId="0" borderId="420" xfId="0" applyFont="1" applyFill="1" applyBorder="1" applyAlignment="1" applyProtection="1">
      <alignment horizontal="center" vertical="center" wrapText="1"/>
      <protection locked="0"/>
    </xf>
    <xf numFmtId="0" fontId="18" fillId="0" borderId="311" xfId="0" applyFont="1" applyFill="1" applyBorder="1" applyAlignment="1" applyProtection="1">
      <alignment horizontal="center" vertical="center" wrapText="1"/>
      <protection locked="0"/>
    </xf>
    <xf numFmtId="0" fontId="18" fillId="0" borderId="25" xfId="0" applyFont="1" applyFill="1" applyBorder="1" applyAlignment="1" applyProtection="1">
      <alignment vertical="top"/>
    </xf>
    <xf numFmtId="0" fontId="18" fillId="0" borderId="554" xfId="0" applyFont="1" applyFill="1" applyBorder="1" applyAlignment="1" applyProtection="1">
      <alignment vertical="top"/>
    </xf>
    <xf numFmtId="0" fontId="18" fillId="0" borderId="555" xfId="0" applyFont="1" applyFill="1" applyBorder="1" applyAlignment="1" applyProtection="1">
      <alignment vertical="top" wrapText="1"/>
    </xf>
    <xf numFmtId="0" fontId="18" fillId="0" borderId="122" xfId="0" applyFont="1" applyFill="1" applyBorder="1" applyAlignment="1" applyProtection="1">
      <alignment vertical="top"/>
    </xf>
    <xf numFmtId="0" fontId="18" fillId="0" borderId="556" xfId="0" applyFont="1" applyFill="1" applyBorder="1" applyAlignment="1" applyProtection="1">
      <alignment vertical="top" wrapText="1"/>
    </xf>
    <xf numFmtId="0" fontId="18" fillId="0" borderId="120" xfId="0" applyFont="1" applyFill="1" applyBorder="1" applyAlignment="1" applyProtection="1">
      <alignment vertical="top"/>
    </xf>
    <xf numFmtId="0" fontId="18" fillId="0" borderId="557" xfId="0" applyFont="1" applyFill="1" applyBorder="1" applyAlignment="1" applyProtection="1">
      <alignment vertical="top" wrapText="1"/>
    </xf>
    <xf numFmtId="0" fontId="18" fillId="0" borderId="79" xfId="0" applyFont="1" applyFill="1" applyBorder="1" applyAlignment="1" applyProtection="1">
      <alignment vertical="top" wrapText="1"/>
      <protection locked="0"/>
    </xf>
    <xf numFmtId="0" fontId="23" fillId="17" borderId="0" xfId="0" applyFont="1" applyFill="1" applyBorder="1" applyAlignment="1" applyProtection="1">
      <alignment horizontal="center" wrapText="1"/>
    </xf>
    <xf numFmtId="0" fontId="23" fillId="17" borderId="0" xfId="0" applyFont="1" applyFill="1" applyBorder="1" applyAlignment="1" applyProtection="1">
      <alignment horizontal="center"/>
    </xf>
    <xf numFmtId="0" fontId="18" fillId="17" borderId="0" xfId="0" applyFont="1" applyFill="1" applyBorder="1" applyAlignment="1" applyProtection="1">
      <alignment wrapText="1"/>
    </xf>
    <xf numFmtId="0" fontId="57" fillId="17" borderId="0" xfId="0" applyFont="1" applyFill="1" applyBorder="1" applyAlignment="1" applyProtection="1">
      <alignment wrapText="1"/>
    </xf>
    <xf numFmtId="169" fontId="57" fillId="0" borderId="474" xfId="0" applyNumberFormat="1" applyFont="1" applyFill="1" applyBorder="1" applyAlignment="1" applyProtection="1">
      <alignment horizontal="left"/>
      <protection locked="0"/>
    </xf>
    <xf numFmtId="0" fontId="75" fillId="0" borderId="474" xfId="0" applyFont="1" applyFill="1" applyBorder="1" applyAlignment="1" applyProtection="1">
      <alignment horizontal="center" vertical="top"/>
      <protection locked="0"/>
    </xf>
    <xf numFmtId="37" fontId="47" fillId="0" borderId="474" xfId="0" applyNumberFormat="1" applyFont="1" applyFill="1" applyBorder="1" applyAlignment="1" applyProtection="1">
      <alignment horizontal="right"/>
      <protection locked="0"/>
    </xf>
    <xf numFmtId="37" fontId="47" fillId="6" borderId="474" xfId="0" applyNumberFormat="1" applyFont="1" applyFill="1" applyBorder="1" applyAlignment="1" applyProtection="1">
      <alignment horizontal="right"/>
    </xf>
    <xf numFmtId="9" fontId="47" fillId="6" borderId="474" xfId="0" applyNumberFormat="1" applyFont="1" applyFill="1" applyBorder="1" applyAlignment="1" applyProtection="1">
      <alignment horizontal="right"/>
    </xf>
    <xf numFmtId="0" fontId="47" fillId="0" borderId="6" xfId="0" applyFont="1" applyFill="1" applyBorder="1" applyProtection="1"/>
    <xf numFmtId="44" fontId="57" fillId="0" borderId="6" xfId="0" applyNumberFormat="1" applyFont="1" applyFill="1" applyBorder="1" applyAlignment="1" applyProtection="1">
      <alignment horizontal="left"/>
    </xf>
    <xf numFmtId="44" fontId="47" fillId="0" borderId="6" xfId="0" applyNumberFormat="1" applyFont="1" applyFill="1" applyBorder="1" applyAlignment="1" applyProtection="1">
      <alignment horizontal="left"/>
    </xf>
    <xf numFmtId="0" fontId="57" fillId="0" borderId="22" xfId="0" applyFont="1" applyFill="1" applyBorder="1" applyProtection="1"/>
    <xf numFmtId="0" fontId="17" fillId="0" borderId="474" xfId="0" applyFont="1" applyFill="1" applyBorder="1" applyAlignment="1" applyProtection="1">
      <alignment horizontal="center"/>
      <protection locked="0"/>
    </xf>
    <xf numFmtId="3" fontId="0" fillId="0" borderId="0" xfId="0" applyNumberFormat="1"/>
    <xf numFmtId="0" fontId="0" fillId="0" borderId="0" xfId="0"/>
    <xf numFmtId="0" fontId="2" fillId="6" borderId="0" xfId="0" applyFont="1" applyFill="1"/>
    <xf numFmtId="0" fontId="2" fillId="6" borderId="0" xfId="0" applyNumberFormat="1" applyFont="1" applyFill="1"/>
    <xf numFmtId="44" fontId="2" fillId="6" borderId="0" xfId="0" applyNumberFormat="1" applyFont="1" applyFill="1"/>
    <xf numFmtId="0" fontId="2" fillId="6" borderId="0" xfId="0" applyNumberFormat="1" applyFont="1" applyFill="1"/>
    <xf numFmtId="44" fontId="0" fillId="0" borderId="0" xfId="0" applyNumberFormat="1"/>
    <xf numFmtId="9" fontId="2" fillId="6" borderId="0" xfId="0" quotePrefix="1" applyNumberFormat="1" applyFont="1" applyFill="1" applyAlignment="1">
      <alignment horizontal="center"/>
    </xf>
    <xf numFmtId="9" fontId="2" fillId="6" borderId="0" xfId="0" applyNumberFormat="1" applyFont="1" applyFill="1" applyAlignment="1">
      <alignment horizontal="center"/>
    </xf>
    <xf numFmtId="2" fontId="0" fillId="0" borderId="0" xfId="0" applyNumberFormat="1"/>
    <xf numFmtId="2" fontId="2" fillId="6" borderId="0" xfId="0" applyNumberFormat="1" applyFont="1" applyFill="1"/>
    <xf numFmtId="0" fontId="0" fillId="30" borderId="0" xfId="0" applyFill="1"/>
    <xf numFmtId="169" fontId="2" fillId="6" borderId="0" xfId="0" applyNumberFormat="1" applyFont="1" applyFill="1"/>
    <xf numFmtId="49" fontId="2" fillId="6" borderId="0" xfId="0" applyNumberFormat="1" applyFont="1" applyFill="1"/>
    <xf numFmtId="44" fontId="2" fillId="6" borderId="0" xfId="0" applyNumberFormat="1" applyFont="1" applyFill="1" applyAlignment="1">
      <alignment wrapText="1"/>
    </xf>
    <xf numFmtId="43" fontId="2" fillId="6" borderId="0" xfId="0" applyNumberFormat="1" applyFont="1" applyFill="1"/>
    <xf numFmtId="42" fontId="0" fillId="0" borderId="0" xfId="0" applyNumberFormat="1"/>
    <xf numFmtId="5" fontId="0" fillId="0" borderId="0" xfId="0" applyNumberFormat="1"/>
    <xf numFmtId="6" fontId="0" fillId="0" borderId="0" xfId="0" applyNumberFormat="1"/>
    <xf numFmtId="6" fontId="18" fillId="0" borderId="280" xfId="0" applyNumberFormat="1" applyFont="1" applyFill="1" applyBorder="1" applyAlignment="1" applyProtection="1">
      <protection locked="0"/>
    </xf>
    <xf numFmtId="6" fontId="18" fillId="0" borderId="121" xfId="0" applyNumberFormat="1" applyFont="1" applyFill="1" applyBorder="1" applyAlignment="1" applyProtection="1">
      <protection locked="0"/>
    </xf>
    <xf numFmtId="6" fontId="18" fillId="0" borderId="150" xfId="0" applyNumberFormat="1" applyFont="1" applyFill="1" applyBorder="1" applyAlignment="1" applyProtection="1">
      <protection locked="0"/>
    </xf>
    <xf numFmtId="6" fontId="18" fillId="27" borderId="492" xfId="0" applyNumberFormat="1" applyFont="1" applyFill="1" applyBorder="1" applyAlignment="1" applyProtection="1"/>
    <xf numFmtId="0" fontId="58" fillId="6" borderId="286" xfId="0" applyFont="1" applyFill="1" applyBorder="1" applyProtection="1">
      <protection locked="0"/>
    </xf>
    <xf numFmtId="167" fontId="58" fillId="0" borderId="558" xfId="0" applyNumberFormat="1" applyFont="1" applyFill="1" applyBorder="1" applyProtection="1">
      <protection locked="0"/>
    </xf>
    <xf numFmtId="38" fontId="58" fillId="0" borderId="452" xfId="0" applyNumberFormat="1" applyFont="1" applyBorder="1" applyProtection="1"/>
    <xf numFmtId="10" fontId="58" fillId="6" borderId="159" xfId="0" applyNumberFormat="1" applyFont="1" applyFill="1" applyBorder="1" applyProtection="1"/>
    <xf numFmtId="10" fontId="58" fillId="6" borderId="138" xfId="0" applyNumberFormat="1" applyFont="1" applyFill="1" applyBorder="1" applyProtection="1">
      <protection locked="0"/>
    </xf>
    <xf numFmtId="9" fontId="58" fillId="6" borderId="66" xfId="0" applyNumberFormat="1" applyFont="1" applyFill="1" applyBorder="1" applyProtection="1"/>
    <xf numFmtId="9" fontId="58" fillId="6" borderId="68" xfId="0" applyNumberFormat="1" applyFont="1" applyFill="1" applyBorder="1" applyProtection="1"/>
    <xf numFmtId="9" fontId="58" fillId="6" borderId="109" xfId="0" applyNumberFormat="1" applyFont="1" applyFill="1" applyBorder="1" applyProtection="1">
      <protection locked="0"/>
    </xf>
    <xf numFmtId="9" fontId="58" fillId="6" borderId="161" xfId="0" applyNumberFormat="1" applyFont="1" applyFill="1" applyBorder="1" applyProtection="1">
      <protection locked="0"/>
    </xf>
    <xf numFmtId="0" fontId="17" fillId="0" borderId="177" xfId="0" applyFont="1" applyFill="1" applyBorder="1" applyAlignment="1" applyProtection="1">
      <alignment horizontal="center"/>
      <protection locked="0"/>
    </xf>
    <xf numFmtId="0" fontId="17" fillId="0" borderId="66" xfId="0" applyFont="1" applyFill="1" applyBorder="1" applyAlignment="1" applyProtection="1">
      <alignment horizontal="center"/>
      <protection locked="0"/>
    </xf>
    <xf numFmtId="0" fontId="1" fillId="0" borderId="66" xfId="0" applyFont="1" applyFill="1" applyBorder="1" applyAlignment="1" applyProtection="1">
      <alignment horizontal="center"/>
      <protection locked="0"/>
    </xf>
    <xf numFmtId="0" fontId="1" fillId="0" borderId="109" xfId="0" applyFont="1" applyFill="1" applyBorder="1" applyAlignment="1" applyProtection="1">
      <alignment horizontal="center"/>
      <protection locked="0"/>
    </xf>
    <xf numFmtId="0" fontId="3" fillId="0" borderId="165" xfId="0" applyFont="1" applyBorder="1" applyProtection="1">
      <protection locked="0"/>
    </xf>
    <xf numFmtId="0" fontId="0" fillId="0" borderId="166" xfId="0" applyBorder="1" applyProtection="1">
      <protection locked="0"/>
    </xf>
    <xf numFmtId="0" fontId="3" fillId="0" borderId="167" xfId="0" applyFont="1" applyBorder="1" applyProtection="1">
      <protection locked="0"/>
    </xf>
    <xf numFmtId="0" fontId="42" fillId="17" borderId="291" xfId="0" applyFont="1" applyFill="1" applyBorder="1" applyAlignment="1" applyProtection="1">
      <alignment vertical="center"/>
      <protection locked="0"/>
    </xf>
    <xf numFmtId="0" fontId="43" fillId="0" borderId="182" xfId="0" applyFont="1" applyFill="1" applyBorder="1" applyAlignment="1" applyProtection="1">
      <alignment horizontal="left"/>
      <protection locked="0"/>
    </xf>
    <xf numFmtId="0" fontId="44" fillId="0" borderId="133" xfId="0" applyFont="1" applyBorder="1" applyAlignment="1" applyProtection="1">
      <protection locked="0"/>
    </xf>
    <xf numFmtId="0" fontId="18" fillId="0" borderId="182" xfId="0" applyFont="1" applyFill="1" applyBorder="1" applyAlignment="1" applyProtection="1">
      <alignment horizontal="center"/>
      <protection locked="0"/>
    </xf>
    <xf numFmtId="0" fontId="18" fillId="0" borderId="107" xfId="0" applyFont="1" applyFill="1" applyBorder="1" applyAlignment="1" applyProtection="1">
      <alignment horizontal="center"/>
      <protection locked="0"/>
    </xf>
    <xf numFmtId="0" fontId="0" fillId="0" borderId="105" xfId="0" applyFont="1" applyBorder="1" applyAlignment="1" applyProtection="1">
      <protection locked="0"/>
    </xf>
    <xf numFmtId="0" fontId="0" fillId="0" borderId="158" xfId="0" applyFont="1" applyFill="1" applyBorder="1" applyAlignment="1" applyProtection="1">
      <alignment horizontal="center"/>
      <protection locked="0"/>
    </xf>
    <xf numFmtId="0" fontId="0" fillId="0" borderId="125" xfId="0" applyFont="1" applyFill="1" applyBorder="1" applyAlignment="1" applyProtection="1">
      <alignment horizontal="center"/>
      <protection locked="0"/>
    </xf>
    <xf numFmtId="14" fontId="3" fillId="0" borderId="88" xfId="0" applyNumberFormat="1" applyFont="1" applyFill="1" applyBorder="1" applyAlignment="1" applyProtection="1">
      <alignment horizontal="center"/>
      <protection locked="0"/>
    </xf>
    <xf numFmtId="14" fontId="3" fillId="0" borderId="67" xfId="0" applyNumberFormat="1" applyFont="1" applyFill="1" applyBorder="1" applyAlignment="1" applyProtection="1">
      <alignment horizontal="center"/>
      <protection locked="0"/>
    </xf>
    <xf numFmtId="0" fontId="3" fillId="0" borderId="100" xfId="0" applyFont="1" applyFill="1" applyBorder="1" applyAlignment="1" applyProtection="1">
      <alignment horizontal="center"/>
      <protection locked="0"/>
    </xf>
    <xf numFmtId="3" fontId="3" fillId="28" borderId="559" xfId="0" applyNumberFormat="1" applyFont="1" applyFill="1" applyBorder="1" applyAlignment="1" applyProtection="1">
      <alignment vertical="center" wrapText="1"/>
    </xf>
    <xf numFmtId="3" fontId="3" fillId="28" borderId="85" xfId="0" applyNumberFormat="1" applyFont="1" applyFill="1" applyBorder="1" applyAlignment="1" applyProtection="1">
      <alignment vertical="center" wrapText="1"/>
    </xf>
    <xf numFmtId="0" fontId="2" fillId="17" borderId="86" xfId="0" applyFont="1" applyFill="1" applyBorder="1" applyAlignment="1" applyProtection="1"/>
    <xf numFmtId="0" fontId="0" fillId="0" borderId="106" xfId="0" applyFont="1" applyBorder="1" applyAlignment="1" applyProtection="1">
      <protection locked="0"/>
    </xf>
    <xf numFmtId="3" fontId="3" fillId="28" borderId="115" xfId="0" applyNumberFormat="1" applyFont="1" applyFill="1" applyBorder="1" applyAlignment="1" applyProtection="1">
      <alignment vertical="center" wrapText="1"/>
    </xf>
    <xf numFmtId="3" fontId="3" fillId="28" borderId="86" xfId="0" applyNumberFormat="1" applyFont="1" applyFill="1" applyBorder="1" applyAlignment="1" applyProtection="1">
      <alignment vertical="center" wrapText="1"/>
    </xf>
    <xf numFmtId="3" fontId="3" fillId="28" borderId="185" xfId="0" applyNumberFormat="1" applyFont="1" applyFill="1" applyBorder="1" applyAlignment="1" applyProtection="1">
      <alignment vertical="center" wrapText="1"/>
    </xf>
    <xf numFmtId="9" fontId="18" fillId="0" borderId="561" xfId="0" applyNumberFormat="1" applyFont="1" applyFill="1" applyBorder="1" applyAlignment="1" applyProtection="1">
      <protection locked="0"/>
    </xf>
    <xf numFmtId="9" fontId="18" fillId="0" borderId="563" xfId="0" applyNumberFormat="1" applyFont="1" applyFill="1" applyBorder="1" applyAlignment="1" applyProtection="1">
      <protection locked="0"/>
    </xf>
    <xf numFmtId="0" fontId="18" fillId="0" borderId="564" xfId="0" applyFont="1" applyFill="1" applyBorder="1" applyAlignment="1" applyProtection="1">
      <protection locked="0"/>
    </xf>
    <xf numFmtId="9" fontId="18" fillId="0" borderId="565" xfId="0" applyNumberFormat="1" applyFont="1" applyFill="1" applyBorder="1" applyAlignment="1" applyProtection="1">
      <protection locked="0"/>
    </xf>
    <xf numFmtId="0" fontId="18" fillId="0" borderId="566" xfId="0" applyFont="1" applyFill="1" applyBorder="1" applyAlignment="1" applyProtection="1">
      <protection locked="0"/>
    </xf>
    <xf numFmtId="0" fontId="18" fillId="0" borderId="567" xfId="0" applyFont="1" applyFill="1" applyBorder="1" applyAlignment="1" applyProtection="1">
      <protection locked="0"/>
    </xf>
    <xf numFmtId="166" fontId="43" fillId="0" borderId="316" xfId="0" applyNumberFormat="1" applyFont="1" applyFill="1" applyBorder="1" applyAlignment="1" applyProtection="1">
      <alignment horizontal="right" vertical="center"/>
      <protection locked="0"/>
    </xf>
    <xf numFmtId="166" fontId="43" fillId="0" borderId="38" xfId="0" applyNumberFormat="1" applyFont="1" applyFill="1" applyBorder="1" applyAlignment="1" applyProtection="1">
      <alignment horizontal="right" vertical="center"/>
      <protection locked="0"/>
    </xf>
    <xf numFmtId="0" fontId="18" fillId="0" borderId="80" xfId="0" applyFont="1" applyFill="1" applyBorder="1" applyAlignment="1" applyProtection="1">
      <alignment horizontal="center"/>
      <protection locked="0"/>
    </xf>
    <xf numFmtId="0" fontId="18" fillId="0" borderId="25" xfId="0" applyFont="1" applyFill="1" applyBorder="1" applyAlignment="1" applyProtection="1"/>
    <xf numFmtId="0" fontId="0" fillId="0" borderId="522" xfId="0" applyFont="1" applyFill="1" applyBorder="1" applyProtection="1"/>
    <xf numFmtId="0" fontId="0" fillId="0" borderId="524" xfId="0" applyFont="1" applyFill="1" applyBorder="1" applyProtection="1"/>
    <xf numFmtId="0" fontId="0" fillId="0" borderId="533" xfId="0" applyFont="1" applyFill="1" applyBorder="1" applyProtection="1"/>
    <xf numFmtId="0" fontId="1" fillId="0" borderId="0" xfId="0" applyFont="1" applyFill="1" applyAlignment="1" applyProtection="1"/>
    <xf numFmtId="0" fontId="0" fillId="0" borderId="502" xfId="0" applyFont="1" applyFill="1" applyBorder="1" applyProtection="1"/>
    <xf numFmtId="0" fontId="26" fillId="0" borderId="502" xfId="0" applyFont="1" applyFill="1" applyBorder="1" applyProtection="1"/>
    <xf numFmtId="0" fontId="1" fillId="0" borderId="0" xfId="0" applyFont="1" applyFill="1" applyAlignment="1" applyProtection="1">
      <alignment vertical="top"/>
    </xf>
    <xf numFmtId="0" fontId="3" fillId="5" borderId="569" xfId="1" applyFont="1" applyFill="1" applyBorder="1" applyAlignment="1" applyProtection="1">
      <alignment wrapText="1"/>
    </xf>
    <xf numFmtId="0" fontId="3" fillId="5" borderId="0" xfId="1" applyFont="1" applyFill="1" applyBorder="1" applyAlignment="1" applyProtection="1">
      <alignment wrapText="1"/>
    </xf>
    <xf numFmtId="0" fontId="3" fillId="3" borderId="29" xfId="48" applyFill="1" applyBorder="1" applyProtection="1">
      <protection locked="0"/>
    </xf>
    <xf numFmtId="0" fontId="3" fillId="5" borderId="409" xfId="48" applyFont="1" applyFill="1" applyBorder="1" applyAlignment="1" applyProtection="1">
      <alignment horizontal="center" wrapText="1"/>
      <protection locked="0"/>
    </xf>
    <xf numFmtId="0" fontId="3" fillId="5" borderId="406" xfId="48" applyFont="1" applyFill="1" applyBorder="1" applyAlignment="1" applyProtection="1">
      <alignment horizontal="center" wrapText="1"/>
      <protection locked="0"/>
    </xf>
    <xf numFmtId="0" fontId="3" fillId="0" borderId="50" xfId="48" applyFont="1" applyBorder="1" applyAlignment="1" applyProtection="1">
      <alignment horizontal="center" wrapText="1"/>
      <protection locked="0"/>
    </xf>
    <xf numFmtId="0" fontId="3" fillId="0" borderId="50" xfId="48" applyFont="1" applyBorder="1" applyAlignment="1" applyProtection="1">
      <alignment horizontal="left" wrapText="1"/>
      <protection locked="0"/>
    </xf>
    <xf numFmtId="49" fontId="3" fillId="0" borderId="50" xfId="48" applyNumberFormat="1" applyFont="1" applyFill="1" applyBorder="1" applyAlignment="1" applyProtection="1">
      <alignment horizontal="center" wrapText="1"/>
      <protection locked="0"/>
    </xf>
    <xf numFmtId="49" fontId="3" fillId="0" borderId="39" xfId="0" applyNumberFormat="1" applyFont="1" applyFill="1" applyBorder="1" applyAlignment="1" applyProtection="1">
      <alignment horizontal="center" wrapText="1"/>
      <protection locked="0"/>
    </xf>
    <xf numFmtId="0" fontId="3" fillId="5" borderId="410" xfId="48" applyFont="1" applyFill="1" applyBorder="1" applyAlignment="1" applyProtection="1">
      <alignment horizontal="center" wrapText="1"/>
      <protection locked="0"/>
    </xf>
    <xf numFmtId="0" fontId="3" fillId="5" borderId="407" xfId="48" applyFont="1" applyFill="1" applyBorder="1" applyAlignment="1" applyProtection="1">
      <alignment horizontal="center" wrapText="1"/>
      <protection locked="0"/>
    </xf>
    <xf numFmtId="0" fontId="3" fillId="0" borderId="48" xfId="48" applyFont="1" applyBorder="1" applyAlignment="1" applyProtection="1">
      <alignment horizontal="center" wrapText="1"/>
      <protection locked="0"/>
    </xf>
    <xf numFmtId="0" fontId="3" fillId="0" borderId="48" xfId="48" applyFont="1" applyBorder="1" applyAlignment="1" applyProtection="1">
      <alignment horizontal="left" wrapText="1"/>
      <protection locked="0"/>
    </xf>
    <xf numFmtId="49" fontId="3" fillId="0" borderId="48" xfId="48" applyNumberFormat="1" applyFont="1" applyFill="1" applyBorder="1" applyAlignment="1" applyProtection="1">
      <alignment horizontal="center" wrapText="1"/>
      <protection locked="0"/>
    </xf>
    <xf numFmtId="0" fontId="3" fillId="0" borderId="48" xfId="48" applyFont="1" applyFill="1" applyBorder="1" applyAlignment="1" applyProtection="1">
      <alignment horizontal="center" wrapText="1"/>
      <protection locked="0"/>
    </xf>
    <xf numFmtId="0" fontId="18" fillId="0" borderId="78" xfId="0" applyFont="1" applyFill="1" applyBorder="1" applyAlignment="1" applyProtection="1">
      <protection locked="0"/>
    </xf>
    <xf numFmtId="166" fontId="0" fillId="0" borderId="0" xfId="0" applyNumberFormat="1" applyFill="1" applyProtection="1">
      <protection locked="0"/>
    </xf>
    <xf numFmtId="49" fontId="3" fillId="0" borderId="318" xfId="0" applyNumberFormat="1" applyFont="1" applyFill="1" applyBorder="1" applyAlignment="1" applyProtection="1">
      <alignment horizontal="center" wrapText="1"/>
      <protection locked="0"/>
    </xf>
    <xf numFmtId="49" fontId="3" fillId="0" borderId="578" xfId="0" applyNumberFormat="1" applyFont="1" applyFill="1" applyBorder="1" applyAlignment="1" applyProtection="1">
      <alignment horizontal="center" wrapText="1"/>
      <protection locked="0"/>
    </xf>
    <xf numFmtId="0" fontId="18" fillId="0" borderId="475" xfId="0" applyFont="1" applyFill="1" applyBorder="1" applyAlignment="1" applyProtection="1">
      <protection locked="0"/>
    </xf>
    <xf numFmtId="17" fontId="3" fillId="0" borderId="107" xfId="0" applyNumberFormat="1" applyFont="1" applyBorder="1" applyAlignment="1" applyProtection="1">
      <alignment vertical="center"/>
      <protection locked="0"/>
    </xf>
    <xf numFmtId="17" fontId="3" fillId="0" borderId="105" xfId="0" applyNumberFormat="1" applyFont="1" applyBorder="1" applyAlignment="1" applyProtection="1">
      <alignment vertical="center"/>
      <protection locked="0"/>
    </xf>
    <xf numFmtId="17" fontId="3" fillId="0" borderId="105" xfId="0" applyNumberFormat="1" applyFont="1" applyFill="1" applyBorder="1" applyAlignment="1" applyProtection="1">
      <alignment vertical="center"/>
      <protection locked="0"/>
    </xf>
    <xf numFmtId="0" fontId="5" fillId="0" borderId="67" xfId="0" applyFont="1" applyBorder="1" applyAlignment="1" applyProtection="1">
      <alignment vertical="center" wrapText="1"/>
      <protection locked="0"/>
    </xf>
    <xf numFmtId="17" fontId="3" fillId="0" borderId="106" xfId="0" applyNumberFormat="1" applyFont="1" applyFill="1" applyBorder="1" applyAlignment="1" applyProtection="1">
      <alignment vertical="center"/>
      <protection locked="0"/>
    </xf>
    <xf numFmtId="17" fontId="3" fillId="0" borderId="237" xfId="0" applyNumberFormat="1" applyFont="1" applyBorder="1" applyAlignment="1" applyProtection="1">
      <alignment vertical="center"/>
      <protection locked="0"/>
    </xf>
    <xf numFmtId="0" fontId="5" fillId="0" borderId="68" xfId="0" applyFont="1" applyBorder="1" applyAlignment="1" applyProtection="1">
      <alignment vertical="center"/>
      <protection locked="0"/>
    </xf>
    <xf numFmtId="0" fontId="18" fillId="0" borderId="579" xfId="0" applyFont="1" applyBorder="1" applyAlignment="1" applyProtection="1">
      <alignment horizontal="center" wrapText="1"/>
      <protection locked="0"/>
    </xf>
    <xf numFmtId="49" fontId="18" fillId="0" borderId="580" xfId="0" applyNumberFormat="1" applyFont="1" applyFill="1" applyBorder="1" applyAlignment="1" applyProtection="1">
      <alignment horizontal="center" wrapText="1"/>
      <protection locked="0"/>
    </xf>
    <xf numFmtId="49" fontId="18" fillId="0" borderId="306" xfId="0" applyNumberFormat="1" applyFont="1" applyFill="1" applyBorder="1" applyAlignment="1" applyProtection="1">
      <alignment horizontal="center" wrapText="1"/>
      <protection locked="0"/>
    </xf>
    <xf numFmtId="0" fontId="18" fillId="0" borderId="0" xfId="0" applyFont="1" applyBorder="1" applyAlignment="1" applyProtection="1">
      <alignment horizontal="center" wrapText="1"/>
      <protection locked="0"/>
    </xf>
    <xf numFmtId="49" fontId="18" fillId="0" borderId="0" xfId="0" applyNumberFormat="1" applyFont="1" applyFill="1" applyBorder="1" applyAlignment="1" applyProtection="1">
      <alignment horizontal="center" wrapText="1"/>
      <protection locked="0"/>
    </xf>
    <xf numFmtId="0" fontId="0" fillId="0" borderId="0" xfId="0" applyFont="1" applyBorder="1" applyAlignment="1" applyProtection="1">
      <alignment horizontal="center"/>
      <protection locked="0"/>
    </xf>
    <xf numFmtId="49" fontId="18" fillId="0" borderId="581" xfId="0" applyNumberFormat="1" applyFont="1" applyFill="1" applyBorder="1" applyAlignment="1" applyProtection="1">
      <alignment horizontal="center" wrapText="1"/>
      <protection locked="0"/>
    </xf>
    <xf numFmtId="0" fontId="18" fillId="0" borderId="582" xfId="0" applyFont="1" applyBorder="1" applyAlignment="1" applyProtection="1">
      <alignment horizontal="center" wrapText="1"/>
      <protection locked="0"/>
    </xf>
    <xf numFmtId="0" fontId="18" fillId="0" borderId="584" xfId="0" applyFont="1" applyBorder="1" applyAlignment="1" applyProtection="1">
      <alignment wrapText="1"/>
    </xf>
    <xf numFmtId="49" fontId="9" fillId="0" borderId="578" xfId="0" applyNumberFormat="1" applyFont="1" applyFill="1" applyBorder="1" applyAlignment="1" applyProtection="1">
      <alignment horizontal="center" wrapText="1"/>
      <protection locked="0"/>
    </xf>
    <xf numFmtId="49" fontId="9" fillId="0" borderId="336" xfId="0" applyNumberFormat="1" applyFont="1" applyFill="1" applyBorder="1" applyAlignment="1" applyProtection="1">
      <alignment horizontal="center" wrapText="1"/>
      <protection locked="0"/>
    </xf>
    <xf numFmtId="49" fontId="9" fillId="0" borderId="331" xfId="0" applyNumberFormat="1" applyFont="1" applyFill="1" applyBorder="1" applyAlignment="1" applyProtection="1">
      <alignment horizontal="center" wrapText="1"/>
      <protection locked="0"/>
    </xf>
    <xf numFmtId="49" fontId="43" fillId="0" borderId="331" xfId="0" applyNumberFormat="1" applyFont="1" applyFill="1" applyBorder="1" applyAlignment="1" applyProtection="1">
      <alignment horizontal="center" wrapText="1"/>
      <protection locked="0"/>
    </xf>
    <xf numFmtId="0" fontId="44" fillId="0" borderId="0" xfId="0" applyFont="1" applyAlignment="1" applyProtection="1">
      <alignment wrapText="1"/>
      <protection locked="0"/>
    </xf>
    <xf numFmtId="49" fontId="9" fillId="0" borderId="583" xfId="0" applyNumberFormat="1" applyFont="1" applyFill="1" applyBorder="1" applyAlignment="1" applyProtection="1">
      <alignment horizontal="center" wrapText="1"/>
      <protection locked="0"/>
    </xf>
    <xf numFmtId="14" fontId="3" fillId="0" borderId="103" xfId="0" applyNumberFormat="1" applyFont="1" applyFill="1" applyBorder="1" applyAlignment="1" applyProtection="1">
      <alignment horizontal="center"/>
      <protection locked="0"/>
    </xf>
    <xf numFmtId="42" fontId="0" fillId="0" borderId="0" xfId="0" applyNumberFormat="1" applyProtection="1">
      <protection locked="0"/>
    </xf>
    <xf numFmtId="42" fontId="25" fillId="56" borderId="237" xfId="0" applyNumberFormat="1" applyFont="1" applyFill="1" applyBorder="1" applyAlignment="1" applyProtection="1">
      <alignment vertical="center"/>
      <protection locked="0"/>
    </xf>
    <xf numFmtId="42" fontId="25" fillId="56" borderId="125" xfId="0" applyNumberFormat="1" applyFont="1" applyFill="1" applyBorder="1" applyAlignment="1" applyProtection="1">
      <alignment vertical="center"/>
      <protection locked="0"/>
    </xf>
    <xf numFmtId="42" fontId="25" fillId="56" borderId="122" xfId="0" applyNumberFormat="1" applyFont="1" applyFill="1" applyBorder="1" applyAlignment="1" applyProtection="1">
      <alignment vertical="center"/>
      <protection locked="0"/>
    </xf>
    <xf numFmtId="42" fontId="25" fillId="56" borderId="105" xfId="0" applyNumberFormat="1" applyFont="1" applyFill="1" applyBorder="1" applyAlignment="1" applyProtection="1">
      <alignment vertical="center"/>
      <protection locked="0"/>
    </xf>
    <xf numFmtId="0" fontId="3" fillId="0" borderId="82" xfId="0" applyFont="1" applyBorder="1" applyAlignment="1" applyProtection="1">
      <alignment vertical="center" wrapText="1"/>
      <protection locked="0"/>
    </xf>
    <xf numFmtId="0" fontId="3" fillId="0" borderId="83" xfId="0" applyFont="1" applyBorder="1" applyAlignment="1" applyProtection="1">
      <alignment vertical="center" wrapText="1"/>
      <protection locked="0"/>
    </xf>
    <xf numFmtId="171" fontId="0" fillId="0" borderId="0" xfId="67" applyNumberFormat="1" applyFont="1" applyProtection="1">
      <protection locked="0"/>
    </xf>
    <xf numFmtId="171" fontId="0" fillId="0" borderId="0" xfId="0" applyNumberFormat="1" applyProtection="1">
      <protection locked="0"/>
    </xf>
    <xf numFmtId="171" fontId="0" fillId="0" borderId="0" xfId="67" applyNumberFormat="1" applyFont="1" applyFill="1" applyProtection="1">
      <protection locked="0"/>
    </xf>
    <xf numFmtId="0" fontId="0" fillId="0" borderId="111" xfId="0" applyBorder="1" applyProtection="1">
      <protection locked="0"/>
    </xf>
    <xf numFmtId="42" fontId="18" fillId="0" borderId="138" xfId="0" applyNumberFormat="1" applyFont="1" applyFill="1" applyBorder="1" applyAlignment="1" applyProtection="1">
      <alignment vertical="center"/>
      <protection locked="0"/>
    </xf>
    <xf numFmtId="14" fontId="18" fillId="0" borderId="79" xfId="0" applyNumberFormat="1" applyFont="1" applyBorder="1" applyProtection="1">
      <protection locked="0"/>
    </xf>
    <xf numFmtId="172" fontId="43" fillId="6" borderId="401" xfId="67" applyNumberFormat="1" applyFont="1" applyFill="1" applyBorder="1" applyAlignment="1" applyProtection="1">
      <alignment horizontal="right" vertical="center"/>
    </xf>
    <xf numFmtId="6" fontId="0" fillId="0" borderId="0" xfId="0" applyNumberFormat="1" applyFont="1" applyFill="1" applyProtection="1">
      <protection locked="0"/>
    </xf>
    <xf numFmtId="44" fontId="0" fillId="0" borderId="0" xfId="0" applyNumberFormat="1" applyFont="1" applyFill="1" applyProtection="1">
      <protection locked="0"/>
    </xf>
    <xf numFmtId="8" fontId="0" fillId="0" borderId="0" xfId="0" applyNumberFormat="1" applyFont="1" applyFill="1" applyProtection="1">
      <protection locked="0"/>
    </xf>
    <xf numFmtId="14" fontId="18" fillId="0" borderId="283" xfId="0" applyNumberFormat="1" applyFont="1" applyFill="1" applyBorder="1" applyAlignment="1" applyProtection="1">
      <protection locked="0"/>
    </xf>
    <xf numFmtId="14" fontId="18" fillId="0" borderId="127" xfId="0" applyNumberFormat="1" applyFont="1" applyFill="1" applyBorder="1" applyAlignment="1" applyProtection="1">
      <protection locked="0"/>
    </xf>
    <xf numFmtId="14" fontId="0" fillId="0" borderId="0" xfId="0" applyNumberFormat="1" applyFont="1" applyFill="1" applyProtection="1">
      <protection locked="0"/>
    </xf>
    <xf numFmtId="14" fontId="18" fillId="0" borderId="560" xfId="0" applyNumberFormat="1" applyFont="1" applyFill="1" applyBorder="1" applyAlignment="1" applyProtection="1">
      <protection locked="0"/>
    </xf>
    <xf numFmtId="14" fontId="18" fillId="0" borderId="562" xfId="0" applyNumberFormat="1" applyFont="1" applyFill="1" applyBorder="1" applyAlignment="1" applyProtection="1">
      <protection locked="0"/>
    </xf>
    <xf numFmtId="14" fontId="18" fillId="0" borderId="107" xfId="0" applyNumberFormat="1" applyFont="1" applyFill="1" applyBorder="1" applyAlignment="1" applyProtection="1">
      <protection locked="0"/>
    </xf>
    <xf numFmtId="9" fontId="0" fillId="0" borderId="0" xfId="0" applyNumberFormat="1" applyProtection="1">
      <protection locked="0"/>
    </xf>
    <xf numFmtId="5" fontId="22" fillId="17" borderId="131" xfId="0" applyNumberFormat="1" applyFont="1" applyFill="1" applyBorder="1" applyAlignment="1" applyProtection="1">
      <alignment horizontal="center"/>
      <protection locked="0"/>
    </xf>
    <xf numFmtId="5" fontId="22" fillId="17" borderId="74" xfId="0" applyNumberFormat="1" applyFont="1" applyFill="1" applyBorder="1" applyAlignment="1" applyProtection="1">
      <alignment horizontal="center"/>
      <protection locked="0"/>
    </xf>
    <xf numFmtId="5" fontId="22" fillId="17" borderId="272" xfId="0" applyNumberFormat="1" applyFont="1" applyFill="1" applyBorder="1" applyAlignment="1" applyProtection="1">
      <alignment horizontal="center"/>
      <protection locked="0"/>
    </xf>
    <xf numFmtId="5" fontId="22" fillId="17" borderId="267" xfId="0" applyNumberFormat="1" applyFont="1" applyFill="1" applyBorder="1" applyAlignment="1" applyProtection="1">
      <alignment horizontal="center"/>
      <protection locked="0"/>
    </xf>
    <xf numFmtId="5" fontId="22" fillId="17" borderId="294" xfId="0" applyNumberFormat="1" applyFont="1" applyFill="1" applyBorder="1" applyAlignment="1" applyProtection="1">
      <alignment horizontal="center"/>
      <protection locked="0"/>
    </xf>
    <xf numFmtId="5" fontId="43" fillId="0" borderId="458" xfId="0" applyNumberFormat="1" applyFont="1" applyFill="1" applyBorder="1" applyProtection="1">
      <protection locked="0"/>
    </xf>
    <xf numFmtId="5" fontId="43" fillId="0" borderId="83" xfId="0" applyNumberFormat="1" applyFont="1" applyFill="1" applyBorder="1" applyProtection="1">
      <protection locked="0"/>
    </xf>
    <xf numFmtId="5" fontId="43" fillId="0" borderId="92" xfId="0" applyNumberFormat="1" applyFont="1" applyFill="1" applyBorder="1" applyProtection="1">
      <protection locked="0"/>
    </xf>
    <xf numFmtId="5" fontId="43" fillId="0" borderId="453" xfId="0" applyNumberFormat="1" applyFont="1" applyFill="1" applyBorder="1" applyProtection="1">
      <protection locked="0"/>
    </xf>
    <xf numFmtId="5" fontId="43" fillId="0" borderId="82" xfId="0" applyNumberFormat="1" applyFont="1" applyFill="1" applyBorder="1" applyProtection="1">
      <protection locked="0"/>
    </xf>
    <xf numFmtId="5" fontId="43" fillId="0" borderId="89" xfId="0" applyNumberFormat="1" applyFont="1" applyFill="1" applyBorder="1" applyProtection="1">
      <protection locked="0"/>
    </xf>
    <xf numFmtId="5" fontId="43" fillId="0" borderId="443" xfId="0" applyNumberFormat="1" applyFont="1" applyFill="1" applyBorder="1" applyProtection="1">
      <protection locked="0"/>
    </xf>
    <xf numFmtId="5" fontId="43" fillId="0" borderId="87" xfId="0" applyNumberFormat="1" applyFont="1" applyFill="1" applyBorder="1" applyProtection="1">
      <protection locked="0"/>
    </xf>
    <xf numFmtId="5" fontId="43" fillId="0" borderId="90" xfId="0" applyNumberFormat="1" applyFont="1" applyFill="1" applyBorder="1" applyProtection="1">
      <protection locked="0"/>
    </xf>
    <xf numFmtId="5" fontId="43" fillId="0" borderId="454" xfId="0" applyNumberFormat="1" applyFont="1" applyFill="1" applyBorder="1" applyProtection="1">
      <protection locked="0"/>
    </xf>
    <xf numFmtId="5" fontId="43" fillId="0" borderId="88" xfId="0" applyNumberFormat="1" applyFont="1" applyFill="1" applyBorder="1" applyProtection="1">
      <protection locked="0"/>
    </xf>
    <xf numFmtId="5" fontId="43" fillId="0" borderId="116" xfId="0" applyNumberFormat="1" applyFont="1" applyFill="1" applyBorder="1" applyProtection="1">
      <protection locked="0"/>
    </xf>
    <xf numFmtId="5" fontId="0" fillId="0" borderId="0" xfId="0" applyNumberFormat="1" applyProtection="1">
      <protection locked="0"/>
    </xf>
    <xf numFmtId="0" fontId="3" fillId="5" borderId="410" xfId="0" applyFont="1" applyFill="1" applyBorder="1" applyAlignment="1" applyProtection="1">
      <alignment horizontal="center" wrapText="1"/>
      <protection locked="0"/>
    </xf>
    <xf numFmtId="0" fontId="3" fillId="5" borderId="407" xfId="0" applyFont="1" applyFill="1" applyBorder="1" applyAlignment="1" applyProtection="1">
      <alignment horizontal="center" wrapText="1"/>
      <protection locked="0"/>
    </xf>
    <xf numFmtId="0" fontId="3" fillId="0" borderId="48" xfId="0" applyFont="1" applyBorder="1" applyAlignment="1" applyProtection="1">
      <alignment horizontal="left" wrapText="1"/>
      <protection locked="0"/>
    </xf>
    <xf numFmtId="49" fontId="3" fillId="0" borderId="48" xfId="0" applyNumberFormat="1" applyFont="1" applyFill="1" applyBorder="1" applyAlignment="1" applyProtection="1">
      <alignment horizontal="center" wrapText="1"/>
      <protection locked="0"/>
    </xf>
    <xf numFmtId="0" fontId="3" fillId="0" borderId="48" xfId="0" applyFont="1" applyBorder="1" applyAlignment="1" applyProtection="1">
      <alignment horizontal="center" vertical="center" wrapText="1"/>
      <protection locked="0"/>
    </xf>
    <xf numFmtId="0" fontId="3" fillId="0" borderId="82" xfId="0" applyFont="1" applyBorder="1" applyAlignment="1" applyProtection="1">
      <alignment vertical="center" wrapText="1"/>
      <protection locked="0"/>
    </xf>
    <xf numFmtId="0" fontId="3" fillId="0" borderId="83" xfId="0" applyFont="1" applyBorder="1" applyAlignment="1" applyProtection="1">
      <alignment vertical="center" wrapText="1"/>
      <protection locked="0"/>
    </xf>
    <xf numFmtId="171" fontId="0" fillId="57" borderId="0" xfId="67" applyNumberFormat="1" applyFont="1" applyFill="1" applyProtection="1">
      <protection locked="0"/>
    </xf>
    <xf numFmtId="14" fontId="3" fillId="0" borderId="79" xfId="0" applyNumberFormat="1" applyFont="1" applyBorder="1" applyProtection="1">
      <protection locked="0"/>
    </xf>
    <xf numFmtId="0" fontId="0" fillId="0" borderId="82" xfId="0" applyBorder="1" applyProtection="1">
      <protection locked="0"/>
    </xf>
    <xf numFmtId="0" fontId="0" fillId="0" borderId="88" xfId="0" applyBorder="1" applyProtection="1">
      <protection locked="0"/>
    </xf>
    <xf numFmtId="0" fontId="23" fillId="17" borderId="0" xfId="0" applyFont="1" applyFill="1" applyBorder="1" applyProtection="1"/>
    <xf numFmtId="0" fontId="18" fillId="0" borderId="0" xfId="0" applyFont="1" applyFill="1" applyBorder="1" applyAlignment="1" applyProtection="1"/>
    <xf numFmtId="0" fontId="18" fillId="0" borderId="0" xfId="0" applyFont="1" applyFill="1" applyBorder="1" applyAlignment="1" applyProtection="1">
      <alignment horizontal="right" vertical="center"/>
    </xf>
    <xf numFmtId="0" fontId="18" fillId="0" borderId="15" xfId="0" applyFont="1" applyFill="1" applyBorder="1" applyAlignment="1" applyProtection="1">
      <alignment horizontal="left" vertical="top" wrapText="1"/>
      <protection locked="0"/>
    </xf>
    <xf numFmtId="0" fontId="18" fillId="0" borderId="19"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22" xfId="0" applyFont="1" applyFill="1" applyBorder="1" applyAlignment="1" applyProtection="1">
      <alignment horizontal="left" vertical="top" wrapText="1"/>
      <protection locked="0"/>
    </xf>
    <xf numFmtId="0" fontId="18" fillId="0" borderId="25" xfId="0" applyFont="1" applyFill="1" applyBorder="1" applyAlignment="1" applyProtection="1">
      <alignment horizontal="right" vertical="center"/>
    </xf>
    <xf numFmtId="0" fontId="18" fillId="0" borderId="26" xfId="0" applyFont="1" applyFill="1" applyBorder="1" applyAlignment="1" applyProtection="1">
      <alignment horizontal="right" vertical="center"/>
    </xf>
    <xf numFmtId="0" fontId="18" fillId="0" borderId="6" xfId="0" applyFont="1" applyFill="1" applyBorder="1" applyAlignment="1" applyProtection="1">
      <alignment horizontal="left"/>
      <protection locked="0"/>
    </xf>
    <xf numFmtId="0" fontId="18" fillId="0" borderId="6" xfId="0" applyFont="1" applyFill="1" applyBorder="1" applyProtection="1">
      <protection locked="0"/>
    </xf>
    <xf numFmtId="0" fontId="51" fillId="0" borderId="0" xfId="0" applyFont="1" applyFill="1" applyBorder="1" applyAlignment="1" applyProtection="1">
      <alignment horizontal="left" vertical="top" wrapText="1"/>
    </xf>
    <xf numFmtId="0" fontId="53" fillId="0" borderId="6" xfId="0" applyFont="1" applyFill="1" applyBorder="1" applyAlignment="1" applyProtection="1">
      <alignment horizontal="left"/>
      <protection locked="0"/>
    </xf>
    <xf numFmtId="0" fontId="22" fillId="0" borderId="6" xfId="0" applyFont="1" applyFill="1" applyBorder="1" applyAlignment="1" applyProtection="1">
      <alignment horizontal="left"/>
      <protection locked="0"/>
    </xf>
    <xf numFmtId="0" fontId="18" fillId="6" borderId="6" xfId="0" applyFont="1" applyFill="1" applyBorder="1" applyProtection="1"/>
    <xf numFmtId="0" fontId="23" fillId="17" borderId="0" xfId="0" applyFont="1" applyFill="1" applyBorder="1" applyAlignment="1" applyProtection="1">
      <alignment horizontal="left"/>
    </xf>
    <xf numFmtId="0" fontId="3" fillId="6" borderId="6" xfId="0" applyFont="1" applyFill="1" applyBorder="1" applyAlignment="1" applyProtection="1"/>
    <xf numFmtId="0" fontId="23" fillId="17" borderId="0" xfId="0" applyFont="1" applyFill="1" applyBorder="1" applyAlignment="1" applyProtection="1">
      <alignment vertical="center"/>
    </xf>
    <xf numFmtId="0" fontId="18" fillId="17" borderId="132" xfId="0" applyFont="1" applyFill="1" applyBorder="1" applyAlignment="1" applyProtection="1">
      <alignment horizontal="center" vertical="center" wrapText="1"/>
    </xf>
    <xf numFmtId="0" fontId="2" fillId="13" borderId="252" xfId="0" applyFont="1" applyFill="1" applyBorder="1" applyAlignment="1" applyProtection="1">
      <alignment horizontal="center"/>
    </xf>
    <xf numFmtId="0" fontId="2" fillId="13" borderId="8" xfId="0" applyFont="1" applyFill="1" applyBorder="1" applyAlignment="1" applyProtection="1">
      <alignment horizontal="center"/>
    </xf>
    <xf numFmtId="0" fontId="19" fillId="17" borderId="294" xfId="0" applyFont="1" applyFill="1" applyBorder="1" applyAlignment="1" applyProtection="1">
      <alignment horizontal="center" vertical="center" wrapText="1"/>
    </xf>
    <xf numFmtId="0" fontId="19" fillId="17" borderId="22" xfId="0" applyFont="1" applyFill="1" applyBorder="1" applyAlignment="1" applyProtection="1">
      <alignment horizontal="center" vertical="center" wrapText="1"/>
    </xf>
    <xf numFmtId="0" fontId="18" fillId="17" borderId="271" xfId="0" applyFont="1" applyFill="1" applyBorder="1" applyAlignment="1" applyProtection="1">
      <alignment horizontal="center" vertical="center" wrapText="1"/>
    </xf>
    <xf numFmtId="0" fontId="18" fillId="17" borderId="26" xfId="0" applyFont="1" applyFill="1" applyBorder="1" applyAlignment="1" applyProtection="1">
      <alignment horizontal="center" vertical="center" wrapText="1"/>
    </xf>
    <xf numFmtId="0" fontId="18" fillId="17" borderId="3" xfId="0" applyFont="1" applyFill="1" applyBorder="1" applyAlignment="1" applyProtection="1">
      <alignment horizontal="center" vertical="center" wrapText="1"/>
    </xf>
    <xf numFmtId="0" fontId="18" fillId="17" borderId="272" xfId="0" applyFont="1" applyFill="1" applyBorder="1" applyAlignment="1" applyProtection="1">
      <alignment horizontal="center" vertical="center" wrapText="1"/>
    </xf>
    <xf numFmtId="0" fontId="18" fillId="17" borderId="4" xfId="0" applyFont="1" applyFill="1" applyBorder="1" applyAlignment="1" applyProtection="1">
      <alignment horizontal="center" vertical="center" wrapText="1"/>
    </xf>
    <xf numFmtId="0" fontId="18" fillId="17" borderId="234" xfId="0" applyFont="1" applyFill="1" applyBorder="1" applyAlignment="1" applyProtection="1">
      <alignment horizontal="center" vertical="center" wrapText="1"/>
    </xf>
    <xf numFmtId="0" fontId="18" fillId="17" borderId="16" xfId="0" applyFont="1" applyFill="1" applyBorder="1" applyAlignment="1" applyProtection="1">
      <alignment horizontal="center" vertical="center" wrapText="1"/>
    </xf>
    <xf numFmtId="16" fontId="1" fillId="0" borderId="533" xfId="0" applyNumberFormat="1" applyFont="1" applyFill="1" applyBorder="1" applyAlignment="1" applyProtection="1">
      <alignment vertical="top"/>
    </xf>
    <xf numFmtId="16" fontId="1" fillId="0" borderId="516" xfId="0" applyNumberFormat="1" applyFont="1" applyFill="1" applyBorder="1" applyAlignment="1" applyProtection="1">
      <alignment vertical="top"/>
    </xf>
    <xf numFmtId="16" fontId="1" fillId="0" borderId="534" xfId="0" applyNumberFormat="1" applyFont="1" applyFill="1" applyBorder="1" applyAlignment="1" applyProtection="1">
      <alignment vertical="top"/>
    </xf>
    <xf numFmtId="0" fontId="84" fillId="17" borderId="0" xfId="0" applyFont="1" applyFill="1" applyBorder="1" applyProtection="1"/>
    <xf numFmtId="0" fontId="17" fillId="6" borderId="6" xfId="0" applyFont="1" applyFill="1" applyBorder="1" applyAlignment="1" applyProtection="1"/>
    <xf numFmtId="16" fontId="1" fillId="0" borderId="527" xfId="0" applyNumberFormat="1" applyFont="1" applyFill="1" applyBorder="1" applyProtection="1"/>
    <xf numFmtId="16" fontId="1" fillId="0" borderId="510" xfId="0" applyNumberFormat="1" applyFont="1" applyFill="1" applyBorder="1" applyProtection="1"/>
    <xf numFmtId="16" fontId="1" fillId="0" borderId="528" xfId="0" applyNumberFormat="1" applyFont="1" applyFill="1" applyBorder="1" applyProtection="1"/>
    <xf numFmtId="0" fontId="1" fillId="0" borderId="529" xfId="0" applyFont="1" applyFill="1" applyBorder="1" applyProtection="1"/>
    <xf numFmtId="0" fontId="1" fillId="0" borderId="509" xfId="0" applyFont="1" applyFill="1" applyBorder="1" applyProtection="1"/>
    <xf numFmtId="0" fontId="1" fillId="0" borderId="530" xfId="0" applyFont="1" applyFill="1" applyBorder="1" applyProtection="1"/>
    <xf numFmtId="16" fontId="1" fillId="0" borderId="531" xfId="0" applyNumberFormat="1" applyFont="1" applyFill="1" applyBorder="1" applyProtection="1"/>
    <xf numFmtId="16" fontId="1" fillId="0" borderId="515" xfId="0" applyNumberFormat="1" applyFont="1" applyFill="1" applyBorder="1" applyProtection="1"/>
    <xf numFmtId="16" fontId="1" fillId="0" borderId="532" xfId="0" applyNumberFormat="1" applyFont="1" applyFill="1" applyBorder="1" applyProtection="1"/>
    <xf numFmtId="16" fontId="1" fillId="0" borderId="533" xfId="0" applyNumberFormat="1" applyFont="1" applyFill="1" applyBorder="1" applyProtection="1"/>
    <xf numFmtId="16" fontId="1" fillId="0" borderId="516" xfId="0" applyNumberFormat="1" applyFont="1" applyFill="1" applyBorder="1" applyProtection="1"/>
    <xf numFmtId="16" fontId="1" fillId="0" borderId="534" xfId="0" applyNumberFormat="1" applyFont="1" applyFill="1" applyBorder="1" applyProtection="1"/>
    <xf numFmtId="16" fontId="0" fillId="0" borderId="533" xfId="0" applyNumberFormat="1" applyFont="1" applyFill="1" applyBorder="1" applyProtection="1"/>
    <xf numFmtId="16" fontId="1" fillId="0" borderId="501" xfId="0" applyNumberFormat="1" applyFont="1" applyFill="1" applyBorder="1" applyProtection="1"/>
    <xf numFmtId="16" fontId="1" fillId="0" borderId="535" xfId="0" applyNumberFormat="1" applyFont="1" applyFill="1" applyBorder="1" applyProtection="1"/>
    <xf numFmtId="16" fontId="1" fillId="0" borderId="517" xfId="0" applyNumberFormat="1" applyFont="1" applyFill="1" applyBorder="1" applyProtection="1"/>
    <xf numFmtId="16" fontId="1" fillId="0" borderId="536" xfId="0" applyNumberFormat="1" applyFont="1" applyFill="1" applyBorder="1" applyProtection="1"/>
    <xf numFmtId="0" fontId="17" fillId="0" borderId="502" xfId="0" applyFont="1" applyFill="1" applyBorder="1" applyProtection="1"/>
    <xf numFmtId="0" fontId="17" fillId="0" borderId="516" xfId="0" applyFont="1" applyFill="1" applyBorder="1" applyProtection="1"/>
    <xf numFmtId="0" fontId="17" fillId="0" borderId="514" xfId="0" applyFont="1" applyFill="1" applyBorder="1" applyProtection="1"/>
    <xf numFmtId="16" fontId="1" fillId="0" borderId="502" xfId="0" applyNumberFormat="1" applyFont="1" applyFill="1" applyBorder="1" applyProtection="1"/>
    <xf numFmtId="16" fontId="1" fillId="0" borderId="537" xfId="0" applyNumberFormat="1" applyFont="1" applyFill="1" applyBorder="1" applyProtection="1"/>
    <xf numFmtId="16" fontId="0" fillId="0" borderId="501" xfId="0" applyNumberFormat="1" applyFont="1" applyFill="1" applyBorder="1" applyProtection="1"/>
    <xf numFmtId="16" fontId="0" fillId="0" borderId="515" xfId="0" applyNumberFormat="1" applyFont="1" applyFill="1" applyBorder="1" applyProtection="1"/>
    <xf numFmtId="16" fontId="0" fillId="0" borderId="512" xfId="0" applyNumberFormat="1" applyFont="1" applyFill="1" applyBorder="1" applyProtection="1"/>
    <xf numFmtId="16" fontId="0" fillId="0" borderId="502" xfId="0" applyNumberFormat="1" applyFont="1" applyFill="1" applyBorder="1" applyProtection="1"/>
    <xf numFmtId="16" fontId="0" fillId="0" borderId="516" xfId="0" applyNumberFormat="1" applyFont="1" applyFill="1" applyBorder="1" applyProtection="1"/>
    <xf numFmtId="16" fontId="0" fillId="0" borderId="514" xfId="0" applyNumberFormat="1" applyFont="1" applyFill="1" applyBorder="1" applyProtection="1"/>
    <xf numFmtId="16" fontId="1" fillId="0" borderId="514" xfId="0" applyNumberFormat="1" applyFont="1" applyFill="1" applyBorder="1" applyProtection="1"/>
    <xf numFmtId="0" fontId="17" fillId="0" borderId="502" xfId="0" applyFont="1" applyFill="1" applyBorder="1" applyAlignment="1" applyProtection="1"/>
    <xf numFmtId="0" fontId="17" fillId="0" borderId="516" xfId="0" applyFont="1" applyFill="1" applyBorder="1" applyAlignment="1" applyProtection="1"/>
    <xf numFmtId="0" fontId="17" fillId="0" borderId="514" xfId="0" applyFont="1" applyFill="1" applyBorder="1" applyAlignment="1" applyProtection="1"/>
    <xf numFmtId="16" fontId="0" fillId="0" borderId="502" xfId="0" applyNumberFormat="1" applyFont="1" applyFill="1" applyBorder="1" applyAlignment="1" applyProtection="1"/>
    <xf numFmtId="16" fontId="1" fillId="0" borderId="516" xfId="0" applyNumberFormat="1" applyFont="1" applyFill="1" applyBorder="1" applyAlignment="1" applyProtection="1"/>
    <xf numFmtId="16" fontId="1" fillId="0" borderId="514" xfId="0" applyNumberFormat="1" applyFont="1" applyFill="1" applyBorder="1" applyAlignment="1" applyProtection="1"/>
    <xf numFmtId="0" fontId="17" fillId="0" borderId="537" xfId="0" applyFont="1" applyFill="1" applyBorder="1" applyAlignment="1" applyProtection="1"/>
    <xf numFmtId="0" fontId="17" fillId="0" borderId="517" xfId="0" applyFont="1" applyFill="1" applyBorder="1" applyAlignment="1" applyProtection="1"/>
    <xf numFmtId="0" fontId="17" fillId="0" borderId="513" xfId="0" applyFont="1" applyFill="1" applyBorder="1" applyAlignment="1" applyProtection="1"/>
    <xf numFmtId="16" fontId="1" fillId="0" borderId="512" xfId="0" applyNumberFormat="1" applyFont="1" applyFill="1" applyBorder="1" applyProtection="1"/>
    <xf numFmtId="16" fontId="1" fillId="0" borderId="513" xfId="0" applyNumberFormat="1" applyFont="1" applyFill="1" applyBorder="1" applyProtection="1"/>
    <xf numFmtId="16" fontId="26" fillId="0" borderId="501" xfId="0" applyNumberFormat="1" applyFont="1" applyFill="1" applyBorder="1" applyAlignment="1" applyProtection="1"/>
    <xf numFmtId="16" fontId="26" fillId="0" borderId="515" xfId="0" applyNumberFormat="1" applyFont="1" applyFill="1" applyBorder="1" applyAlignment="1" applyProtection="1"/>
    <xf numFmtId="16" fontId="26" fillId="0" borderId="512" xfId="0" applyNumberFormat="1" applyFont="1" applyFill="1" applyBorder="1" applyAlignment="1" applyProtection="1"/>
    <xf numFmtId="16" fontId="1" fillId="0" borderId="502" xfId="0" applyNumberFormat="1" applyFont="1" applyFill="1" applyBorder="1" applyAlignment="1" applyProtection="1">
      <alignment vertical="top"/>
    </xf>
    <xf numFmtId="16" fontId="1" fillId="0" borderId="514" xfId="0" applyNumberFormat="1" applyFont="1" applyFill="1" applyBorder="1" applyAlignment="1" applyProtection="1">
      <alignment vertical="top"/>
    </xf>
    <xf numFmtId="0" fontId="2" fillId="17" borderId="436" xfId="0" applyFont="1" applyFill="1" applyBorder="1" applyAlignment="1" applyProtection="1"/>
    <xf numFmtId="0" fontId="2" fillId="17" borderId="437" xfId="0" applyFont="1" applyFill="1" applyBorder="1" applyAlignment="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 fillId="5" borderId="82" xfId="0" applyFont="1" applyFill="1" applyBorder="1" applyAlignment="1" applyProtection="1">
      <protection locked="0"/>
    </xf>
    <xf numFmtId="0" fontId="1" fillId="5" borderId="83" xfId="0" applyFont="1" applyFill="1" applyBorder="1" applyAlignment="1" applyProtection="1">
      <protection locked="0"/>
    </xf>
    <xf numFmtId="0" fontId="1" fillId="5" borderId="89" xfId="0" applyFont="1" applyFill="1" applyBorder="1" applyAlignment="1" applyProtection="1">
      <protection locked="0"/>
    </xf>
    <xf numFmtId="0" fontId="1" fillId="5" borderId="92" xfId="0" applyFont="1" applyFill="1" applyBorder="1" applyAlignment="1" applyProtection="1">
      <protection locked="0"/>
    </xf>
    <xf numFmtId="0" fontId="26" fillId="5" borderId="393" xfId="0" applyFont="1" applyFill="1" applyBorder="1" applyAlignment="1" applyProtection="1">
      <protection locked="0"/>
    </xf>
    <xf numFmtId="0" fontId="26" fillId="5" borderId="144" xfId="0" applyFont="1" applyFill="1" applyBorder="1" applyAlignment="1" applyProtection="1">
      <protection locked="0"/>
    </xf>
    <xf numFmtId="0" fontId="22" fillId="3" borderId="432" xfId="0" applyFont="1" applyFill="1" applyBorder="1" applyAlignment="1" applyProtection="1">
      <alignment wrapText="1"/>
    </xf>
    <xf numFmtId="0" fontId="22" fillId="3" borderId="439" xfId="0" applyFont="1" applyFill="1" applyBorder="1" applyAlignment="1" applyProtection="1">
      <alignment wrapText="1"/>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3" fillId="17" borderId="0" xfId="0" applyFont="1" applyFill="1" applyBorder="1" applyAlignment="1" applyProtection="1"/>
    <xf numFmtId="0" fontId="3" fillId="0" borderId="89" xfId="0" applyFont="1" applyFill="1" applyBorder="1" applyAlignment="1" applyProtection="1">
      <alignment vertical="center" wrapText="1"/>
      <protection locked="0"/>
    </xf>
    <xf numFmtId="0" fontId="3" fillId="0" borderId="92" xfId="0" applyFont="1" applyFill="1" applyBorder="1" applyAlignment="1" applyProtection="1">
      <alignment vertical="center" wrapText="1"/>
      <protection locked="0"/>
    </xf>
    <xf numFmtId="0" fontId="3" fillId="0" borderId="82" xfId="0" applyFont="1" applyBorder="1" applyAlignment="1" applyProtection="1">
      <alignment vertical="center" wrapText="1"/>
      <protection locked="0"/>
    </xf>
    <xf numFmtId="0" fontId="3" fillId="0" borderId="83" xfId="0" applyFont="1" applyBorder="1" applyAlignment="1" applyProtection="1">
      <alignment vertical="center" wrapText="1"/>
      <protection locked="0"/>
    </xf>
    <xf numFmtId="0" fontId="3" fillId="0" borderId="82" xfId="0" applyFont="1" applyFill="1" applyBorder="1" applyAlignment="1" applyProtection="1">
      <alignment vertical="center"/>
      <protection locked="0"/>
    </xf>
    <xf numFmtId="0" fontId="3" fillId="0" borderId="83" xfId="0" applyFont="1" applyFill="1" applyBorder="1" applyAlignment="1" applyProtection="1">
      <alignment vertical="center"/>
      <protection locked="0"/>
    </xf>
    <xf numFmtId="0" fontId="6" fillId="17" borderId="432" xfId="0" applyFont="1" applyFill="1" applyBorder="1" applyAlignment="1" applyProtection="1">
      <alignment vertical="center" wrapText="1"/>
    </xf>
    <xf numFmtId="0" fontId="6" fillId="17" borderId="444" xfId="0" applyFont="1" applyFill="1" applyBorder="1" applyAlignment="1" applyProtection="1">
      <alignment vertical="center" wrapText="1"/>
    </xf>
    <xf numFmtId="0" fontId="3" fillId="6" borderId="6" xfId="0" applyFont="1" applyFill="1" applyBorder="1" applyAlignment="1" applyProtection="1">
      <alignment horizontal="left" vertical="center"/>
    </xf>
    <xf numFmtId="0" fontId="3" fillId="0" borderId="453" xfId="0" applyFont="1" applyBorder="1" applyAlignment="1" applyProtection="1">
      <alignment vertical="center" wrapText="1"/>
      <protection locked="0"/>
    </xf>
    <xf numFmtId="0" fontId="3" fillId="0" borderId="458" xfId="0" applyFont="1" applyBorder="1" applyAlignment="1" applyProtection="1">
      <alignment vertical="center" wrapText="1"/>
      <protection locked="0"/>
    </xf>
    <xf numFmtId="0" fontId="3" fillId="0" borderId="82" xfId="0" applyFont="1" applyFill="1" applyBorder="1" applyAlignment="1" applyProtection="1">
      <alignment horizontal="left" vertical="center" wrapText="1"/>
      <protection locked="0"/>
    </xf>
    <xf numFmtId="0" fontId="3" fillId="0" borderId="83" xfId="0" applyFont="1" applyFill="1" applyBorder="1" applyAlignment="1" applyProtection="1">
      <alignment horizontal="left" vertical="center" wrapText="1"/>
      <protection locked="0"/>
    </xf>
    <xf numFmtId="0" fontId="3" fillId="0" borderId="82"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 fillId="0" borderId="82" xfId="0" applyFont="1" applyFill="1" applyBorder="1" applyAlignment="1" applyProtection="1">
      <alignment vertical="center" wrapText="1"/>
      <protection locked="0"/>
    </xf>
    <xf numFmtId="0" fontId="3" fillId="0" borderId="83" xfId="0" applyFont="1" applyFill="1" applyBorder="1" applyAlignment="1" applyProtection="1">
      <alignment vertical="center" wrapText="1"/>
      <protection locked="0"/>
    </xf>
    <xf numFmtId="0" fontId="3" fillId="0" borderId="82"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0" fontId="6" fillId="17" borderId="288" xfId="0" applyFont="1" applyFill="1" applyBorder="1" applyAlignment="1" applyProtection="1">
      <alignment horizontal="left" vertical="center" wrapText="1"/>
    </xf>
    <xf numFmtId="0" fontId="6" fillId="17" borderId="447" xfId="0" applyFont="1" applyFill="1" applyBorder="1" applyAlignment="1" applyProtection="1">
      <alignment horizontal="left" vertical="center" wrapText="1"/>
    </xf>
    <xf numFmtId="0" fontId="3" fillId="0" borderId="82"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96" xfId="0" applyFont="1" applyBorder="1" applyAlignment="1" applyProtection="1">
      <alignment vertical="center" wrapText="1"/>
      <protection locked="0"/>
    </xf>
    <xf numFmtId="0" fontId="3" fillId="0" borderId="91" xfId="0" applyFont="1" applyBorder="1" applyAlignment="1" applyProtection="1">
      <alignment vertical="center" wrapText="1"/>
      <protection locked="0"/>
    </xf>
    <xf numFmtId="0" fontId="30" fillId="13" borderId="74" xfId="0" applyFont="1" applyFill="1" applyBorder="1" applyAlignment="1" applyProtection="1">
      <alignment horizontal="center"/>
    </xf>
    <xf numFmtId="0" fontId="30" fillId="13" borderId="228" xfId="0" applyFont="1" applyFill="1" applyBorder="1" applyAlignment="1" applyProtection="1">
      <alignment horizontal="center"/>
    </xf>
    <xf numFmtId="0" fontId="30" fillId="7" borderId="226" xfId="0" applyFont="1" applyFill="1" applyBorder="1" applyAlignment="1" applyProtection="1">
      <alignment horizontal="center"/>
    </xf>
    <xf numFmtId="0" fontId="30" fillId="7" borderId="74" xfId="0" applyFont="1" applyFill="1" applyBorder="1" applyAlignment="1" applyProtection="1">
      <alignment horizontal="center"/>
    </xf>
    <xf numFmtId="0" fontId="29" fillId="10" borderId="230" xfId="0" applyFont="1" applyFill="1" applyBorder="1" applyAlignment="1" applyProtection="1">
      <alignment horizontal="center" vertical="center" wrapText="1"/>
    </xf>
    <xf numFmtId="0" fontId="29" fillId="10" borderId="132" xfId="0" applyFont="1" applyFill="1" applyBorder="1" applyAlignment="1" applyProtection="1">
      <alignment horizontal="center" vertical="center" wrapText="1"/>
    </xf>
    <xf numFmtId="0" fontId="29" fillId="10" borderId="5" xfId="0" applyFont="1" applyFill="1" applyBorder="1" applyAlignment="1" applyProtection="1">
      <alignment horizontal="center" vertical="center" wrapText="1"/>
    </xf>
    <xf numFmtId="5" fontId="29" fillId="7" borderId="131" xfId="0" applyNumberFormat="1" applyFont="1" applyFill="1" applyBorder="1" applyAlignment="1" applyProtection="1">
      <alignment horizontal="center" vertical="center" wrapText="1"/>
    </xf>
    <xf numFmtId="5" fontId="29" fillId="7" borderId="24" xfId="0" applyNumberFormat="1" applyFont="1" applyFill="1" applyBorder="1" applyAlignment="1" applyProtection="1">
      <alignment horizontal="center" vertical="center" wrapText="1"/>
    </xf>
    <xf numFmtId="5" fontId="29" fillId="13" borderId="26" xfId="0" applyNumberFormat="1" applyFont="1" applyFill="1" applyBorder="1" applyAlignment="1" applyProtection="1">
      <alignment horizontal="center" vertical="center" wrapText="1"/>
    </xf>
    <xf numFmtId="5" fontId="29" fillId="13" borderId="28" xfId="0" applyNumberFormat="1" applyFont="1" applyFill="1" applyBorder="1" applyAlignment="1" applyProtection="1">
      <alignment horizontal="center" vertical="center" wrapText="1"/>
    </xf>
    <xf numFmtId="5" fontId="22" fillId="5" borderId="15" xfId="0" applyNumberFormat="1" applyFont="1" applyFill="1" applyBorder="1" applyAlignment="1" applyProtection="1">
      <alignment horizontal="center" vertical="center" wrapText="1"/>
      <protection locked="0"/>
    </xf>
    <xf numFmtId="5" fontId="22" fillId="5" borderId="18" xfId="0" applyNumberFormat="1" applyFont="1" applyFill="1" applyBorder="1" applyAlignment="1" applyProtection="1">
      <alignment horizontal="center" vertical="center" wrapText="1"/>
      <protection locked="0"/>
    </xf>
    <xf numFmtId="5" fontId="36" fillId="5" borderId="129" xfId="0" applyNumberFormat="1" applyFont="1" applyFill="1" applyBorder="1" applyAlignment="1" applyProtection="1">
      <alignment horizontal="center" vertical="center" wrapText="1"/>
      <protection locked="0"/>
    </xf>
    <xf numFmtId="5" fontId="36" fillId="5" borderId="17" xfId="0" applyNumberFormat="1" applyFont="1" applyFill="1" applyBorder="1" applyAlignment="1" applyProtection="1">
      <alignment horizontal="center" vertical="center" wrapText="1"/>
      <protection locked="0"/>
    </xf>
    <xf numFmtId="5" fontId="22" fillId="5" borderId="139" xfId="0" applyNumberFormat="1" applyFont="1" applyFill="1" applyBorder="1" applyAlignment="1" applyProtection="1">
      <alignment horizontal="center" vertical="center" wrapText="1"/>
      <protection locked="0"/>
    </xf>
    <xf numFmtId="5" fontId="22" fillId="5" borderId="23" xfId="0" applyNumberFormat="1" applyFont="1" applyFill="1" applyBorder="1" applyAlignment="1" applyProtection="1">
      <alignment horizontal="center" vertical="center" wrapText="1"/>
      <protection locked="0"/>
    </xf>
    <xf numFmtId="5" fontId="22" fillId="5" borderId="129" xfId="0" applyNumberFormat="1" applyFont="1" applyFill="1" applyBorder="1" applyAlignment="1" applyProtection="1">
      <alignment horizontal="center" vertical="center" wrapText="1"/>
      <protection locked="0"/>
    </xf>
    <xf numFmtId="5" fontId="22" fillId="5" borderId="17" xfId="0" applyNumberFormat="1" applyFont="1" applyFill="1" applyBorder="1" applyAlignment="1" applyProtection="1">
      <alignment horizontal="center" vertical="center" wrapText="1"/>
      <protection locked="0"/>
    </xf>
    <xf numFmtId="0" fontId="27" fillId="0" borderId="80" xfId="0" applyFont="1" applyBorder="1" applyAlignment="1" applyProtection="1">
      <alignment vertical="center"/>
      <protection locked="0"/>
    </xf>
    <xf numFmtId="0" fontId="27" fillId="0" borderId="78" xfId="0" applyFont="1" applyBorder="1" applyAlignment="1" applyProtection="1">
      <alignment vertical="center"/>
      <protection locked="0"/>
    </xf>
    <xf numFmtId="0" fontId="27" fillId="0" borderId="81" xfId="0" applyFont="1" applyBorder="1" applyAlignment="1" applyProtection="1">
      <alignment vertical="center"/>
      <protection locked="0"/>
    </xf>
    <xf numFmtId="44" fontId="25" fillId="0" borderId="122" xfId="0" applyNumberFormat="1" applyFont="1" applyFill="1" applyBorder="1" applyAlignment="1" applyProtection="1">
      <alignment vertical="center"/>
      <protection locked="0"/>
    </xf>
    <xf numFmtId="44" fontId="25" fillId="0" borderId="88" xfId="0" applyNumberFormat="1" applyFont="1" applyFill="1" applyBorder="1" applyAlignment="1" applyProtection="1">
      <alignment vertical="center"/>
      <protection locked="0"/>
    </xf>
    <xf numFmtId="44" fontId="25" fillId="0" borderId="451" xfId="0" applyNumberFormat="1" applyFont="1" applyFill="1" applyBorder="1" applyAlignment="1" applyProtection="1">
      <alignment vertical="center"/>
      <protection locked="0"/>
    </xf>
    <xf numFmtId="44" fontId="25" fillId="0" borderId="116" xfId="0" applyNumberFormat="1" applyFont="1" applyFill="1" applyBorder="1" applyAlignment="1" applyProtection="1">
      <alignment vertical="center"/>
      <protection locked="0"/>
    </xf>
    <xf numFmtId="44" fontId="25" fillId="0" borderId="450" xfId="0" applyNumberFormat="1" applyFont="1" applyFill="1" applyBorder="1" applyAlignment="1" applyProtection="1">
      <alignment vertical="center"/>
      <protection locked="0"/>
    </xf>
    <xf numFmtId="44" fontId="25" fillId="0" borderId="454" xfId="0" applyNumberFormat="1" applyFont="1" applyFill="1" applyBorder="1" applyAlignment="1" applyProtection="1">
      <alignment vertical="center"/>
      <protection locked="0"/>
    </xf>
    <xf numFmtId="44" fontId="25" fillId="0" borderId="122" xfId="0" applyNumberFormat="1" applyFont="1" applyFill="1" applyBorder="1" applyAlignment="1" applyProtection="1">
      <alignment vertical="center" wrapText="1"/>
      <protection locked="0"/>
    </xf>
    <xf numFmtId="44" fontId="25" fillId="0" borderId="88" xfId="0" applyNumberFormat="1" applyFont="1" applyFill="1" applyBorder="1" applyAlignment="1" applyProtection="1">
      <alignment vertical="center" wrapText="1"/>
      <protection locked="0"/>
    </xf>
    <xf numFmtId="0" fontId="6" fillId="7" borderId="240" xfId="0" applyFont="1" applyFill="1" applyBorder="1" applyAlignment="1" applyProtection="1">
      <alignment horizontal="center"/>
    </xf>
    <xf numFmtId="0" fontId="6" fillId="7" borderId="448" xfId="0" applyFont="1" applyFill="1" applyBorder="1" applyAlignment="1" applyProtection="1">
      <alignment horizontal="center"/>
    </xf>
    <xf numFmtId="0" fontId="6" fillId="7" borderId="236" xfId="0" applyFont="1" applyFill="1" applyBorder="1" applyAlignment="1" applyProtection="1">
      <alignment horizontal="center"/>
    </xf>
    <xf numFmtId="5" fontId="10" fillId="17" borderId="86" xfId="0" applyNumberFormat="1" applyFont="1" applyFill="1" applyBorder="1" applyAlignment="1" applyProtection="1">
      <alignment horizontal="center" vertical="center" wrapText="1"/>
    </xf>
    <xf numFmtId="5" fontId="10" fillId="17" borderId="85" xfId="0" applyNumberFormat="1" applyFont="1" applyFill="1" applyBorder="1" applyAlignment="1" applyProtection="1">
      <alignment horizontal="center" vertical="center" wrapText="1"/>
    </xf>
    <xf numFmtId="0" fontId="30" fillId="7" borderId="228" xfId="0" applyFont="1" applyFill="1" applyBorder="1" applyAlignment="1" applyProtection="1">
      <alignment horizontal="center"/>
    </xf>
    <xf numFmtId="0" fontId="9" fillId="0" borderId="15"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19" fillId="17" borderId="80" xfId="0" applyFont="1" applyFill="1" applyBorder="1" applyAlignment="1" applyProtection="1">
      <alignment horizontal="center"/>
    </xf>
    <xf numFmtId="0" fontId="19" fillId="17" borderId="72" xfId="0" applyFont="1" applyFill="1" applyBorder="1" applyAlignment="1" applyProtection="1">
      <alignment horizontal="center"/>
    </xf>
    <xf numFmtId="5" fontId="19" fillId="17" borderId="129" xfId="0" applyNumberFormat="1" applyFont="1" applyFill="1" applyBorder="1" applyAlignment="1" applyProtection="1">
      <alignment horizontal="center" vertical="center"/>
    </xf>
    <xf numFmtId="5" fontId="19" fillId="17" borderId="130" xfId="0" applyNumberFormat="1" applyFont="1" applyFill="1" applyBorder="1" applyAlignment="1" applyProtection="1">
      <alignment horizontal="center" vertical="center"/>
    </xf>
    <xf numFmtId="5" fontId="19" fillId="17" borderId="17" xfId="0" applyNumberFormat="1" applyFont="1" applyFill="1" applyBorder="1" applyAlignment="1" applyProtection="1">
      <alignment horizontal="center" vertical="center"/>
    </xf>
    <xf numFmtId="0" fontId="19" fillId="7" borderId="131" xfId="0" applyFont="1" applyFill="1" applyBorder="1" applyAlignment="1" applyProtection="1">
      <alignment horizontal="center" vertical="center" wrapText="1"/>
    </xf>
    <xf numFmtId="0" fontId="19" fillId="7" borderId="24" xfId="0" applyFont="1" applyFill="1" applyBorder="1" applyAlignment="1" applyProtection="1">
      <alignment horizontal="center" vertical="center" wrapText="1"/>
    </xf>
    <xf numFmtId="5" fontId="19" fillId="17" borderId="139" xfId="0" applyNumberFormat="1" applyFont="1" applyFill="1" applyBorder="1" applyAlignment="1" applyProtection="1">
      <alignment horizontal="center" vertical="center" wrapText="1"/>
    </xf>
    <xf numFmtId="5" fontId="19" fillId="17" borderId="146" xfId="0" applyNumberFormat="1" applyFont="1" applyFill="1" applyBorder="1" applyAlignment="1" applyProtection="1">
      <alignment horizontal="center" vertical="center" wrapText="1"/>
    </xf>
    <xf numFmtId="5" fontId="19" fillId="17" borderId="23" xfId="0" applyNumberFormat="1" applyFont="1" applyFill="1" applyBorder="1" applyAlignment="1" applyProtection="1">
      <alignment horizontal="center" vertical="center" wrapText="1"/>
    </xf>
    <xf numFmtId="170" fontId="27" fillId="0" borderId="80" xfId="0" applyNumberFormat="1" applyFont="1" applyBorder="1" applyAlignment="1" applyProtection="1">
      <alignment vertical="center"/>
    </xf>
    <xf numFmtId="170" fontId="27" fillId="0" borderId="78" xfId="0" applyNumberFormat="1" applyFont="1" applyBorder="1" applyAlignment="1" applyProtection="1">
      <alignment vertical="center"/>
    </xf>
    <xf numFmtId="170" fontId="27" fillId="0" borderId="81" xfId="0" applyNumberFormat="1" applyFont="1" applyBorder="1" applyAlignment="1" applyProtection="1">
      <alignment vertical="center"/>
    </xf>
    <xf numFmtId="0" fontId="41" fillId="17" borderId="0" xfId="0" applyFont="1" applyFill="1" applyBorder="1" applyAlignment="1" applyProtection="1"/>
    <xf numFmtId="0" fontId="58" fillId="0" borderId="0" xfId="0" applyFont="1" applyBorder="1" applyAlignment="1" applyProtection="1">
      <alignment vertical="center" wrapText="1"/>
    </xf>
    <xf numFmtId="0" fontId="58" fillId="0" borderId="3" xfId="0" applyFont="1" applyBorder="1" applyAlignment="1" applyProtection="1">
      <alignment vertical="center" wrapText="1"/>
    </xf>
    <xf numFmtId="0" fontId="62" fillId="0" borderId="64" xfId="0" applyFont="1" applyBorder="1" applyAlignment="1" applyProtection="1">
      <alignment horizontal="right" wrapText="1"/>
    </xf>
    <xf numFmtId="0" fontId="62" fillId="0" borderId="46" xfId="0" applyFont="1" applyBorder="1" applyAlignment="1" applyProtection="1">
      <alignment horizontal="right" wrapText="1"/>
    </xf>
    <xf numFmtId="0" fontId="27" fillId="0" borderId="0" xfId="0" applyFont="1" applyFill="1" applyBorder="1" applyAlignment="1" applyProtection="1">
      <alignment horizontal="right"/>
    </xf>
    <xf numFmtId="0" fontId="22" fillId="17" borderId="259" xfId="0" applyFont="1" applyFill="1" applyBorder="1" applyAlignment="1" applyProtection="1"/>
    <xf numFmtId="0" fontId="22" fillId="17" borderId="255" xfId="0" applyFont="1" applyFill="1" applyBorder="1" applyAlignment="1" applyProtection="1"/>
    <xf numFmtId="0" fontId="18" fillId="0" borderId="96" xfId="0" applyFont="1" applyFill="1" applyBorder="1" applyAlignment="1" applyProtection="1">
      <protection locked="0"/>
    </xf>
    <xf numFmtId="0" fontId="18" fillId="0" borderId="103" xfId="0" applyFont="1" applyFill="1" applyBorder="1" applyAlignment="1" applyProtection="1">
      <protection locked="0"/>
    </xf>
    <xf numFmtId="0" fontId="18" fillId="0" borderId="89" xfId="0" applyFont="1" applyFill="1" applyBorder="1" applyAlignment="1" applyProtection="1">
      <protection locked="0"/>
    </xf>
    <xf numFmtId="0" fontId="18" fillId="0" borderId="116" xfId="0" applyFont="1" applyFill="1" applyBorder="1" applyAlignment="1" applyProtection="1">
      <protection locked="0"/>
    </xf>
    <xf numFmtId="0" fontId="22" fillId="0" borderId="288" xfId="0" applyFont="1" applyFill="1" applyBorder="1" applyAlignment="1" applyProtection="1"/>
    <xf numFmtId="0" fontId="22" fillId="0" borderId="428" xfId="0" applyFont="1" applyFill="1" applyBorder="1" applyAlignment="1" applyProtection="1"/>
    <xf numFmtId="0" fontId="18" fillId="0" borderId="453" xfId="0" applyFont="1" applyFill="1" applyBorder="1" applyAlignment="1" applyProtection="1">
      <protection locked="0"/>
    </xf>
    <xf numFmtId="0" fontId="18" fillId="0" borderId="454" xfId="0" applyFont="1" applyFill="1" applyBorder="1" applyAlignment="1" applyProtection="1">
      <protection locked="0"/>
    </xf>
    <xf numFmtId="0" fontId="18" fillId="0" borderId="82" xfId="0" applyFont="1" applyFill="1" applyBorder="1" applyAlignment="1" applyProtection="1">
      <protection locked="0"/>
    </xf>
    <xf numFmtId="0" fontId="18" fillId="0" borderId="88" xfId="0" applyFont="1" applyFill="1" applyBorder="1" applyAlignment="1" applyProtection="1">
      <protection locked="0"/>
    </xf>
    <xf numFmtId="0" fontId="46" fillId="0" borderId="0" xfId="0" applyFont="1" applyFill="1" applyBorder="1" applyAlignment="1" applyProtection="1"/>
    <xf numFmtId="0" fontId="18" fillId="0" borderId="96" xfId="0" applyFont="1" applyFill="1" applyBorder="1" applyAlignment="1" applyProtection="1">
      <alignment vertical="center"/>
      <protection locked="0"/>
    </xf>
    <xf numFmtId="0" fontId="18" fillId="0" borderId="103" xfId="0" applyFont="1" applyFill="1" applyBorder="1" applyAlignment="1" applyProtection="1">
      <alignment vertical="center"/>
      <protection locked="0"/>
    </xf>
    <xf numFmtId="0" fontId="18" fillId="0" borderId="82" xfId="0" applyFont="1" applyFill="1" applyBorder="1" applyAlignment="1" applyProtection="1">
      <alignment vertical="center"/>
      <protection locked="0"/>
    </xf>
    <xf numFmtId="0" fontId="18" fillId="0" borderId="88" xfId="0" applyFont="1" applyFill="1" applyBorder="1" applyAlignment="1" applyProtection="1">
      <alignment vertical="center"/>
      <protection locked="0"/>
    </xf>
    <xf numFmtId="0" fontId="18" fillId="0" borderId="89" xfId="0" applyFont="1" applyFill="1" applyBorder="1" applyAlignment="1" applyProtection="1">
      <alignment vertical="center"/>
      <protection locked="0"/>
    </xf>
    <xf numFmtId="0" fontId="18" fillId="0" borderId="116" xfId="0" applyFont="1" applyFill="1" applyBorder="1" applyAlignment="1" applyProtection="1">
      <alignment vertical="center"/>
      <protection locked="0"/>
    </xf>
    <xf numFmtId="0" fontId="22" fillId="17" borderId="255" xfId="0" applyFont="1" applyFill="1" applyBorder="1" applyAlignment="1" applyProtection="1">
      <alignment wrapText="1"/>
    </xf>
    <xf numFmtId="0" fontId="22" fillId="17" borderId="256" xfId="0" applyFont="1" applyFill="1" applyBorder="1" applyAlignment="1" applyProtection="1">
      <alignment wrapText="1"/>
    </xf>
    <xf numFmtId="0" fontId="18" fillId="0" borderId="539" xfId="0" applyFont="1" applyFill="1" applyBorder="1" applyAlignment="1" applyProtection="1">
      <protection locked="0"/>
    </xf>
    <xf numFmtId="0" fontId="18" fillId="0" borderId="540" xfId="0" applyFont="1" applyFill="1" applyBorder="1" applyAlignment="1" applyProtection="1">
      <protection locked="0"/>
    </xf>
    <xf numFmtId="0" fontId="18" fillId="0" borderId="542" xfId="0" applyFont="1" applyFill="1" applyBorder="1" applyAlignment="1" applyProtection="1">
      <protection locked="0"/>
    </xf>
    <xf numFmtId="0" fontId="18" fillId="0" borderId="543" xfId="0" applyFont="1" applyFill="1" applyBorder="1" applyAlignment="1" applyProtection="1">
      <protection locked="0"/>
    </xf>
    <xf numFmtId="0" fontId="18" fillId="0" borderId="544" xfId="0" applyFont="1" applyFill="1" applyBorder="1" applyAlignment="1" applyProtection="1">
      <protection locked="0"/>
    </xf>
    <xf numFmtId="0" fontId="18" fillId="0" borderId="545" xfId="0" applyFont="1" applyFill="1" applyBorder="1" applyAlignment="1" applyProtection="1">
      <protection locked="0"/>
    </xf>
    <xf numFmtId="0" fontId="22" fillId="0" borderId="12" xfId="0" applyFont="1" applyFill="1" applyBorder="1" applyAlignment="1" applyProtection="1"/>
    <xf numFmtId="0" fontId="22" fillId="0" borderId="14" xfId="0" applyFont="1" applyFill="1" applyBorder="1" applyAlignment="1" applyProtection="1"/>
    <xf numFmtId="0" fontId="50" fillId="0" borderId="15" xfId="0" applyFont="1" applyBorder="1" applyAlignment="1" applyProtection="1">
      <alignment horizontal="left" vertical="top" wrapText="1"/>
      <protection locked="0"/>
    </xf>
    <xf numFmtId="0" fontId="50" fillId="0" borderId="19" xfId="0" applyFont="1" applyBorder="1" applyAlignment="1" applyProtection="1">
      <alignment horizontal="left" vertical="top" wrapText="1"/>
      <protection locked="0"/>
    </xf>
    <xf numFmtId="0" fontId="50" fillId="0" borderId="21" xfId="0" applyFont="1" applyBorder="1" applyAlignment="1" applyProtection="1">
      <alignment horizontal="left" vertical="top" wrapText="1"/>
      <protection locked="0"/>
    </xf>
    <xf numFmtId="0" fontId="50" fillId="0" borderId="25" xfId="0" applyFont="1" applyBorder="1" applyAlignment="1" applyProtection="1">
      <alignment horizontal="left" vertical="top" wrapText="1"/>
      <protection locked="0"/>
    </xf>
    <xf numFmtId="0" fontId="50" fillId="0" borderId="0" xfId="0" applyFont="1" applyBorder="1" applyAlignment="1" applyProtection="1">
      <alignment horizontal="left" vertical="top" wrapText="1"/>
      <protection locked="0"/>
    </xf>
    <xf numFmtId="0" fontId="50" fillId="0" borderId="26"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0" fontId="50" fillId="0" borderId="6" xfId="0" applyFont="1" applyBorder="1" applyAlignment="1" applyProtection="1">
      <alignment horizontal="left" vertical="top" wrapText="1"/>
      <protection locked="0"/>
    </xf>
    <xf numFmtId="0" fontId="50" fillId="0" borderId="22" xfId="0" applyFont="1" applyBorder="1" applyAlignment="1" applyProtection="1">
      <alignment horizontal="left" vertical="top" wrapText="1"/>
      <protection locked="0"/>
    </xf>
    <xf numFmtId="0" fontId="9" fillId="6" borderId="6" xfId="0" applyFont="1" applyFill="1" applyBorder="1" applyAlignment="1" applyProtection="1">
      <alignment horizontal="left"/>
    </xf>
    <xf numFmtId="0" fontId="46" fillId="17" borderId="115" xfId="0" applyFont="1" applyFill="1" applyBorder="1" applyAlignment="1" applyProtection="1">
      <alignment vertical="center"/>
    </xf>
    <xf numFmtId="0" fontId="46" fillId="17" borderId="86" xfId="0" applyFont="1" applyFill="1" applyBorder="1" applyAlignment="1" applyProtection="1">
      <alignment vertical="center"/>
    </xf>
    <xf numFmtId="0" fontId="46" fillId="17" borderId="185" xfId="0" applyFont="1" applyFill="1" applyBorder="1" applyAlignment="1" applyProtection="1">
      <alignment vertical="center"/>
    </xf>
    <xf numFmtId="0" fontId="43" fillId="0" borderId="264" xfId="0" applyFont="1" applyFill="1" applyBorder="1" applyAlignment="1" applyProtection="1">
      <alignment vertical="center"/>
      <protection locked="0"/>
    </xf>
    <xf numFmtId="0" fontId="43" fillId="0" borderId="443" xfId="0" applyFont="1" applyFill="1" applyBorder="1" applyAlignment="1" applyProtection="1">
      <alignment vertical="center"/>
      <protection locked="0"/>
    </xf>
    <xf numFmtId="0" fontId="43" fillId="0" borderId="290" xfId="0" applyFont="1" applyFill="1" applyBorder="1" applyAlignment="1" applyProtection="1">
      <alignment vertical="center"/>
      <protection locked="0"/>
    </xf>
    <xf numFmtId="0" fontId="43" fillId="0" borderId="82" xfId="0" applyFont="1" applyFill="1" applyBorder="1" applyAlignment="1" applyProtection="1">
      <alignment vertical="center"/>
      <protection locked="0"/>
    </xf>
    <xf numFmtId="0" fontId="43" fillId="0" borderId="87" xfId="0" applyFont="1" applyFill="1" applyBorder="1" applyAlignment="1" applyProtection="1">
      <alignment vertical="center"/>
      <protection locked="0"/>
    </xf>
    <xf numFmtId="0" fontId="43" fillId="0" borderId="183" xfId="0" applyFont="1" applyFill="1" applyBorder="1" applyAlignment="1" applyProtection="1">
      <alignment vertical="center"/>
      <protection locked="0"/>
    </xf>
    <xf numFmtId="0" fontId="43" fillId="0" borderId="137" xfId="0" applyFont="1" applyFill="1" applyBorder="1" applyAlignment="1" applyProtection="1">
      <alignment vertical="center"/>
      <protection locked="0"/>
    </xf>
    <xf numFmtId="0" fontId="43" fillId="0" borderId="126" xfId="0" applyFont="1" applyFill="1" applyBorder="1" applyAlignment="1" applyProtection="1">
      <alignment vertical="center"/>
      <protection locked="0"/>
    </xf>
    <xf numFmtId="0" fontId="43" fillId="0" borderId="184" xfId="0" applyFont="1" applyFill="1" applyBorder="1" applyAlignment="1" applyProtection="1">
      <alignment vertical="center"/>
      <protection locked="0"/>
    </xf>
    <xf numFmtId="0" fontId="43" fillId="0" borderId="264" xfId="0" applyFont="1" applyFill="1" applyBorder="1" applyAlignment="1" applyProtection="1">
      <alignment vertical="center" wrapText="1"/>
      <protection locked="0"/>
    </xf>
    <xf numFmtId="0" fontId="43" fillId="0" borderId="269" xfId="0" applyFont="1" applyFill="1" applyBorder="1" applyAlignment="1" applyProtection="1">
      <alignment vertical="center" wrapText="1"/>
      <protection locked="0"/>
    </xf>
    <xf numFmtId="0" fontId="43" fillId="0" borderId="290" xfId="0" applyFont="1" applyFill="1" applyBorder="1" applyAlignment="1" applyProtection="1">
      <alignment vertical="center" wrapText="1"/>
      <protection locked="0"/>
    </xf>
    <xf numFmtId="0" fontId="43" fillId="0" borderId="82" xfId="0" applyFont="1" applyFill="1" applyBorder="1" applyAlignment="1" applyProtection="1">
      <alignment vertical="center" wrapText="1"/>
      <protection locked="0"/>
    </xf>
    <xf numFmtId="0" fontId="43" fillId="0" borderId="87" xfId="0" applyFont="1" applyFill="1" applyBorder="1" applyAlignment="1" applyProtection="1">
      <alignment vertical="center" wrapText="1"/>
      <protection locked="0"/>
    </xf>
    <xf numFmtId="0" fontId="43" fillId="0" borderId="183" xfId="0" applyFont="1" applyFill="1" applyBorder="1" applyAlignment="1" applyProtection="1">
      <alignment vertical="center" wrapText="1"/>
      <protection locked="0"/>
    </xf>
    <xf numFmtId="0" fontId="43" fillId="0" borderId="137" xfId="0" applyFont="1" applyFill="1" applyBorder="1" applyAlignment="1" applyProtection="1">
      <alignment vertical="center" wrapText="1"/>
      <protection locked="0"/>
    </xf>
    <xf numFmtId="0" fontId="43" fillId="0" borderId="126" xfId="0" applyFont="1" applyFill="1" applyBorder="1" applyAlignment="1" applyProtection="1">
      <alignment vertical="center" wrapText="1"/>
      <protection locked="0"/>
    </xf>
    <xf numFmtId="0" fontId="43" fillId="0" borderId="184" xfId="0" applyFont="1" applyFill="1" applyBorder="1" applyAlignment="1" applyProtection="1">
      <alignment vertical="center" wrapText="1"/>
      <protection locked="0"/>
    </xf>
    <xf numFmtId="0" fontId="22" fillId="17" borderId="265" xfId="0" applyFont="1" applyFill="1" applyBorder="1" applyAlignment="1" applyProtection="1">
      <alignment horizontal="center" vertical="center"/>
    </xf>
    <xf numFmtId="0" fontId="22" fillId="17" borderId="438" xfId="0" applyFont="1" applyFill="1" applyBorder="1" applyAlignment="1" applyProtection="1">
      <alignment horizontal="center" vertical="center"/>
    </xf>
    <xf numFmtId="0" fontId="22" fillId="17" borderId="267" xfId="0" applyFont="1" applyFill="1" applyBorder="1" applyAlignment="1" applyProtection="1">
      <alignment horizontal="center" vertical="center"/>
    </xf>
    <xf numFmtId="0" fontId="22" fillId="17" borderId="12" xfId="0" applyFont="1" applyFill="1" applyBorder="1" applyAlignment="1" applyProtection="1">
      <alignment horizontal="center" vertical="center"/>
    </xf>
    <xf numFmtId="0" fontId="22" fillId="17" borderId="13" xfId="0" applyFont="1" applyFill="1" applyBorder="1" applyAlignment="1" applyProtection="1">
      <alignment horizontal="center" vertical="center"/>
    </xf>
    <xf numFmtId="0" fontId="22" fillId="17" borderId="14" xfId="0" applyFont="1" applyFill="1" applyBorder="1" applyAlignment="1" applyProtection="1">
      <alignment horizontal="center" vertical="center"/>
    </xf>
    <xf numFmtId="0" fontId="22" fillId="17" borderId="339" xfId="0" applyFont="1" applyFill="1" applyBorder="1" applyAlignment="1" applyProtection="1">
      <alignment horizontal="center" vertical="center"/>
    </xf>
    <xf numFmtId="0" fontId="22" fillId="17" borderId="461" xfId="0" applyFont="1" applyFill="1" applyBorder="1" applyAlignment="1" applyProtection="1">
      <alignment horizontal="center" vertical="center"/>
    </xf>
    <xf numFmtId="0" fontId="22" fillId="17" borderId="462" xfId="0" applyFont="1" applyFill="1" applyBorder="1" applyAlignment="1" applyProtection="1">
      <alignment horizontal="center" vertical="center"/>
    </xf>
    <xf numFmtId="0" fontId="22" fillId="17" borderId="268" xfId="0" applyFont="1" applyFill="1" applyBorder="1" applyAlignment="1" applyProtection="1">
      <alignment horizontal="center" vertical="center" wrapText="1"/>
    </xf>
    <xf numFmtId="0" fontId="22" fillId="17" borderId="5" xfId="0" applyFont="1" applyFill="1" applyBorder="1" applyAlignment="1" applyProtection="1">
      <alignment horizontal="center" vertical="center" wrapText="1"/>
    </xf>
    <xf numFmtId="0" fontId="22" fillId="17" borderId="471" xfId="0" applyFont="1" applyFill="1" applyBorder="1" applyAlignment="1" applyProtection="1">
      <alignment horizontal="center" vertical="center" wrapText="1"/>
    </xf>
    <xf numFmtId="0" fontId="46" fillId="17" borderId="471" xfId="0" applyFont="1" applyFill="1" applyBorder="1" applyAlignment="1" applyProtection="1">
      <alignment horizontal="center" vertical="center" wrapText="1"/>
    </xf>
    <xf numFmtId="0" fontId="46" fillId="17" borderId="5" xfId="0" applyFont="1" applyFill="1" applyBorder="1" applyAlignment="1" applyProtection="1">
      <alignment horizontal="center" vertical="center" wrapText="1"/>
    </xf>
    <xf numFmtId="0" fontId="18" fillId="0" borderId="61" xfId="0" applyFont="1" applyFill="1" applyBorder="1" applyProtection="1">
      <protection locked="0"/>
    </xf>
    <xf numFmtId="0" fontId="18" fillId="0" borderId="59" xfId="0" applyFont="1" applyFill="1" applyBorder="1" applyProtection="1">
      <protection locked="0"/>
    </xf>
    <xf numFmtId="0" fontId="18" fillId="0" borderId="62" xfId="0" applyFont="1" applyFill="1" applyBorder="1" applyProtection="1">
      <protection locked="0"/>
    </xf>
    <xf numFmtId="0" fontId="18" fillId="0" borderId="154" xfId="0" applyFont="1" applyFill="1" applyBorder="1" applyProtection="1">
      <protection locked="0"/>
    </xf>
    <xf numFmtId="0" fontId="20" fillId="17" borderId="288" xfId="0" applyFont="1" applyFill="1" applyBorder="1" applyAlignment="1" applyProtection="1">
      <alignment horizontal="left"/>
    </xf>
    <xf numFmtId="0" fontId="20" fillId="17" borderId="252" xfId="0" applyFont="1" applyFill="1" applyBorder="1" applyAlignment="1" applyProtection="1">
      <alignment horizontal="left"/>
    </xf>
    <xf numFmtId="0" fontId="20" fillId="17" borderId="253" xfId="0" applyFont="1" applyFill="1" applyBorder="1" applyAlignment="1" applyProtection="1">
      <alignment horizontal="left"/>
    </xf>
    <xf numFmtId="0" fontId="18" fillId="0" borderId="455" xfId="0" applyFont="1" applyFill="1" applyBorder="1" applyAlignment="1" applyProtection="1">
      <alignment horizontal="left" vertical="top" wrapText="1"/>
      <protection locked="0"/>
    </xf>
    <xf numFmtId="0" fontId="18" fillId="0" borderId="438" xfId="0" applyFont="1" applyFill="1" applyBorder="1" applyAlignment="1" applyProtection="1">
      <alignment horizontal="left" vertical="top" wrapText="1"/>
      <protection locked="0"/>
    </xf>
    <xf numFmtId="0" fontId="18" fillId="0" borderId="444" xfId="0" applyFont="1" applyFill="1" applyBorder="1" applyAlignment="1" applyProtection="1">
      <alignment horizontal="left" vertical="top" wrapText="1"/>
      <protection locked="0"/>
    </xf>
    <xf numFmtId="0" fontId="18" fillId="0" borderId="421" xfId="0" applyFont="1" applyFill="1" applyBorder="1" applyAlignment="1" applyProtection="1">
      <alignment wrapText="1"/>
      <protection locked="0"/>
    </xf>
    <xf numFmtId="0" fontId="18" fillId="0" borderId="478" xfId="0" applyFont="1" applyFill="1" applyBorder="1" applyAlignment="1" applyProtection="1">
      <alignment wrapText="1"/>
      <protection locked="0"/>
    </xf>
    <xf numFmtId="0" fontId="18" fillId="17" borderId="288" xfId="0" applyFont="1" applyFill="1" applyBorder="1" applyAlignment="1" applyProtection="1">
      <alignment wrapText="1"/>
    </xf>
    <xf numFmtId="0" fontId="18" fillId="17" borderId="447" xfId="0" applyFont="1" applyFill="1" applyBorder="1" applyAlignment="1" applyProtection="1">
      <alignment wrapText="1"/>
    </xf>
    <xf numFmtId="0" fontId="18" fillId="0" borderId="421" xfId="0" applyFont="1" applyFill="1" applyBorder="1" applyProtection="1">
      <protection locked="0"/>
    </xf>
    <xf numFmtId="0" fontId="18" fillId="0" borderId="478" xfId="0" applyFont="1" applyFill="1" applyBorder="1" applyProtection="1">
      <protection locked="0"/>
    </xf>
    <xf numFmtId="0" fontId="0" fillId="0" borderId="80" xfId="0" applyFont="1" applyFill="1" applyBorder="1" applyProtection="1">
      <protection locked="0"/>
    </xf>
    <xf numFmtId="0" fontId="0" fillId="0" borderId="78" xfId="0" applyFont="1" applyFill="1" applyBorder="1" applyProtection="1">
      <protection locked="0"/>
    </xf>
    <xf numFmtId="0" fontId="0" fillId="0" borderId="81" xfId="0" applyFont="1" applyFill="1" applyBorder="1" applyProtection="1">
      <protection locked="0"/>
    </xf>
    <xf numFmtId="166" fontId="20" fillId="17" borderId="288" xfId="0" applyNumberFormat="1" applyFont="1" applyFill="1" applyBorder="1" applyAlignment="1" applyProtection="1">
      <alignment horizontal="center"/>
    </xf>
    <xf numFmtId="166" fontId="20" fillId="17" borderId="452" xfId="0" applyNumberFormat="1" applyFont="1" applyFill="1" applyBorder="1" applyAlignment="1" applyProtection="1">
      <alignment horizontal="center"/>
    </xf>
    <xf numFmtId="166" fontId="20" fillId="17" borderId="428" xfId="0" applyNumberFormat="1" applyFont="1" applyFill="1" applyBorder="1" applyAlignment="1" applyProtection="1">
      <alignment horizontal="center"/>
    </xf>
    <xf numFmtId="0" fontId="18" fillId="0" borderId="265" xfId="0" applyFont="1" applyFill="1" applyBorder="1" applyAlignment="1" applyProtection="1">
      <alignment horizontal="center" vertical="top" wrapText="1"/>
      <protection locked="0"/>
    </xf>
    <xf numFmtId="0" fontId="18" fillId="0" borderId="438" xfId="0" applyFont="1" applyFill="1" applyBorder="1" applyAlignment="1" applyProtection="1">
      <alignment horizontal="center" vertical="top" wrapText="1"/>
      <protection locked="0"/>
    </xf>
    <xf numFmtId="0" fontId="18" fillId="0" borderId="266" xfId="0" applyFont="1" applyFill="1" applyBorder="1" applyAlignment="1" applyProtection="1">
      <alignment horizontal="center" vertical="top" wrapText="1"/>
      <protection locked="0"/>
    </xf>
    <xf numFmtId="0" fontId="18" fillId="0" borderId="267"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vertical="top" wrapText="1"/>
      <protection locked="0"/>
    </xf>
    <xf numFmtId="0" fontId="18" fillId="0" borderId="3" xfId="0" applyFont="1" applyFill="1" applyBorder="1" applyAlignment="1" applyProtection="1">
      <alignment horizontal="center" vertical="top" wrapText="1"/>
      <protection locked="0"/>
    </xf>
    <xf numFmtId="0" fontId="18" fillId="0" borderId="12" xfId="0" applyFont="1" applyFill="1" applyBorder="1" applyAlignment="1" applyProtection="1">
      <alignment horizontal="center" vertical="top" wrapText="1"/>
      <protection locked="0"/>
    </xf>
    <xf numFmtId="0" fontId="18" fillId="0" borderId="13" xfId="0" applyFont="1" applyFill="1" applyBorder="1" applyAlignment="1" applyProtection="1">
      <alignment horizontal="center" vertical="top" wrapText="1"/>
      <protection locked="0"/>
    </xf>
    <xf numFmtId="0" fontId="18" fillId="0" borderId="14" xfId="0" applyFont="1" applyFill="1" applyBorder="1" applyAlignment="1" applyProtection="1">
      <alignment horizontal="center" vertical="top" wrapText="1"/>
      <protection locked="0"/>
    </xf>
    <xf numFmtId="3" fontId="20" fillId="0" borderId="12" xfId="0" applyNumberFormat="1" applyFont="1" applyFill="1" applyBorder="1" applyProtection="1"/>
    <xf numFmtId="3" fontId="20" fillId="0" borderId="13" xfId="0" applyNumberFormat="1" applyFont="1" applyFill="1" applyBorder="1" applyProtection="1"/>
    <xf numFmtId="0" fontId="20" fillId="17" borderId="288" xfId="0" applyFont="1" applyFill="1" applyBorder="1" applyAlignment="1" applyProtection="1">
      <alignment horizontal="center"/>
    </xf>
    <xf numFmtId="0" fontId="20" fillId="17" borderId="452" xfId="0" applyFont="1" applyFill="1" applyBorder="1" applyAlignment="1" applyProtection="1">
      <alignment horizontal="center"/>
    </xf>
    <xf numFmtId="0" fontId="20" fillId="17" borderId="252" xfId="0" applyFont="1" applyFill="1" applyBorder="1" applyAlignment="1" applyProtection="1">
      <alignment horizontal="center"/>
    </xf>
    <xf numFmtId="0" fontId="20" fillId="17" borderId="253" xfId="0" applyFont="1" applyFill="1" applyBorder="1" applyAlignment="1" applyProtection="1">
      <alignment horizontal="center"/>
    </xf>
    <xf numFmtId="0" fontId="18" fillId="0" borderId="486" xfId="0" applyFont="1" applyFill="1" applyBorder="1" applyAlignment="1" applyProtection="1">
      <alignment wrapText="1"/>
      <protection locked="0"/>
    </xf>
    <xf numFmtId="0" fontId="18" fillId="0" borderId="487" xfId="0" applyFont="1" applyFill="1" applyBorder="1" applyAlignment="1" applyProtection="1">
      <alignment wrapText="1"/>
      <protection locked="0"/>
    </xf>
    <xf numFmtId="0" fontId="66" fillId="0" borderId="0" xfId="0" applyFont="1" applyFill="1" applyBorder="1" applyAlignment="1" applyProtection="1">
      <alignment horizontal="right" vertical="center"/>
    </xf>
    <xf numFmtId="0" fontId="18" fillId="0" borderId="0" xfId="0" applyFont="1" applyFill="1" applyAlignment="1" applyProtection="1">
      <alignment horizontal="right" vertical="center"/>
    </xf>
    <xf numFmtId="0" fontId="18" fillId="0" borderId="3" xfId="0" applyFont="1" applyFill="1" applyBorder="1" applyAlignment="1" applyProtection="1">
      <alignment horizontal="right" vertical="center"/>
    </xf>
    <xf numFmtId="0" fontId="66" fillId="0" borderId="354" xfId="0" applyFont="1" applyFill="1" applyBorder="1" applyAlignment="1" applyProtection="1">
      <alignment horizontal="right" vertical="center"/>
    </xf>
    <xf numFmtId="0" fontId="66" fillId="0" borderId="355" xfId="0" applyFont="1" applyFill="1" applyBorder="1" applyAlignment="1" applyProtection="1">
      <alignment horizontal="right" vertical="center"/>
    </xf>
    <xf numFmtId="0" fontId="66" fillId="0" borderId="3" xfId="0" applyFont="1" applyFill="1" applyBorder="1" applyAlignment="1" applyProtection="1">
      <alignment horizontal="right" vertical="center"/>
    </xf>
    <xf numFmtId="0" fontId="18" fillId="6" borderId="61" xfId="0" applyNumberFormat="1" applyFont="1" applyFill="1" applyBorder="1" applyAlignment="1" applyProtection="1">
      <alignment horizontal="left"/>
    </xf>
    <xf numFmtId="0" fontId="18" fillId="6" borderId="333" xfId="0" applyNumberFormat="1" applyFont="1" applyFill="1" applyBorder="1" applyAlignment="1" applyProtection="1">
      <alignment horizontal="left"/>
    </xf>
    <xf numFmtId="0" fontId="18" fillId="6" borderId="331" xfId="0" applyNumberFormat="1" applyFont="1" applyFill="1" applyBorder="1" applyAlignment="1" applyProtection="1">
      <alignment horizontal="left"/>
    </xf>
    <xf numFmtId="49" fontId="18" fillId="6" borderId="62" xfId="0" applyNumberFormat="1" applyFont="1" applyFill="1" applyBorder="1" applyAlignment="1" applyProtection="1">
      <alignment horizontal="left"/>
    </xf>
    <xf numFmtId="0" fontId="18" fillId="6" borderId="337" xfId="0" applyNumberFormat="1" applyFont="1" applyFill="1" applyBorder="1" applyAlignment="1" applyProtection="1">
      <alignment horizontal="left"/>
    </xf>
    <xf numFmtId="0" fontId="18" fillId="6" borderId="315" xfId="0" applyNumberFormat="1" applyFont="1" applyFill="1" applyBorder="1" applyAlignment="1" applyProtection="1">
      <alignment horizontal="left"/>
    </xf>
    <xf numFmtId="0" fontId="18" fillId="6" borderId="61" xfId="0" applyNumberFormat="1" applyFont="1" applyFill="1" applyBorder="1" applyAlignment="1" applyProtection="1"/>
    <xf numFmtId="0" fontId="18" fillId="6" borderId="333" xfId="0" applyNumberFormat="1" applyFont="1" applyFill="1" applyBorder="1" applyAlignment="1" applyProtection="1"/>
    <xf numFmtId="0" fontId="18" fillId="6" borderId="331" xfId="0" applyNumberFormat="1" applyFont="1" applyFill="1" applyBorder="1" applyAlignment="1" applyProtection="1"/>
    <xf numFmtId="0" fontId="40" fillId="23" borderId="0" xfId="0" applyFont="1" applyFill="1" applyBorder="1" applyAlignment="1" applyProtection="1">
      <alignment vertical="center"/>
    </xf>
    <xf numFmtId="0" fontId="18" fillId="6" borderId="332" xfId="0" applyNumberFormat="1" applyFont="1" applyFill="1" applyBorder="1" applyAlignment="1" applyProtection="1"/>
    <xf numFmtId="0" fontId="18" fillId="6" borderId="334" xfId="0" applyNumberFormat="1" applyFont="1" applyFill="1" applyBorder="1" applyAlignment="1" applyProtection="1"/>
    <xf numFmtId="0" fontId="18" fillId="6" borderId="314" xfId="0" applyNumberFormat="1" applyFont="1" applyFill="1" applyBorder="1" applyAlignment="1" applyProtection="1"/>
    <xf numFmtId="0" fontId="46" fillId="6" borderId="80" xfId="0" applyNumberFormat="1" applyFont="1" applyFill="1" applyBorder="1" applyAlignment="1" applyProtection="1">
      <alignment vertical="center"/>
    </xf>
    <xf numFmtId="0" fontId="46" fillId="6" borderId="78" xfId="0" applyNumberFormat="1" applyFont="1" applyFill="1" applyBorder="1" applyAlignment="1" applyProtection="1">
      <alignment vertical="center"/>
    </xf>
    <xf numFmtId="0" fontId="18" fillId="6" borderId="332" xfId="0" applyNumberFormat="1" applyFont="1" applyFill="1" applyBorder="1" applyAlignment="1" applyProtection="1">
      <alignment horizontal="left"/>
    </xf>
    <xf numFmtId="0" fontId="18" fillId="6" borderId="334" xfId="0" applyNumberFormat="1" applyFont="1" applyFill="1" applyBorder="1" applyAlignment="1" applyProtection="1">
      <alignment horizontal="left"/>
    </xf>
    <xf numFmtId="0" fontId="18" fillId="6" borderId="314" xfId="0" applyNumberFormat="1" applyFont="1" applyFill="1" applyBorder="1" applyAlignment="1" applyProtection="1">
      <alignment horizontal="left"/>
    </xf>
    <xf numFmtId="44" fontId="43" fillId="0" borderId="370" xfId="0" applyNumberFormat="1" applyFont="1" applyFill="1" applyBorder="1" applyAlignment="1" applyProtection="1">
      <alignment horizontal="right" vertical="center"/>
      <protection locked="0"/>
    </xf>
    <xf numFmtId="44" fontId="43" fillId="0" borderId="88" xfId="0" applyNumberFormat="1" applyFont="1" applyFill="1" applyBorder="1" applyAlignment="1" applyProtection="1">
      <alignment horizontal="right" vertical="center"/>
      <protection locked="0"/>
    </xf>
    <xf numFmtId="44" fontId="43" fillId="0" borderId="398" xfId="0" applyNumberFormat="1" applyFont="1" applyFill="1" applyBorder="1" applyAlignment="1" applyProtection="1">
      <alignment horizontal="right" vertical="center"/>
      <protection locked="0"/>
    </xf>
    <xf numFmtId="44" fontId="43" fillId="0" borderId="116" xfId="0" applyNumberFormat="1" applyFont="1" applyFill="1" applyBorder="1" applyAlignment="1" applyProtection="1">
      <alignment horizontal="right" vertical="center"/>
      <protection locked="0"/>
    </xf>
    <xf numFmtId="49" fontId="43" fillId="0" borderId="264" xfId="0" applyNumberFormat="1" applyFont="1" applyFill="1" applyBorder="1" applyAlignment="1" applyProtection="1">
      <alignment horizontal="left" vertical="center"/>
      <protection locked="0"/>
    </xf>
    <xf numFmtId="49" fontId="43" fillId="0" borderId="269" xfId="0" applyNumberFormat="1" applyFont="1" applyFill="1" applyBorder="1" applyAlignment="1" applyProtection="1">
      <alignment horizontal="left" vertical="center"/>
      <protection locked="0"/>
    </xf>
    <xf numFmtId="49" fontId="43" fillId="0" borderId="367" xfId="0" applyNumberFormat="1" applyFont="1" applyFill="1" applyBorder="1" applyAlignment="1" applyProtection="1">
      <alignment horizontal="left" vertical="center"/>
      <protection locked="0"/>
    </xf>
    <xf numFmtId="49" fontId="43" fillId="0" borderId="82" xfId="0" applyNumberFormat="1" applyFont="1" applyFill="1" applyBorder="1" applyAlignment="1" applyProtection="1">
      <alignment horizontal="left" vertical="center"/>
      <protection locked="0"/>
    </xf>
    <xf numFmtId="49" fontId="43" fillId="0" borderId="87" xfId="0" applyNumberFormat="1" applyFont="1" applyFill="1" applyBorder="1" applyAlignment="1" applyProtection="1">
      <alignment horizontal="left" vertical="center"/>
      <protection locked="0"/>
    </xf>
    <xf numFmtId="49" fontId="43" fillId="0" borderId="369" xfId="0" applyNumberFormat="1" applyFont="1" applyFill="1" applyBorder="1" applyAlignment="1" applyProtection="1">
      <alignment horizontal="left" vertical="center"/>
      <protection locked="0"/>
    </xf>
    <xf numFmtId="49" fontId="43" fillId="0" borderId="89" xfId="0" applyNumberFormat="1" applyFont="1" applyFill="1" applyBorder="1" applyAlignment="1" applyProtection="1">
      <alignment horizontal="left" vertical="center"/>
      <protection locked="0"/>
    </xf>
    <xf numFmtId="49" fontId="43" fillId="0" borderId="90" xfId="0" applyNumberFormat="1" applyFont="1" applyFill="1" applyBorder="1" applyAlignment="1" applyProtection="1">
      <alignment horizontal="left" vertical="center"/>
      <protection locked="0"/>
    </xf>
    <xf numFmtId="49" fontId="43" fillId="0" borderId="371" xfId="0" applyNumberFormat="1" applyFont="1" applyFill="1" applyBorder="1" applyAlignment="1" applyProtection="1">
      <alignment horizontal="left" vertical="center"/>
      <protection locked="0"/>
    </xf>
    <xf numFmtId="49" fontId="43" fillId="0" borderId="82" xfId="0" applyNumberFormat="1" applyFont="1" applyFill="1" applyBorder="1" applyAlignment="1" applyProtection="1">
      <alignment vertical="center"/>
      <protection locked="0"/>
    </xf>
    <xf numFmtId="49" fontId="43" fillId="0" borderId="87" xfId="0" applyNumberFormat="1" applyFont="1" applyFill="1" applyBorder="1" applyAlignment="1" applyProtection="1">
      <alignment vertical="center"/>
      <protection locked="0"/>
    </xf>
    <xf numFmtId="49" fontId="43" fillId="0" borderId="369" xfId="0" applyNumberFormat="1" applyFont="1" applyFill="1" applyBorder="1" applyAlignment="1" applyProtection="1">
      <alignment vertical="center"/>
      <protection locked="0"/>
    </xf>
    <xf numFmtId="0" fontId="46" fillId="17" borderId="288" xfId="0" applyFont="1" applyFill="1" applyBorder="1" applyAlignment="1" applyProtection="1">
      <alignment horizontal="center" vertical="center"/>
    </xf>
    <xf numFmtId="0" fontId="46" fillId="17" borderId="253" xfId="0" applyFont="1" applyFill="1" applyBorder="1" applyAlignment="1" applyProtection="1">
      <alignment horizontal="center" vertical="center"/>
    </xf>
    <xf numFmtId="0" fontId="43" fillId="0" borderId="80" xfId="0" applyFont="1" applyFill="1" applyBorder="1" applyAlignment="1" applyProtection="1">
      <alignment vertical="center"/>
      <protection locked="0"/>
    </xf>
    <xf numFmtId="0" fontId="43" fillId="0" borderId="475" xfId="0" applyFont="1" applyFill="1" applyBorder="1" applyAlignment="1" applyProtection="1">
      <alignment vertical="center"/>
      <protection locked="0"/>
    </xf>
    <xf numFmtId="0" fontId="43" fillId="0" borderId="81" xfId="0" applyFont="1" applyFill="1" applyBorder="1" applyAlignment="1" applyProtection="1">
      <alignment vertical="center"/>
      <protection locked="0"/>
    </xf>
    <xf numFmtId="44" fontId="43" fillId="0" borderId="368" xfId="0" applyNumberFormat="1" applyFont="1" applyFill="1" applyBorder="1" applyAlignment="1" applyProtection="1">
      <alignment horizontal="right" vertical="center"/>
      <protection locked="0"/>
    </xf>
    <xf numFmtId="44" fontId="43" fillId="0" borderId="270" xfId="0" applyNumberFormat="1" applyFont="1" applyFill="1" applyBorder="1" applyAlignment="1" applyProtection="1">
      <alignment horizontal="right" vertical="center"/>
      <protection locked="0"/>
    </xf>
    <xf numFmtId="0" fontId="43" fillId="0" borderId="0" xfId="0" applyFont="1" applyFill="1" applyBorder="1" applyAlignment="1" applyProtection="1">
      <alignment horizontal="left" vertical="center" wrapText="1"/>
    </xf>
    <xf numFmtId="0" fontId="43" fillId="0" borderId="3" xfId="0" applyFont="1" applyFill="1" applyBorder="1" applyAlignment="1" applyProtection="1">
      <alignment horizontal="left" vertical="center" wrapText="1"/>
    </xf>
    <xf numFmtId="0" fontId="18" fillId="0" borderId="460"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432" xfId="0" applyFont="1" applyBorder="1" applyAlignment="1" applyProtection="1">
      <alignment vertical="top" wrapText="1"/>
      <protection locked="0"/>
    </xf>
    <xf numFmtId="0" fontId="18" fillId="0" borderId="438" xfId="0" applyFont="1" applyBorder="1" applyAlignment="1" applyProtection="1">
      <alignment vertical="top" wrapText="1"/>
      <protection locked="0"/>
    </xf>
    <xf numFmtId="0" fontId="18" fillId="0" borderId="439" xfId="0" applyFont="1" applyBorder="1" applyAlignment="1" applyProtection="1">
      <alignment vertical="top" wrapText="1"/>
      <protection locked="0"/>
    </xf>
    <xf numFmtId="0" fontId="18" fillId="0" borderId="2"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12" xfId="0" applyFont="1" applyBorder="1" applyAlignment="1" applyProtection="1">
      <alignment vertical="top" wrapText="1"/>
      <protection locked="0"/>
    </xf>
    <xf numFmtId="0" fontId="18" fillId="0" borderId="461" xfId="0" applyFont="1" applyBorder="1" applyAlignment="1" applyProtection="1">
      <alignment vertical="top" wrapText="1"/>
      <protection locked="0"/>
    </xf>
    <xf numFmtId="0" fontId="18" fillId="0" borderId="462" xfId="0" applyFont="1" applyBorder="1" applyAlignment="1" applyProtection="1">
      <alignment vertical="top" wrapText="1"/>
      <protection locked="0"/>
    </xf>
    <xf numFmtId="0" fontId="18" fillId="0" borderId="78" xfId="0" applyFont="1" applyFill="1" applyBorder="1" applyAlignment="1" applyProtection="1">
      <protection locked="0"/>
    </xf>
    <xf numFmtId="0" fontId="18" fillId="0" borderId="72" xfId="0" applyFont="1" applyFill="1" applyBorder="1" applyAlignment="1" applyProtection="1">
      <protection locked="0"/>
    </xf>
    <xf numFmtId="0" fontId="18" fillId="0" borderId="6" xfId="0" applyFont="1" applyFill="1" applyBorder="1" applyAlignment="1" applyProtection="1">
      <protection locked="0"/>
    </xf>
    <xf numFmtId="0" fontId="18" fillId="0" borderId="29" xfId="0" applyFont="1" applyFill="1" applyBorder="1" applyAlignment="1" applyProtection="1">
      <protection locked="0"/>
    </xf>
    <xf numFmtId="0" fontId="72" fillId="0" borderId="265" xfId="0" applyFont="1" applyFill="1" applyBorder="1" applyProtection="1"/>
    <xf numFmtId="0" fontId="72" fillId="0" borderId="266" xfId="0" applyFont="1" applyFill="1" applyBorder="1" applyProtection="1"/>
    <xf numFmtId="0" fontId="72" fillId="0" borderId="267" xfId="0" applyFont="1" applyFill="1" applyBorder="1" applyProtection="1"/>
    <xf numFmtId="0" fontId="18" fillId="0" borderId="78" xfId="0" applyFont="1" applyFill="1" applyBorder="1" applyAlignment="1" applyProtection="1">
      <alignment horizontal="left"/>
      <protection locked="0"/>
    </xf>
    <xf numFmtId="0" fontId="18" fillId="0" borderId="72" xfId="0" applyFont="1" applyFill="1" applyBorder="1" applyAlignment="1" applyProtection="1">
      <alignment horizontal="left"/>
      <protection locked="0"/>
    </xf>
    <xf numFmtId="0" fontId="18" fillId="0" borderId="475" xfId="0" applyFont="1" applyFill="1" applyBorder="1" applyAlignment="1" applyProtection="1">
      <protection locked="0"/>
    </xf>
    <xf numFmtId="0" fontId="18" fillId="0" borderId="476" xfId="0" applyFont="1" applyFill="1" applyBorder="1" applyAlignment="1" applyProtection="1">
      <protection locked="0"/>
    </xf>
    <xf numFmtId="0" fontId="72" fillId="0" borderId="339" xfId="0" applyFont="1" applyFill="1" applyBorder="1" applyProtection="1"/>
    <xf numFmtId="0" fontId="3" fillId="0" borderId="6" xfId="48" applyFont="1" applyFill="1" applyBorder="1" applyProtection="1">
      <protection locked="0"/>
    </xf>
    <xf numFmtId="0" fontId="18" fillId="0" borderId="29" xfId="0" applyFont="1" applyFill="1" applyBorder="1" applyProtection="1">
      <protection locked="0"/>
    </xf>
    <xf numFmtId="0" fontId="18" fillId="6" borderId="475" xfId="0" applyFont="1" applyFill="1" applyBorder="1" applyAlignment="1" applyProtection="1"/>
    <xf numFmtId="0" fontId="18" fillId="6" borderId="476" xfId="0" applyFont="1" applyFill="1" applyBorder="1" applyAlignment="1" applyProtection="1"/>
    <xf numFmtId="0" fontId="18" fillId="6" borderId="6" xfId="0" applyFont="1" applyFill="1" applyBorder="1" applyAlignment="1" applyProtection="1"/>
    <xf numFmtId="0" fontId="18" fillId="6" borderId="29" xfId="0" applyFont="1" applyFill="1" applyBorder="1" applyAlignment="1" applyProtection="1"/>
    <xf numFmtId="0" fontId="18" fillId="6" borderId="475" xfId="0" applyFont="1" applyFill="1" applyBorder="1" applyProtection="1"/>
    <xf numFmtId="0" fontId="17" fillId="6" borderId="29" xfId="0" applyFont="1" applyFill="1" applyBorder="1" applyAlignment="1" applyProtection="1"/>
    <xf numFmtId="0" fontId="23" fillId="0" borderId="31" xfId="0" applyFont="1" applyFill="1" applyBorder="1" applyAlignment="1" applyProtection="1">
      <alignment horizontal="center" wrapText="1"/>
    </xf>
    <xf numFmtId="0" fontId="23" fillId="0" borderId="31" xfId="0" applyFont="1" applyFill="1" applyBorder="1" applyAlignment="1" applyProtection="1">
      <alignment horizontal="center"/>
    </xf>
    <xf numFmtId="0" fontId="23" fillId="0" borderId="32" xfId="0" applyFont="1" applyFill="1" applyBorder="1" applyAlignment="1" applyProtection="1">
      <alignment horizontal="center"/>
    </xf>
    <xf numFmtId="0" fontId="18" fillId="0" borderId="19" xfId="0" applyFont="1" applyFill="1" applyBorder="1" applyAlignment="1" applyProtection="1">
      <alignment horizontal="left" textRotation="90" wrapText="1"/>
    </xf>
    <xf numFmtId="0" fontId="18" fillId="0" borderId="312" xfId="0" applyFont="1" applyFill="1" applyBorder="1" applyAlignment="1" applyProtection="1">
      <alignment horizontal="left" textRotation="90" wrapText="1"/>
    </xf>
    <xf numFmtId="0" fontId="18" fillId="0" borderId="0" xfId="0" applyFont="1" applyFill="1" applyBorder="1" applyAlignment="1" applyProtection="1">
      <alignment horizontal="left" textRotation="90" wrapText="1"/>
    </xf>
    <xf numFmtId="0" fontId="18" fillId="0" borderId="19" xfId="0" applyFont="1" applyFill="1" applyBorder="1" applyAlignment="1" applyProtection="1">
      <alignment horizontal="left" textRotation="90"/>
    </xf>
    <xf numFmtId="0" fontId="0" fillId="0" borderId="0" xfId="0" applyFont="1" applyFill="1" applyBorder="1" applyProtection="1"/>
    <xf numFmtId="0" fontId="0" fillId="0" borderId="312" xfId="0" applyFont="1" applyFill="1" applyBorder="1" applyProtection="1"/>
    <xf numFmtId="0" fontId="18" fillId="21" borderId="80" xfId="0" applyFont="1" applyFill="1" applyBorder="1" applyAlignment="1" applyProtection="1">
      <alignment horizontal="left" vertical="top" wrapText="1"/>
    </xf>
    <xf numFmtId="0" fontId="18" fillId="21" borderId="81" xfId="0" applyFont="1" applyFill="1" applyBorder="1" applyAlignment="1" applyProtection="1">
      <alignment horizontal="left" vertical="top" wrapText="1"/>
    </xf>
    <xf numFmtId="0" fontId="18" fillId="17" borderId="26" xfId="0" applyFont="1" applyFill="1" applyBorder="1" applyAlignment="1" applyProtection="1">
      <alignment horizontal="left" textRotation="90"/>
    </xf>
    <xf numFmtId="0" fontId="18" fillId="17" borderId="422" xfId="0" applyFont="1" applyFill="1" applyBorder="1" applyAlignment="1" applyProtection="1">
      <alignment horizontal="left" textRotation="90"/>
    </xf>
    <xf numFmtId="0" fontId="18" fillId="0" borderId="129" xfId="0" applyFont="1" applyFill="1" applyBorder="1" applyAlignment="1" applyProtection="1">
      <alignment horizontal="left" textRotation="90"/>
      <protection locked="0"/>
    </xf>
    <xf numFmtId="0" fontId="18" fillId="0" borderId="130" xfId="0" applyFont="1" applyFill="1" applyBorder="1" applyAlignment="1" applyProtection="1">
      <alignment horizontal="left" textRotation="90"/>
      <protection locked="0"/>
    </xf>
    <xf numFmtId="0" fontId="18" fillId="0" borderId="4" xfId="0" applyFont="1" applyFill="1" applyBorder="1" applyAlignment="1" applyProtection="1">
      <alignment horizontal="left" textRotation="90"/>
      <protection locked="0"/>
    </xf>
    <xf numFmtId="0" fontId="46" fillId="17" borderId="288" xfId="0" applyFont="1" applyFill="1" applyBorder="1" applyAlignment="1" applyProtection="1">
      <alignment horizontal="left" vertical="center"/>
    </xf>
    <xf numFmtId="0" fontId="46" fillId="17" borderId="303" xfId="0" applyFont="1" applyFill="1" applyBorder="1" applyAlignment="1" applyProtection="1">
      <alignment horizontal="left" vertical="center"/>
    </xf>
    <xf numFmtId="0" fontId="3" fillId="5" borderId="155" xfId="48" applyFont="1" applyFill="1" applyBorder="1" applyAlignment="1" applyProtection="1">
      <alignment wrapText="1"/>
      <protection locked="0"/>
    </xf>
    <xf numFmtId="0" fontId="3" fillId="5" borderId="412" xfId="48" applyFont="1" applyFill="1" applyBorder="1" applyAlignment="1" applyProtection="1">
      <alignment wrapText="1"/>
      <protection locked="0"/>
    </xf>
    <xf numFmtId="0" fontId="3" fillId="5" borderId="61" xfId="48" applyFont="1" applyFill="1" applyBorder="1" applyAlignment="1" applyProtection="1">
      <alignment wrapText="1"/>
      <protection locked="0"/>
    </xf>
    <xf numFmtId="0" fontId="3" fillId="5" borderId="60" xfId="48" applyFont="1" applyFill="1" applyBorder="1" applyAlignment="1" applyProtection="1">
      <alignment wrapText="1"/>
      <protection locked="0"/>
    </xf>
    <xf numFmtId="0" fontId="18" fillId="5" borderId="61" xfId="0" applyFont="1" applyFill="1" applyBorder="1" applyAlignment="1" applyProtection="1">
      <alignment wrapText="1"/>
      <protection locked="0"/>
    </xf>
    <xf numFmtId="0" fontId="18" fillId="5" borderId="60" xfId="0" applyFont="1" applyFill="1" applyBorder="1" applyAlignment="1" applyProtection="1">
      <alignment wrapText="1"/>
      <protection locked="0"/>
    </xf>
    <xf numFmtId="0" fontId="22" fillId="5" borderId="62" xfId="0" applyFont="1" applyFill="1" applyBorder="1" applyAlignment="1" applyProtection="1">
      <alignment horizontal="left"/>
      <protection locked="0"/>
    </xf>
    <xf numFmtId="0" fontId="22" fillId="5" borderId="413" xfId="0" applyFont="1" applyFill="1" applyBorder="1" applyAlignment="1" applyProtection="1">
      <alignment horizontal="left"/>
      <protection locked="0"/>
    </xf>
    <xf numFmtId="0" fontId="18" fillId="5" borderId="61" xfId="0" applyFont="1" applyFill="1" applyBorder="1" applyAlignment="1" applyProtection="1">
      <alignment horizontal="left"/>
      <protection locked="0"/>
    </xf>
    <xf numFmtId="0" fontId="18" fillId="5" borderId="60" xfId="0" applyFont="1" applyFill="1" applyBorder="1" applyAlignment="1" applyProtection="1">
      <alignment horizontal="left"/>
      <protection locked="0"/>
    </xf>
    <xf numFmtId="0" fontId="22" fillId="5" borderId="62" xfId="0" applyFont="1" applyFill="1" applyBorder="1" applyAlignment="1" applyProtection="1">
      <alignment wrapText="1"/>
      <protection locked="0"/>
    </xf>
    <xf numFmtId="0" fontId="22" fillId="5" borderId="413" xfId="0" applyFont="1" applyFill="1" applyBorder="1" applyAlignment="1" applyProtection="1">
      <alignment wrapText="1"/>
      <protection locked="0"/>
    </xf>
    <xf numFmtId="0" fontId="3" fillId="5" borderId="155" xfId="48" applyFont="1" applyFill="1" applyBorder="1" applyAlignment="1" applyProtection="1">
      <alignment horizontal="left"/>
      <protection locked="0"/>
    </xf>
    <xf numFmtId="0" fontId="3" fillId="5" borderId="412" xfId="48" applyFont="1" applyFill="1" applyBorder="1" applyAlignment="1" applyProtection="1">
      <alignment horizontal="left"/>
      <protection locked="0"/>
    </xf>
    <xf numFmtId="0" fontId="3" fillId="5" borderId="61" xfId="0" applyFont="1" applyFill="1" applyBorder="1" applyAlignment="1" applyProtection="1">
      <alignment horizontal="left"/>
      <protection locked="0"/>
    </xf>
    <xf numFmtId="0" fontId="3" fillId="5" borderId="60" xfId="0" applyFont="1" applyFill="1" applyBorder="1" applyAlignment="1" applyProtection="1">
      <alignment horizontal="left"/>
      <protection locked="0"/>
    </xf>
    <xf numFmtId="0" fontId="18" fillId="17" borderId="80" xfId="0" applyFont="1" applyFill="1" applyBorder="1" applyAlignment="1" applyProtection="1"/>
    <xf numFmtId="0" fontId="18" fillId="17" borderId="81" xfId="0" applyFont="1" applyFill="1" applyBorder="1" applyAlignment="1" applyProtection="1"/>
    <xf numFmtId="0" fontId="18" fillId="0" borderId="61" xfId="0" applyFont="1" applyFill="1" applyBorder="1" applyAlignment="1" applyProtection="1">
      <protection locked="0"/>
    </xf>
    <xf numFmtId="0" fontId="18" fillId="0" borderId="60" xfId="0" applyFont="1" applyFill="1" applyBorder="1" applyAlignment="1" applyProtection="1">
      <protection locked="0"/>
    </xf>
    <xf numFmtId="0" fontId="18" fillId="0" borderId="62" xfId="0" applyFont="1" applyBorder="1" applyAlignment="1" applyProtection="1">
      <protection locked="0"/>
    </xf>
    <xf numFmtId="0" fontId="18" fillId="0" borderId="413" xfId="0" applyFont="1" applyBorder="1" applyAlignment="1" applyProtection="1">
      <protection locked="0"/>
    </xf>
    <xf numFmtId="0" fontId="18" fillId="0" borderId="155" xfId="0" applyFont="1" applyBorder="1" applyAlignment="1" applyProtection="1">
      <protection locked="0"/>
    </xf>
    <xf numFmtId="0" fontId="18" fillId="0" borderId="412" xfId="0" applyFont="1" applyBorder="1" applyAlignment="1" applyProtection="1">
      <protection locked="0"/>
    </xf>
    <xf numFmtId="0" fontId="18" fillId="0" borderId="61" xfId="0" applyFont="1" applyBorder="1" applyAlignment="1" applyProtection="1">
      <protection locked="0"/>
    </xf>
    <xf numFmtId="0" fontId="18" fillId="0" borderId="60" xfId="0" applyFont="1" applyBorder="1" applyAlignment="1" applyProtection="1">
      <protection locked="0"/>
    </xf>
    <xf numFmtId="0" fontId="18" fillId="0" borderId="82" xfId="0" applyFont="1" applyFill="1" applyBorder="1" applyAlignment="1" applyProtection="1">
      <alignment wrapText="1"/>
      <protection locked="0"/>
    </xf>
    <xf numFmtId="0" fontId="18" fillId="0" borderId="183" xfId="0" applyFont="1" applyFill="1" applyBorder="1" applyAlignment="1" applyProtection="1">
      <alignment wrapText="1"/>
      <protection locked="0"/>
    </xf>
    <xf numFmtId="0" fontId="18" fillId="0" borderId="89" xfId="0" applyFont="1" applyFill="1" applyBorder="1" applyAlignment="1" applyProtection="1">
      <alignment wrapText="1"/>
      <protection locked="0"/>
    </xf>
    <xf numFmtId="0" fontId="18" fillId="0" borderId="449" xfId="0" applyFont="1" applyFill="1" applyBorder="1" applyAlignment="1" applyProtection="1">
      <alignment wrapText="1"/>
      <protection locked="0"/>
    </xf>
    <xf numFmtId="0" fontId="18" fillId="0" borderId="82" xfId="0" applyFont="1" applyBorder="1" applyAlignment="1" applyProtection="1">
      <alignment wrapText="1"/>
      <protection locked="0"/>
    </xf>
    <xf numFmtId="0" fontId="18" fillId="0" borderId="183" xfId="0" applyFont="1" applyBorder="1" applyAlignment="1" applyProtection="1">
      <alignment wrapText="1"/>
      <protection locked="0"/>
    </xf>
    <xf numFmtId="0" fontId="109" fillId="0" borderId="15" xfId="48" applyFont="1" applyBorder="1" applyAlignment="1" applyProtection="1">
      <alignment horizontal="center" vertical="center"/>
      <protection locked="0"/>
    </xf>
    <xf numFmtId="0" fontId="109" fillId="0" borderId="19" xfId="48" applyFont="1" applyBorder="1" applyAlignment="1" applyProtection="1">
      <alignment horizontal="center" vertical="center"/>
      <protection locked="0"/>
    </xf>
    <xf numFmtId="0" fontId="109" fillId="0" borderId="21" xfId="48" applyFont="1" applyBorder="1" applyAlignment="1" applyProtection="1">
      <alignment horizontal="center" vertical="center"/>
      <protection locked="0"/>
    </xf>
    <xf numFmtId="0" fontId="109" fillId="0" borderId="25" xfId="48" applyFont="1" applyBorder="1" applyAlignment="1" applyProtection="1">
      <alignment horizontal="center" vertical="center"/>
      <protection locked="0"/>
    </xf>
    <xf numFmtId="0" fontId="109" fillId="0" borderId="0" xfId="48" applyFont="1" applyBorder="1" applyAlignment="1" applyProtection="1">
      <alignment horizontal="center" vertical="center"/>
      <protection locked="0"/>
    </xf>
    <xf numFmtId="0" fontId="109" fillId="0" borderId="26" xfId="48" applyFont="1" applyBorder="1" applyAlignment="1" applyProtection="1">
      <alignment horizontal="center" vertical="center"/>
      <protection locked="0"/>
    </xf>
    <xf numFmtId="0" fontId="109" fillId="0" borderId="16" xfId="48" applyFont="1" applyBorder="1" applyAlignment="1" applyProtection="1">
      <alignment horizontal="center" vertical="center"/>
      <protection locked="0"/>
    </xf>
    <xf numFmtId="0" fontId="109" fillId="0" borderId="6" xfId="48" applyFont="1" applyBorder="1" applyAlignment="1" applyProtection="1">
      <alignment horizontal="center" vertical="center"/>
      <protection locked="0"/>
    </xf>
    <xf numFmtId="0" fontId="109" fillId="0" borderId="22" xfId="48" applyFont="1" applyBorder="1" applyAlignment="1" applyProtection="1">
      <alignment horizontal="center" vertical="center"/>
      <protection locked="0"/>
    </xf>
    <xf numFmtId="0" fontId="47" fillId="6" borderId="78" xfId="0" applyFont="1" applyFill="1" applyBorder="1" applyAlignment="1" applyProtection="1">
      <alignment horizontal="left" vertical="center" wrapText="1"/>
    </xf>
    <xf numFmtId="0" fontId="47" fillId="6" borderId="81" xfId="0" applyFont="1" applyFill="1" applyBorder="1" applyAlignment="1" applyProtection="1">
      <alignment horizontal="left" vertical="center" wrapText="1"/>
    </xf>
    <xf numFmtId="0" fontId="18" fillId="0" borderId="393" xfId="0" applyFont="1" applyBorder="1" applyAlignment="1" applyProtection="1">
      <alignment wrapText="1"/>
      <protection locked="0"/>
    </xf>
    <xf numFmtId="0" fontId="18" fillId="0" borderId="466" xfId="0" applyFont="1" applyBorder="1" applyAlignment="1" applyProtection="1">
      <alignment wrapText="1"/>
      <protection locked="0"/>
    </xf>
    <xf numFmtId="0" fontId="57" fillId="0" borderId="474" xfId="0" applyFont="1" applyFill="1" applyBorder="1" applyAlignment="1" applyProtection="1">
      <alignment horizontal="left"/>
      <protection locked="0"/>
    </xf>
    <xf numFmtId="0" fontId="18" fillId="0" borderId="0" xfId="0" applyFont="1" applyFill="1" applyBorder="1" applyAlignment="1" applyProtection="1">
      <alignment horizontal="left" wrapText="1"/>
    </xf>
    <xf numFmtId="0" fontId="57" fillId="0" borderId="474" xfId="0" applyFont="1" applyFill="1" applyBorder="1" applyAlignment="1" applyProtection="1">
      <protection locked="0"/>
    </xf>
    <xf numFmtId="37" fontId="47" fillId="0" borderId="474" xfId="0" applyNumberFormat="1" applyFont="1" applyFill="1" applyBorder="1" applyAlignment="1" applyProtection="1">
      <alignment horizontal="left"/>
      <protection locked="0"/>
    </xf>
    <xf numFmtId="0" fontId="47" fillId="0" borderId="474" xfId="0" applyFont="1" applyFill="1" applyBorder="1" applyAlignment="1" applyProtection="1">
      <alignment horizontal="left"/>
      <protection locked="0"/>
    </xf>
    <xf numFmtId="169" fontId="47" fillId="0" borderId="474" xfId="0" applyNumberFormat="1" applyFont="1" applyFill="1" applyBorder="1" applyAlignment="1" applyProtection="1">
      <alignment horizontal="left"/>
      <protection locked="0"/>
    </xf>
    <xf numFmtId="169" fontId="47" fillId="6" borderId="474" xfId="0" applyNumberFormat="1" applyFont="1" applyFill="1" applyBorder="1" applyAlignment="1" applyProtection="1">
      <alignment horizontal="left"/>
    </xf>
    <xf numFmtId="0" fontId="17" fillId="0" borderId="474" xfId="0" applyFont="1" applyFill="1" applyBorder="1" applyAlignment="1" applyProtection="1">
      <alignment horizontal="left"/>
      <protection locked="0"/>
    </xf>
    <xf numFmtId="9" fontId="47" fillId="6" borderId="474" xfId="0" applyNumberFormat="1" applyFont="1" applyFill="1" applyBorder="1" applyAlignment="1" applyProtection="1">
      <alignment horizontal="right"/>
    </xf>
    <xf numFmtId="0" fontId="17" fillId="0" borderId="474" xfId="0" applyFont="1" applyFill="1" applyBorder="1" applyAlignment="1" applyProtection="1">
      <protection locked="0"/>
    </xf>
    <xf numFmtId="0" fontId="18" fillId="0" borderId="0" xfId="0" applyFont="1" applyFill="1" applyBorder="1" applyAlignment="1" applyProtection="1">
      <alignment horizontal="left"/>
    </xf>
    <xf numFmtId="0" fontId="0" fillId="0" borderId="474" xfId="0" applyFont="1" applyFill="1" applyBorder="1" applyAlignment="1" applyProtection="1">
      <alignment horizontal="left"/>
      <protection locked="0"/>
    </xf>
    <xf numFmtId="0" fontId="20" fillId="17" borderId="288" xfId="0" applyFont="1" applyFill="1" applyBorder="1" applyAlignment="1" applyProtection="1">
      <alignment horizontal="left" vertical="center"/>
    </xf>
    <xf numFmtId="0" fontId="20" fillId="17" borderId="252" xfId="0" applyFont="1" applyFill="1" applyBorder="1" applyAlignment="1" applyProtection="1">
      <alignment horizontal="left" vertical="center"/>
    </xf>
    <xf numFmtId="0" fontId="20" fillId="17" borderId="467" xfId="0" applyFont="1" applyFill="1" applyBorder="1" applyAlignment="1" applyProtection="1">
      <alignment horizontal="left" vertical="center"/>
    </xf>
    <xf numFmtId="0" fontId="17" fillId="0" borderId="474" xfId="0" applyFont="1" applyFill="1" applyBorder="1" applyProtection="1">
      <protection locked="0"/>
    </xf>
    <xf numFmtId="0" fontId="57" fillId="0" borderId="474" xfId="0" applyFont="1" applyFill="1" applyBorder="1" applyAlignment="1" applyProtection="1">
      <alignment horizontal="left" vertical="top"/>
      <protection locked="0"/>
    </xf>
    <xf numFmtId="0" fontId="57" fillId="0" borderId="80" xfId="0" applyFont="1" applyFill="1" applyBorder="1" applyAlignment="1" applyProtection="1">
      <alignment horizontal="left"/>
      <protection locked="0"/>
    </xf>
    <xf numFmtId="0" fontId="57" fillId="0" borderId="475" xfId="0" applyFont="1" applyFill="1" applyBorder="1" applyAlignment="1" applyProtection="1">
      <alignment horizontal="left"/>
      <protection locked="0"/>
    </xf>
    <xf numFmtId="0" fontId="57" fillId="0" borderId="81" xfId="0" applyFont="1" applyFill="1" applyBorder="1" applyAlignment="1" applyProtection="1">
      <alignment horizontal="left"/>
      <protection locked="0"/>
    </xf>
    <xf numFmtId="169" fontId="47" fillId="0" borderId="474" xfId="0" applyNumberFormat="1" applyFont="1" applyFill="1" applyBorder="1" applyAlignment="1" applyProtection="1">
      <alignment horizontal="left"/>
    </xf>
    <xf numFmtId="9" fontId="47" fillId="0" borderId="474" xfId="0" applyNumberFormat="1" applyFont="1" applyFill="1" applyBorder="1" applyAlignment="1" applyProtection="1">
      <alignment horizontal="right"/>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wrapText="1"/>
    </xf>
  </cellXfs>
  <cellStyles count="68">
    <cellStyle name="20% - Accent1 2" xfId="2"/>
    <cellStyle name="20% - Accent2 2" xfId="3"/>
    <cellStyle name="20% - Accent3 2" xfId="4"/>
    <cellStyle name="20% - Accent3 2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alculation 2 2" xfId="29"/>
    <cellStyle name="Check Cell 2" xfId="30"/>
    <cellStyle name="Comma" xfId="67" builtinId="3"/>
    <cellStyle name="Comma 2" xfId="31"/>
    <cellStyle name="Comma 3" xfId="32"/>
    <cellStyle name="Currency 2" xfId="33"/>
    <cellStyle name="Currency 3" xfId="34"/>
    <cellStyle name="Explanatory Text 2" xfId="35"/>
    <cellStyle name="Good 2" xfId="36"/>
    <cellStyle name="Heading 1 2" xfId="37"/>
    <cellStyle name="Heading 2 2" xfId="38"/>
    <cellStyle name="Heading 3 2" xfId="39"/>
    <cellStyle name="Heading 4 2" xfId="40"/>
    <cellStyle name="Hyperlink 2" xfId="41"/>
    <cellStyle name="Input 2" xfId="42"/>
    <cellStyle name="Input 2 2" xfId="43"/>
    <cellStyle name="Linked Cell 2" xfId="44"/>
    <cellStyle name="Neutral 2" xfId="45"/>
    <cellStyle name="Normal" xfId="0" builtinId="0"/>
    <cellStyle name="Normal 2" xfId="46"/>
    <cellStyle name="Normal 2 2" xfId="47"/>
    <cellStyle name="Normal 2 2 2" xfId="48"/>
    <cellStyle name="Normal 2 3" xfId="49"/>
    <cellStyle name="Normal 2 3 2" xfId="50"/>
    <cellStyle name="Normal 2 3 3" xfId="51"/>
    <cellStyle name="Normal 2 4" xfId="52"/>
    <cellStyle name="Normal 2 5" xfId="53"/>
    <cellStyle name="Normal 3" xfId="54"/>
    <cellStyle name="Normal 4" xfId="55"/>
    <cellStyle name="Normal 4 2" xfId="56"/>
    <cellStyle name="Normal 5" xfId="1"/>
    <cellStyle name="Normal 5 2" xfId="57"/>
    <cellStyle name="Normal 6" xfId="58"/>
    <cellStyle name="Note 2" xfId="59"/>
    <cellStyle name="Output 2" xfId="60"/>
    <cellStyle name="Percent 2" xfId="61"/>
    <cellStyle name="Percent 2 2" xfId="62"/>
    <cellStyle name="Percent 3" xfId="63"/>
    <cellStyle name="Title 2" xfId="64"/>
    <cellStyle name="Total 2" xfId="65"/>
    <cellStyle name="Warning Text 2" xfId="66"/>
  </cellStyles>
  <dxfs count="25">
    <dxf>
      <font>
        <color rgb="FF006100"/>
      </font>
      <fill>
        <patternFill>
          <bgColor rgb="FFC6EFCE"/>
        </patternFill>
      </fill>
    </dxf>
    <dxf>
      <font>
        <color rgb="FF006100"/>
      </font>
      <fill>
        <patternFill>
          <bgColor rgb="FFC6EFCE"/>
        </patternFill>
      </fill>
    </dxf>
    <dxf>
      <font>
        <b/>
        <i val="0"/>
        <color auto="1"/>
      </font>
    </dxf>
    <dxf>
      <font>
        <color rgb="FF9C6500"/>
      </font>
      <fill>
        <patternFill>
          <bgColor rgb="FFFFEB9C"/>
        </patternFill>
      </fill>
    </dxf>
    <dxf>
      <font>
        <color rgb="FF990000"/>
      </font>
      <fill>
        <patternFill>
          <bgColor theme="5" tint="0.79998168889431442"/>
        </patternFill>
      </fill>
    </dxf>
    <dxf>
      <font>
        <color rgb="FF990000"/>
      </font>
      <fill>
        <patternFill>
          <bgColor theme="5" tint="0.7999816888943144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i val="0"/>
      </font>
      <fill>
        <patternFill>
          <bgColor theme="9" tint="0.39994506668294322"/>
        </patternFill>
      </fill>
      <border>
        <left/>
        <right/>
        <top/>
        <bottom/>
      </border>
    </dxf>
    <dxf>
      <font>
        <b/>
        <i val="0"/>
      </font>
      <fill>
        <patternFill>
          <bgColor rgb="FFCCFFCC"/>
        </patternFill>
      </fill>
      <border>
        <left/>
        <right/>
        <top/>
        <bottom/>
      </border>
    </dxf>
    <dxf>
      <font>
        <color rgb="FF990000"/>
      </font>
      <fill>
        <patternFill>
          <bgColor theme="5" tint="0.79998168889431442"/>
        </patternFill>
      </fill>
    </dxf>
    <dxf>
      <font>
        <color theme="0"/>
      </font>
      <border>
        <left/>
        <right/>
        <top/>
        <bottom/>
        <vertical/>
        <horizontal/>
      </border>
    </dxf>
    <dxf>
      <font>
        <color theme="0"/>
      </font>
    </dxf>
    <dxf>
      <font>
        <color rgb="FF006100"/>
      </font>
      <fill>
        <patternFill>
          <bgColor rgb="FFC6EFCE"/>
        </patternFill>
      </fill>
    </dxf>
  </dxfs>
  <tableStyles count="0" defaultTableStyle="TableStyleMedium2" defaultPivotStyle="PivotStyleLight16"/>
  <colors>
    <mruColors>
      <color rgb="FF339933"/>
      <color rgb="FFFFFFCC"/>
      <color rgb="FFCCFFCC"/>
      <color rgb="FFCCECFF"/>
      <color rgb="FF996600"/>
      <color rgb="FF990000"/>
      <color rgb="FF00660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www.wshfc.org/mhcf/9percent/application/c_Policies.pdf"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www.wshfc.org/mhcf/4percent/2014TaxCreditBond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2015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781050</xdr:colOff>
      <xdr:row>132</xdr:row>
      <xdr:rowOff>0</xdr:rowOff>
    </xdr:from>
    <xdr:to>
      <xdr:col>5</xdr:col>
      <xdr:colOff>1200150</xdr:colOff>
      <xdr:row>141</xdr:row>
      <xdr:rowOff>0</xdr:rowOff>
    </xdr:to>
    <xdr:sp macro="" textlink="">
      <xdr:nvSpPr>
        <xdr:cNvPr id="2" name="TextBox 1"/>
        <xdr:cNvSpPr txBox="1"/>
      </xdr:nvSpPr>
      <xdr:spPr>
        <a:xfrm>
          <a:off x="1962150" y="24117300"/>
          <a:ext cx="1771650"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10</xdr:col>
      <xdr:colOff>9525</xdr:colOff>
      <xdr:row>9</xdr:row>
      <xdr:rowOff>47625</xdr:rowOff>
    </xdr:to>
    <xdr:sp macro="" textlink="">
      <xdr:nvSpPr>
        <xdr:cNvPr id="3" name="TextBox 2"/>
        <xdr:cNvSpPr txBox="1"/>
      </xdr:nvSpPr>
      <xdr:spPr bwMode="auto">
        <a:xfrm>
          <a:off x="123825" y="63497"/>
          <a:ext cx="8191500"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Evergreen Standard (v2.2)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6</xdr:col>
      <xdr:colOff>273051</xdr:colOff>
      <xdr:row>1</xdr:row>
      <xdr:rowOff>31750</xdr:rowOff>
    </xdr:from>
    <xdr:to>
      <xdr:col>6</xdr:col>
      <xdr:colOff>2009776</xdr:colOff>
      <xdr:row>4</xdr:row>
      <xdr:rowOff>111125</xdr:rowOff>
    </xdr:to>
    <xdr:sp macro="" textlink="">
      <xdr:nvSpPr>
        <xdr:cNvPr id="4" name="TextBox 3">
          <a:hlinkClick xmlns:r="http://schemas.openxmlformats.org/officeDocument/2006/relationships" r:id="rId1"/>
        </xdr:cNvPr>
        <xdr:cNvSpPr txBox="1"/>
      </xdr:nvSpPr>
      <xdr:spPr bwMode="auto">
        <a:xfrm>
          <a:off x="5721351" y="2222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85726</xdr:rowOff>
    </xdr:from>
    <xdr:to>
      <xdr:col>8</xdr:col>
      <xdr:colOff>104775</xdr:colOff>
      <xdr:row>8</xdr:row>
      <xdr:rowOff>95250</xdr:rowOff>
    </xdr:to>
    <xdr:sp macro="" textlink="">
      <xdr:nvSpPr>
        <xdr:cNvPr id="2" name="TextBox 1"/>
        <xdr:cNvSpPr txBox="1"/>
      </xdr:nvSpPr>
      <xdr:spPr>
        <a:xfrm>
          <a:off x="95250" y="85726"/>
          <a:ext cx="5400675" cy="15335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7</xdr:col>
      <xdr:colOff>85725</xdr:colOff>
      <xdr:row>5</xdr:row>
      <xdr:rowOff>161926</xdr:rowOff>
    </xdr:to>
    <xdr:sp macro="" textlink="">
      <xdr:nvSpPr>
        <xdr:cNvPr id="2" name="TextBox 1"/>
        <xdr:cNvSpPr txBox="1"/>
      </xdr:nvSpPr>
      <xdr:spPr>
        <a:xfrm>
          <a:off x="104775" y="85726"/>
          <a:ext cx="8181975"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column, also enter the appropriate category in the first column.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7</xdr:row>
      <xdr:rowOff>161925</xdr:rowOff>
    </xdr:to>
    <xdr:sp macro="" textlink="">
      <xdr:nvSpPr>
        <xdr:cNvPr id="2" name="TextBox 1"/>
        <xdr:cNvSpPr txBox="1"/>
      </xdr:nvSpPr>
      <xdr:spPr>
        <a:xfrm>
          <a:off x="76199" y="95250"/>
          <a:ext cx="10782301"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14</xdr:col>
      <xdr:colOff>104775</xdr:colOff>
      <xdr:row>5</xdr:row>
      <xdr:rowOff>120649</xdr:rowOff>
    </xdr:to>
    <xdr:sp macro="" textlink="">
      <xdr:nvSpPr>
        <xdr:cNvPr id="2" name="TextBox 1"/>
        <xdr:cNvSpPr txBox="1"/>
      </xdr:nvSpPr>
      <xdr:spPr>
        <a:xfrm>
          <a:off x="85725" y="57150"/>
          <a:ext cx="105727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13</xdr:col>
      <xdr:colOff>85725</xdr:colOff>
      <xdr:row>7</xdr:row>
      <xdr:rowOff>180974</xdr:rowOff>
    </xdr:to>
    <xdr:sp macro="" textlink="">
      <xdr:nvSpPr>
        <xdr:cNvPr id="2" name="TextBox 1"/>
        <xdr:cNvSpPr txBox="1"/>
      </xdr:nvSpPr>
      <xdr:spPr>
        <a:xfrm>
          <a:off x="104774" y="57149"/>
          <a:ext cx="8877301" cy="1457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95250</xdr:rowOff>
    </xdr:from>
    <xdr:to>
      <xdr:col>9</xdr:col>
      <xdr:colOff>95250</xdr:colOff>
      <xdr:row>4</xdr:row>
      <xdr:rowOff>0</xdr:rowOff>
    </xdr:to>
    <xdr:sp macro="" textlink="">
      <xdr:nvSpPr>
        <xdr:cNvPr id="2" name="TextBox 1"/>
        <xdr:cNvSpPr txBox="1"/>
      </xdr:nvSpPr>
      <xdr:spPr>
        <a:xfrm>
          <a:off x="123825" y="95250"/>
          <a:ext cx="8429625" cy="6762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76201</xdr:rowOff>
    </xdr:from>
    <xdr:to>
      <xdr:col>12</xdr:col>
      <xdr:colOff>19050</xdr:colOff>
      <xdr:row>6</xdr:row>
      <xdr:rowOff>104775</xdr:rowOff>
    </xdr:to>
    <xdr:sp macro="" textlink="">
      <xdr:nvSpPr>
        <xdr:cNvPr id="2" name="TextBox 1"/>
        <xdr:cNvSpPr txBox="1"/>
      </xdr:nvSpPr>
      <xdr:spPr>
        <a:xfrm>
          <a:off x="123825" y="76201"/>
          <a:ext cx="7077075" cy="11715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 Personnel Expenses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57149</xdr:rowOff>
    </xdr:from>
    <xdr:to>
      <xdr:col>17</xdr:col>
      <xdr:colOff>47625</xdr:colOff>
      <xdr:row>10</xdr:row>
      <xdr:rowOff>28574</xdr:rowOff>
    </xdr:to>
    <xdr:sp macro="" textlink="">
      <xdr:nvSpPr>
        <xdr:cNvPr id="2" name="TextBox 1"/>
        <xdr:cNvSpPr txBox="1"/>
      </xdr:nvSpPr>
      <xdr:spPr>
        <a:xfrm>
          <a:off x="142875" y="57149"/>
          <a:ext cx="10191750" cy="18764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Service</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17</xdr:col>
      <xdr:colOff>66675</xdr:colOff>
      <xdr:row>15</xdr:row>
      <xdr:rowOff>142875</xdr:rowOff>
    </xdr:to>
    <xdr:sp macro="" textlink="">
      <xdr:nvSpPr>
        <xdr:cNvPr id="2" name="TextBox 1"/>
        <xdr:cNvSpPr txBox="1"/>
      </xdr:nvSpPr>
      <xdr:spPr>
        <a:xfrm>
          <a:off x="104775" y="76200"/>
          <a:ext cx="8667750" cy="2924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the proposed project has rental </a:t>
          </a:r>
          <a:r>
            <a:rPr lang="en-US" sz="1100" b="0" i="0" u="none" strike="noStrike">
              <a:solidFill>
                <a:sysClr val="windowText" lastClr="000000"/>
              </a:solidFill>
              <a:effectLst/>
              <a:latin typeface="+mn-lt"/>
              <a:ea typeface="+mn-ea"/>
              <a:cs typeface="+mn-cs"/>
            </a:rPr>
            <a:t>subsidies, use this Form</a:t>
          </a:r>
          <a:r>
            <a:rPr lang="en-US" sz="1100" b="0" i="0" u="none" strike="noStrike" baseline="0">
              <a:solidFill>
                <a:sysClr val="windowText" lastClr="000000"/>
              </a:solidFill>
              <a:effectLst/>
              <a:latin typeface="+mn-lt"/>
              <a:ea typeface="+mn-ea"/>
              <a:cs typeface="+mn-cs"/>
            </a:rPr>
            <a:t> to </a:t>
          </a:r>
          <a:r>
            <a:rPr lang="en-US" sz="1100" b="0" i="0" u="none" strike="noStrike">
              <a:solidFill>
                <a:sysClr val="windowText" lastClr="000000"/>
              </a:solidFill>
              <a:effectLst/>
              <a:latin typeface="+mn-lt"/>
              <a:ea typeface="+mn-ea"/>
              <a:cs typeface="+mn-cs"/>
            </a:rPr>
            <a:t>provide a Pro Forma that assumes the subsidy. Use Form 8E(2) to provide a budget</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ysClr val="windowText" lastClr="000000"/>
              </a:solidFill>
              <a:effectLst/>
              <a:latin typeface="+mn-lt"/>
              <a:ea typeface="+mn-ea"/>
              <a:cs typeface="+mn-cs"/>
            </a:rPr>
            <a:t>   that does not include the subsidy. If the project does not include rental subsidies,</a:t>
          </a:r>
          <a:r>
            <a:rPr lang="en-US" sz="1100" b="0" i="0" u="none" strike="noStrike" baseline="0">
              <a:solidFill>
                <a:sysClr val="windowText" lastClr="000000"/>
              </a:solidFill>
              <a:effectLst/>
              <a:latin typeface="+mn-lt"/>
              <a:ea typeface="+mn-ea"/>
              <a:cs typeface="+mn-cs"/>
            </a:rPr>
            <a:t>  please enable the "No Rent Subsidy" checkbox.</a:t>
          </a:r>
          <a:endParaRPr lang="en-US"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all cost and revenue escalators in the fields provided. </a:t>
          </a:r>
          <a:r>
            <a:rPr lang="en-US" sz="1100">
              <a:solidFill>
                <a:schemeClr val="dk1"/>
              </a:solidFill>
              <a:effectLst/>
              <a:latin typeface="+mn-lt"/>
              <a:ea typeface="+mn-ea"/>
              <a:cs typeface="+mn-cs"/>
            </a:rPr>
            <a:t>In the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17</xdr:col>
      <xdr:colOff>66675</xdr:colOff>
      <xdr:row>6</xdr:row>
      <xdr:rowOff>142874</xdr:rowOff>
    </xdr:to>
    <xdr:sp macro="" textlink="">
      <xdr:nvSpPr>
        <xdr:cNvPr id="2" name="TextBox 1"/>
        <xdr:cNvSpPr txBox="1"/>
      </xdr:nvSpPr>
      <xdr:spPr>
        <a:xfrm>
          <a:off x="104775" y="76199"/>
          <a:ext cx="866775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8E(2): Operating</a:t>
          </a:r>
          <a:r>
            <a:rPr lang="en-US" sz="1400" b="1" i="0" u="none" strike="noStrike" baseline="0">
              <a:solidFill>
                <a:schemeClr val="dk1"/>
              </a:solidFill>
              <a:effectLst/>
              <a:latin typeface="+mn-lt"/>
              <a:ea typeface="+mn-ea"/>
              <a:cs typeface="+mn-cs"/>
            </a:rPr>
            <a:t> Pro Forma (Alternate Without Subsidy)</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Use this Form</a:t>
          </a:r>
          <a:r>
            <a:rPr lang="en-US" sz="1100" b="0" i="0" u="none" strike="noStrike" baseline="0">
              <a:solidFill>
                <a:sysClr val="windowText" lastClr="000000"/>
              </a:solidFill>
              <a:effectLst/>
              <a:latin typeface="+mn-lt"/>
              <a:ea typeface="+mn-ea"/>
              <a:cs typeface="+mn-cs"/>
            </a:rPr>
            <a:t> only if your project includes rent subsidies, and you accounted for those subsidies in completing Form 8E</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 For your convenience, the Year 1 expenses</a:t>
          </a:r>
          <a:r>
            <a:rPr lang="en-US" sz="1100" b="0" i="0" baseline="0">
              <a:solidFill>
                <a:sysClr val="windowText" lastClr="000000"/>
              </a:solidFill>
              <a:effectLst/>
              <a:latin typeface="+mn-lt"/>
              <a:ea typeface="+mn-ea"/>
              <a:cs typeface="+mn-cs"/>
            </a:rPr>
            <a:t> entered on Form 8E will auto-populate here. You may alter them as needed, and assign alternate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escalators to each, or leave them as per Form 8E</a:t>
          </a:r>
          <a:r>
            <a:rPr lang="en-US" sz="1100" b="0" i="0">
              <a:solidFill>
                <a:sysClr val="windowText" lastClr="000000"/>
              </a:solidFill>
              <a:effectLst/>
              <a:latin typeface="+mn-lt"/>
              <a:ea typeface="+mn-ea"/>
              <a:cs typeface="+mn-cs"/>
            </a:rPr>
            <a:t>.</a:t>
          </a:r>
          <a:endParaRPr lang="en-US"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8F: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76199</xdr:colOff>
      <xdr:row>0</xdr:row>
      <xdr:rowOff>66675</xdr:rowOff>
    </xdr:from>
    <xdr:to>
      <xdr:col>12</xdr:col>
      <xdr:colOff>104774</xdr:colOff>
      <xdr:row>9</xdr:row>
      <xdr:rowOff>95250</xdr:rowOff>
    </xdr:to>
    <xdr:sp macro="" textlink="">
      <xdr:nvSpPr>
        <xdr:cNvPr id="2" name="TextBox 1"/>
        <xdr:cNvSpPr txBox="1"/>
      </xdr:nvSpPr>
      <xdr:spPr>
        <a:xfrm>
          <a:off x="76199" y="66675"/>
          <a:ext cx="8486775" cy="1743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xdr:colOff>
      <xdr:row>0</xdr:row>
      <xdr:rowOff>95250</xdr:rowOff>
    </xdr:from>
    <xdr:to>
      <xdr:col>11</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66674</xdr:rowOff>
    </xdr:from>
    <xdr:to>
      <xdr:col>15</xdr:col>
      <xdr:colOff>28575</xdr:colOff>
      <xdr:row>11</xdr:row>
      <xdr:rowOff>190499</xdr:rowOff>
    </xdr:to>
    <xdr:sp macro="" textlink="">
      <xdr:nvSpPr>
        <xdr:cNvPr id="2" name="TextBox 1"/>
        <xdr:cNvSpPr txBox="1"/>
      </xdr:nvSpPr>
      <xdr:spPr>
        <a:xfrm>
          <a:off x="142875" y="66674"/>
          <a:ext cx="7277100" cy="2219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11A:</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9% LIHTC SCORING SYNOPSIS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applying for 9% Low-Income Housing Tax Credits.  </a:t>
          </a:r>
          <a:endParaRPr lang="en-US" sz="1400" b="1">
            <a:effectLst/>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criteria are based on the 2014 9% Housing Credit Policies and are subject to change for the 2015 allocation round.  Additionally, a number of the scoring criteria require preapproval by the Commission before a project is eligible for the points.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Please refer to Chapter 6 of the 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4% Tax Credits and Bond financing, please </a:t>
          </a:r>
        </a:p>
        <a:p>
          <a:r>
            <a:rPr lang="en-US" sz="1100" baseline="0">
              <a:solidFill>
                <a:schemeClr val="dk1"/>
              </a:solidFill>
              <a:effectLst/>
              <a:latin typeface="+mn-lt"/>
              <a:ea typeface="+mn-ea"/>
              <a:cs typeface="+mn-cs"/>
            </a:rPr>
            <a:t>complete Form 11B.</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438149</xdr:colOff>
      <xdr:row>7</xdr:row>
      <xdr:rowOff>1</xdr:rowOff>
    </xdr:from>
    <xdr:to>
      <xdr:col>14</xdr:col>
      <xdr:colOff>28575</xdr:colOff>
      <xdr:row>10</xdr:row>
      <xdr:rowOff>85726</xdr:rowOff>
    </xdr:to>
    <xdr:sp macro="" textlink="">
      <xdr:nvSpPr>
        <xdr:cNvPr id="3" name="TextBox 2">
          <a:hlinkClick xmlns:r="http://schemas.openxmlformats.org/officeDocument/2006/relationships" r:id="rId1"/>
        </xdr:cNvPr>
        <xdr:cNvSpPr txBox="1"/>
      </xdr:nvSpPr>
      <xdr:spPr bwMode="auto">
        <a:xfrm>
          <a:off x="5333999" y="1333501"/>
          <a:ext cx="1971676" cy="65722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a:t>
          </a:r>
          <a:r>
            <a:rPr lang="en-US" sz="1400" u="sng">
              <a:solidFill>
                <a:srgbClr val="0000FF"/>
              </a:solidFill>
              <a:latin typeface="+mn-lt"/>
              <a:ea typeface="+mn-ea"/>
              <a:cs typeface="+mn-cs"/>
            </a:rPr>
            <a:t>to 2014 9% Housing Credit Policies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14</xdr:col>
      <xdr:colOff>104775</xdr:colOff>
      <xdr:row>11</xdr:row>
      <xdr:rowOff>85725</xdr:rowOff>
    </xdr:to>
    <xdr:sp macro="" textlink="">
      <xdr:nvSpPr>
        <xdr:cNvPr id="2" name="TextBox 1"/>
        <xdr:cNvSpPr txBox="1"/>
      </xdr:nvSpPr>
      <xdr:spPr>
        <a:xfrm>
          <a:off x="104775" y="76200"/>
          <a:ext cx="727710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11B:  4% LIHTC and</a:t>
          </a:r>
          <a:r>
            <a:rPr lang="en-US" sz="1400" b="1" baseline="0">
              <a:solidFill>
                <a:schemeClr val="dk1"/>
              </a:solidFill>
              <a:effectLst/>
              <a:latin typeface="+mn-lt"/>
              <a:ea typeface="+mn-ea"/>
              <a:cs typeface="+mn-cs"/>
            </a:rPr>
            <a:t> Bond Scoring Synopsis</a:t>
          </a:r>
          <a:endParaRPr lang="en-US" sz="14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p>
        <a:p>
          <a:endParaRPr lang="en-US" sz="1100" b="1" baseline="0">
            <a:solidFill>
              <a:schemeClr val="dk1"/>
            </a:solidFill>
            <a:effectLst/>
            <a:latin typeface="+mn-lt"/>
            <a:ea typeface="+mn-ea"/>
            <a:cs typeface="+mn-cs"/>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a:t>
          </a:r>
        </a:p>
        <a:p>
          <a:r>
            <a:rPr lang="en-US" sz="1100" baseline="0">
              <a:solidFill>
                <a:schemeClr val="dk1"/>
              </a:solidFill>
              <a:effectLst/>
              <a:latin typeface="+mn-lt"/>
              <a:ea typeface="+mn-ea"/>
              <a:cs typeface="+mn-cs"/>
            </a:rPr>
            <a:t>criteria are based on the 2014 Tax Credit/Bond Policies and are subject to change </a:t>
          </a:r>
        </a:p>
        <a:p>
          <a:r>
            <a:rPr lang="en-US" sz="1100" baseline="0">
              <a:solidFill>
                <a:schemeClr val="dk1"/>
              </a:solidFill>
              <a:effectLst/>
              <a:latin typeface="+mn-lt"/>
              <a:ea typeface="+mn-ea"/>
              <a:cs typeface="+mn-cs"/>
            </a:rPr>
            <a:t>for the 2015 program year.  </a:t>
          </a:r>
          <a:r>
            <a:rPr lang="en-US" sz="1100">
              <a:solidFill>
                <a:schemeClr val="dk1"/>
              </a:solidFill>
              <a:effectLst/>
              <a:latin typeface="+mn-lt"/>
              <a:ea typeface="+mn-ea"/>
              <a:cs typeface="+mn-cs"/>
            </a:rPr>
            <a:t>Please refer to Chapter 6 of the</a:t>
          </a:r>
          <a:r>
            <a:rPr lang="en-US" sz="1100" baseline="0">
              <a:solidFill>
                <a:schemeClr val="dk1"/>
              </a:solidFill>
              <a:effectLst/>
              <a:latin typeface="+mn-lt"/>
              <a:ea typeface="+mn-ea"/>
              <a:cs typeface="+mn-cs"/>
            </a:rPr>
            <a:t> Multifamily Housing </a:t>
          </a:r>
        </a:p>
        <a:p>
          <a:r>
            <a:rPr lang="en-US" sz="1100" baseline="0">
              <a:solidFill>
                <a:schemeClr val="dk1"/>
              </a:solidFill>
              <a:effectLst/>
              <a:latin typeface="+mn-lt"/>
              <a:ea typeface="+mn-ea"/>
              <a:cs typeface="+mn-cs"/>
            </a:rPr>
            <a:t>Bonds and 4% Tax Credit </a:t>
          </a:r>
          <a:r>
            <a:rPr lang="en-US" sz="1100">
              <a:solidFill>
                <a:schemeClr val="dk1"/>
              </a:solidFill>
              <a:effectLst/>
              <a:latin typeface="+mn-lt"/>
              <a:ea typeface="+mn-ea"/>
              <a:cs typeface="+mn-cs"/>
            </a:rPr>
            <a:t>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409575</xdr:colOff>
      <xdr:row>5</xdr:row>
      <xdr:rowOff>9526</xdr:rowOff>
    </xdr:from>
    <xdr:to>
      <xdr:col>13</xdr:col>
      <xdr:colOff>561976</xdr:colOff>
      <xdr:row>9</xdr:row>
      <xdr:rowOff>95250</xdr:rowOff>
    </xdr:to>
    <xdr:sp macro="" textlink="">
      <xdr:nvSpPr>
        <xdr:cNvPr id="3" name="TextBox 2">
          <a:hlinkClick xmlns:r="http://schemas.openxmlformats.org/officeDocument/2006/relationships" r:id="rId1"/>
        </xdr:cNvPr>
        <xdr:cNvSpPr txBox="1"/>
      </xdr:nvSpPr>
      <xdr:spPr bwMode="auto">
        <a:xfrm>
          <a:off x="5305425" y="962026"/>
          <a:ext cx="1962151" cy="8477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a:t>
          </a:r>
          <a:r>
            <a:rPr lang="en-US" sz="1400" u="sng">
              <a:solidFill>
                <a:srgbClr val="0000FF"/>
              </a:solidFill>
              <a:latin typeface="+mn-lt"/>
              <a:ea typeface="+mn-ea"/>
              <a:cs typeface="+mn-cs"/>
            </a:rPr>
            <a:t>Multifamily Housing Bonds and 4% Tax Credit Policies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TF\Evergreen%20Sustainable%20Development%20Standard\Program%20Information\Version%203.0\Point%20balancing%20v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Point Balancing"/>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B21"/>
  <sheetViews>
    <sheetView workbookViewId="0">
      <selection activeCell="B26" sqref="B26"/>
    </sheetView>
  </sheetViews>
  <sheetFormatPr defaultRowHeight="15" x14ac:dyDescent="0.25"/>
  <cols>
    <col min="1" max="1" width="17.42578125" style="1748" bestFit="1" customWidth="1"/>
    <col min="2" max="2" width="33.140625" style="1748" bestFit="1" customWidth="1"/>
    <col min="3" max="16384" width="9.140625" style="1748"/>
  </cols>
  <sheetData>
    <row r="3" spans="1:2" x14ac:dyDescent="0.25">
      <c r="A3" s="753" t="s">
        <v>732</v>
      </c>
      <c r="B3" s="686"/>
    </row>
    <row r="4" spans="1:2" x14ac:dyDescent="0.25">
      <c r="B4" s="683" t="s">
        <v>717</v>
      </c>
    </row>
    <row r="5" spans="1:2" x14ac:dyDescent="0.25">
      <c r="B5" s="683" t="s">
        <v>718</v>
      </c>
    </row>
    <row r="6" spans="1:2" x14ac:dyDescent="0.25">
      <c r="B6" s="683" t="s">
        <v>719</v>
      </c>
    </row>
    <row r="7" spans="1:2" x14ac:dyDescent="0.25">
      <c r="B7" s="683" t="s">
        <v>720</v>
      </c>
    </row>
    <row r="8" spans="1:2" x14ac:dyDescent="0.25">
      <c r="B8" s="683" t="s">
        <v>721</v>
      </c>
    </row>
    <row r="9" spans="1:2" x14ac:dyDescent="0.25">
      <c r="B9" s="683" t="s">
        <v>722</v>
      </c>
    </row>
    <row r="10" spans="1:2" x14ac:dyDescent="0.25">
      <c r="B10" s="683" t="s">
        <v>723</v>
      </c>
    </row>
    <row r="11" spans="1:2" x14ac:dyDescent="0.25">
      <c r="B11" s="683" t="s">
        <v>724</v>
      </c>
    </row>
    <row r="12" spans="1:2" x14ac:dyDescent="0.25">
      <c r="B12" s="683" t="s">
        <v>1360</v>
      </c>
    </row>
    <row r="13" spans="1:2" x14ac:dyDescent="0.25">
      <c r="B13" s="683" t="s">
        <v>725</v>
      </c>
    </row>
    <row r="14" spans="1:2" x14ac:dyDescent="0.25">
      <c r="B14" s="683" t="s">
        <v>726</v>
      </c>
    </row>
    <row r="15" spans="1:2" x14ac:dyDescent="0.25">
      <c r="B15" s="683" t="s">
        <v>727</v>
      </c>
    </row>
    <row r="16" spans="1:2" x14ac:dyDescent="0.25">
      <c r="B16" s="683" t="s">
        <v>728</v>
      </c>
    </row>
    <row r="17" spans="2:2" x14ac:dyDescent="0.25">
      <c r="B17" s="683" t="s">
        <v>729</v>
      </c>
    </row>
    <row r="18" spans="2:2" x14ac:dyDescent="0.25">
      <c r="B18" s="683" t="s">
        <v>730</v>
      </c>
    </row>
    <row r="19" spans="2:2" x14ac:dyDescent="0.25">
      <c r="B19" s="683" t="s">
        <v>731</v>
      </c>
    </row>
    <row r="20" spans="2:2" x14ac:dyDescent="0.25">
      <c r="B20" s="683" t="s">
        <v>649</v>
      </c>
    </row>
    <row r="21" spans="2:2" x14ac:dyDescent="0.25">
      <c r="B21" s="684" t="s">
        <v>1359</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
  <sheetViews>
    <sheetView showGridLines="0" zoomScaleNormal="100" workbookViewId="0">
      <selection activeCell="P19" sqref="P19"/>
    </sheetView>
  </sheetViews>
  <sheetFormatPr defaultRowHeight="15" x14ac:dyDescent="0.25"/>
  <sheetData/>
  <sheetProtection password="9F6B" sheet="1" objects="1" scenarios="1"/>
  <pageMargins left="0.25" right="0.25" top="0.75" bottom="0.75" header="0.3" footer="0.3"/>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Q60"/>
  <sheetViews>
    <sheetView showGridLines="0" tabSelected="1" topLeftCell="A12" zoomScaleNormal="100" workbookViewId="0">
      <selection activeCell="I36" sqref="I36"/>
    </sheetView>
  </sheetViews>
  <sheetFormatPr defaultRowHeight="15" x14ac:dyDescent="0.25"/>
  <cols>
    <col min="1" max="1" width="2.85546875" style="843" customWidth="1"/>
    <col min="2" max="3" width="1.42578125" style="843" customWidth="1"/>
    <col min="4" max="4" width="11" style="843" customWidth="1"/>
    <col min="5" max="5" width="9.140625" style="843"/>
    <col min="6" max="6" width="4" style="843" customWidth="1"/>
    <col min="7" max="9" width="9.140625" style="843"/>
    <col min="10" max="10" width="4" style="843" customWidth="1"/>
    <col min="11" max="12" width="9.140625" style="843"/>
    <col min="13" max="13" width="4" style="843" bestFit="1" customWidth="1"/>
    <col min="14" max="14" width="6" style="843" customWidth="1"/>
    <col min="15" max="15" width="9.140625" style="843"/>
    <col min="16" max="17" width="1.42578125" style="843" customWidth="1"/>
    <col min="18" max="16384" width="9.140625" style="843"/>
  </cols>
  <sheetData>
    <row r="1" spans="2:17" ht="15.75" thickBot="1" x14ac:dyDescent="0.3"/>
    <row r="2" spans="2:17" ht="7.5" customHeight="1" x14ac:dyDescent="0.25">
      <c r="B2" s="803"/>
      <c r="C2" s="804"/>
      <c r="D2" s="804"/>
      <c r="E2" s="804"/>
      <c r="F2" s="804"/>
      <c r="G2" s="804"/>
      <c r="H2" s="804"/>
      <c r="I2" s="804"/>
      <c r="J2" s="804"/>
      <c r="K2" s="804"/>
      <c r="L2" s="804"/>
      <c r="M2" s="804"/>
      <c r="N2" s="804"/>
      <c r="O2" s="804"/>
      <c r="P2" s="804"/>
      <c r="Q2" s="846"/>
    </row>
    <row r="3" spans="2:17" ht="18.75" x14ac:dyDescent="0.3">
      <c r="B3" s="805"/>
      <c r="C3" s="1917" t="s">
        <v>0</v>
      </c>
      <c r="D3" s="1917"/>
      <c r="E3" s="1917"/>
      <c r="F3" s="1917"/>
      <c r="G3" s="1917"/>
      <c r="H3" s="1917"/>
      <c r="I3" s="1917"/>
      <c r="J3" s="1917"/>
      <c r="K3" s="1917"/>
      <c r="L3" s="1917"/>
      <c r="M3" s="1917"/>
      <c r="N3" s="1917"/>
      <c r="O3" s="1917"/>
      <c r="P3" s="1917"/>
      <c r="Q3" s="847"/>
    </row>
    <row r="4" spans="2:17" x14ac:dyDescent="0.25">
      <c r="B4" s="805"/>
      <c r="C4" s="212"/>
      <c r="D4" s="212"/>
      <c r="E4" s="212"/>
      <c r="F4" s="212"/>
      <c r="G4" s="212"/>
      <c r="H4" s="212"/>
      <c r="I4" s="212"/>
      <c r="J4" s="212"/>
      <c r="K4" s="212"/>
      <c r="L4" s="212"/>
      <c r="M4" s="212"/>
      <c r="N4" s="212"/>
      <c r="O4" s="212"/>
      <c r="P4" s="212"/>
      <c r="Q4" s="847"/>
    </row>
    <row r="5" spans="2:17" ht="18.75" x14ac:dyDescent="0.3">
      <c r="B5" s="805"/>
      <c r="C5" s="272" t="s">
        <v>1</v>
      </c>
      <c r="D5" s="43"/>
      <c r="E5" s="355"/>
      <c r="F5" s="355"/>
      <c r="G5" s="1934" t="s">
        <v>1378</v>
      </c>
      <c r="H5" s="1934"/>
      <c r="I5" s="1934"/>
      <c r="J5" s="1934"/>
      <c r="K5" s="1934"/>
      <c r="L5" s="1934"/>
      <c r="M5" s="1934"/>
      <c r="N5" s="1934"/>
      <c r="O5" s="1934"/>
      <c r="P5" s="212"/>
      <c r="Q5" s="847"/>
    </row>
    <row r="6" spans="2:17" ht="3.75" customHeight="1" x14ac:dyDescent="0.25">
      <c r="B6" s="805"/>
      <c r="C6" s="217"/>
      <c r="D6" s="355"/>
      <c r="E6" s="355"/>
      <c r="F6" s="355"/>
      <c r="G6" s="806"/>
      <c r="H6" s="806"/>
      <c r="I6" s="806"/>
      <c r="J6" s="806"/>
      <c r="K6" s="806"/>
      <c r="L6" s="806"/>
      <c r="M6" s="806"/>
      <c r="N6" s="806"/>
      <c r="O6" s="806"/>
      <c r="P6" s="212"/>
      <c r="Q6" s="847"/>
    </row>
    <row r="7" spans="2:17" x14ac:dyDescent="0.25">
      <c r="B7" s="805"/>
      <c r="C7" s="807" t="s">
        <v>2</v>
      </c>
      <c r="D7" s="355"/>
      <c r="E7" s="355"/>
      <c r="F7" s="355"/>
      <c r="G7" s="806"/>
      <c r="H7" s="806"/>
      <c r="I7" s="806"/>
      <c r="J7" s="806"/>
      <c r="K7" s="806"/>
      <c r="L7" s="806"/>
      <c r="M7" s="806"/>
      <c r="N7" s="806"/>
      <c r="O7" s="806"/>
      <c r="P7" s="212"/>
      <c r="Q7" s="847"/>
    </row>
    <row r="8" spans="2:17" x14ac:dyDescent="0.25">
      <c r="B8" s="805"/>
      <c r="C8" s="808" t="s">
        <v>3</v>
      </c>
      <c r="D8" s="355"/>
      <c r="E8" s="355"/>
      <c r="F8" s="355"/>
      <c r="G8" s="1935" t="s">
        <v>1379</v>
      </c>
      <c r="H8" s="1935"/>
      <c r="I8" s="1935"/>
      <c r="J8" s="1935"/>
      <c r="K8" s="1935"/>
      <c r="L8" s="1935"/>
      <c r="M8" s="1935"/>
      <c r="N8" s="1935"/>
      <c r="O8" s="1935"/>
      <c r="P8" s="212"/>
      <c r="Q8" s="847"/>
    </row>
    <row r="9" spans="2:17" ht="3.75" customHeight="1" x14ac:dyDescent="0.25">
      <c r="B9" s="805"/>
      <c r="C9" s="808"/>
      <c r="D9" s="355"/>
      <c r="E9" s="355"/>
      <c r="F9" s="355"/>
      <c r="G9" s="806"/>
      <c r="H9" s="806"/>
      <c r="I9" s="806"/>
      <c r="J9" s="806"/>
      <c r="K9" s="806"/>
      <c r="L9" s="806"/>
      <c r="M9" s="806"/>
      <c r="N9" s="806"/>
      <c r="O9" s="806"/>
      <c r="P9" s="212"/>
      <c r="Q9" s="847"/>
    </row>
    <row r="10" spans="2:17" x14ac:dyDescent="0.25">
      <c r="B10" s="805"/>
      <c r="C10" s="808" t="s">
        <v>4</v>
      </c>
      <c r="D10" s="355"/>
      <c r="E10" s="355"/>
      <c r="F10" s="355"/>
      <c r="G10" s="1931" t="s">
        <v>1380</v>
      </c>
      <c r="H10" s="1931"/>
      <c r="I10" s="1931"/>
      <c r="J10" s="1931"/>
      <c r="K10" s="1931"/>
      <c r="L10" s="1931"/>
      <c r="M10" s="1931"/>
      <c r="N10" s="1931"/>
      <c r="O10" s="1931"/>
      <c r="P10" s="212"/>
      <c r="Q10" s="847"/>
    </row>
    <row r="11" spans="2:17" ht="3.75" customHeight="1" x14ac:dyDescent="0.25">
      <c r="B11" s="805"/>
      <c r="C11" s="809"/>
      <c r="D11" s="355"/>
      <c r="E11" s="355"/>
      <c r="F11" s="355"/>
      <c r="G11" s="806"/>
      <c r="H11" s="806"/>
      <c r="I11" s="806"/>
      <c r="J11" s="806"/>
      <c r="K11" s="806"/>
      <c r="L11" s="806"/>
      <c r="M11" s="806"/>
      <c r="N11" s="806"/>
      <c r="O11" s="806"/>
      <c r="P11" s="212"/>
      <c r="Q11" s="847"/>
    </row>
    <row r="12" spans="2:17" x14ac:dyDescent="0.25">
      <c r="B12" s="805"/>
      <c r="C12" s="808" t="s">
        <v>5</v>
      </c>
      <c r="D12" s="355"/>
      <c r="E12" s="355"/>
      <c r="F12" s="355"/>
      <c r="G12" s="1931" t="s">
        <v>1381</v>
      </c>
      <c r="H12" s="1931"/>
      <c r="I12" s="810" t="s">
        <v>6</v>
      </c>
      <c r="J12" s="1932" t="s">
        <v>1382</v>
      </c>
      <c r="K12" s="1932"/>
      <c r="L12" s="1932"/>
      <c r="M12" s="1932"/>
      <c r="N12" s="1932"/>
      <c r="O12" s="1932"/>
      <c r="P12" s="212"/>
      <c r="Q12" s="847"/>
    </row>
    <row r="13" spans="2:17" ht="3.75" customHeight="1" x14ac:dyDescent="0.25">
      <c r="B13" s="805"/>
      <c r="C13" s="808"/>
      <c r="D13" s="355"/>
      <c r="E13" s="355"/>
      <c r="F13" s="355"/>
      <c r="G13" s="806"/>
      <c r="H13" s="806"/>
      <c r="I13" s="806"/>
      <c r="J13" s="806"/>
      <c r="K13" s="806"/>
      <c r="L13" s="806"/>
      <c r="M13" s="806"/>
      <c r="N13" s="806"/>
      <c r="O13" s="806"/>
      <c r="P13" s="212"/>
      <c r="Q13" s="847"/>
    </row>
    <row r="14" spans="2:17" x14ac:dyDescent="0.25">
      <c r="B14" s="805"/>
      <c r="C14" s="807" t="s">
        <v>7</v>
      </c>
      <c r="D14" s="355"/>
      <c r="E14" s="355"/>
      <c r="F14" s="355"/>
      <c r="G14" s="806"/>
      <c r="H14" s="806"/>
      <c r="I14" s="806"/>
      <c r="J14" s="806"/>
      <c r="K14" s="806"/>
      <c r="L14" s="806"/>
      <c r="M14" s="806"/>
      <c r="N14" s="806"/>
      <c r="O14" s="806"/>
      <c r="P14" s="212"/>
      <c r="Q14" s="847"/>
    </row>
    <row r="15" spans="2:17" x14ac:dyDescent="0.25">
      <c r="B15" s="805"/>
      <c r="C15" s="808" t="s">
        <v>8</v>
      </c>
      <c r="D15" s="355"/>
      <c r="E15" s="355"/>
      <c r="F15" s="355"/>
      <c r="G15" s="1935" t="s">
        <v>1436</v>
      </c>
      <c r="H15" s="1935"/>
      <c r="I15" s="1935"/>
      <c r="J15" s="1935"/>
      <c r="K15" s="1935"/>
      <c r="L15" s="1935"/>
      <c r="M15" s="1935"/>
      <c r="N15" s="1935"/>
      <c r="O15" s="1935"/>
      <c r="P15" s="212"/>
      <c r="Q15" s="847"/>
    </row>
    <row r="16" spans="2:17" ht="3.75" customHeight="1" x14ac:dyDescent="0.25">
      <c r="B16" s="805"/>
      <c r="C16" s="808"/>
      <c r="D16" s="355"/>
      <c r="E16" s="355"/>
      <c r="F16" s="355"/>
      <c r="G16" s="812"/>
      <c r="H16" s="812"/>
      <c r="I16" s="806"/>
      <c r="J16" s="812"/>
      <c r="K16" s="806"/>
      <c r="L16" s="806"/>
      <c r="M16" s="806"/>
      <c r="N16" s="806"/>
      <c r="O16" s="806"/>
      <c r="P16" s="212"/>
      <c r="Q16" s="847"/>
    </row>
    <row r="17" spans="2:17" x14ac:dyDescent="0.25">
      <c r="B17" s="805"/>
      <c r="C17" s="808" t="s">
        <v>9</v>
      </c>
      <c r="D17" s="355"/>
      <c r="E17" s="355"/>
      <c r="F17" s="355"/>
      <c r="G17" s="1931"/>
      <c r="H17" s="1931"/>
      <c r="I17" s="1931"/>
      <c r="J17" s="1931"/>
      <c r="K17" s="1931"/>
      <c r="L17" s="1931"/>
      <c r="M17" s="1931"/>
      <c r="N17" s="1931"/>
      <c r="O17" s="1931"/>
      <c r="P17" s="212"/>
      <c r="Q17" s="847"/>
    </row>
    <row r="18" spans="2:17" ht="3.75" customHeight="1" x14ac:dyDescent="0.25">
      <c r="B18" s="805"/>
      <c r="C18" s="809"/>
      <c r="D18" s="355"/>
      <c r="E18" s="355"/>
      <c r="F18" s="355"/>
      <c r="G18" s="812"/>
      <c r="H18" s="812"/>
      <c r="I18" s="806"/>
      <c r="J18" s="812"/>
      <c r="K18" s="806"/>
      <c r="L18" s="806"/>
      <c r="M18" s="806"/>
      <c r="N18" s="806"/>
      <c r="O18" s="806"/>
      <c r="P18" s="212"/>
      <c r="Q18" s="847"/>
    </row>
    <row r="19" spans="2:17" x14ac:dyDescent="0.25">
      <c r="B19" s="805"/>
      <c r="C19" s="808" t="s">
        <v>5</v>
      </c>
      <c r="D19" s="355"/>
      <c r="E19" s="355"/>
      <c r="F19" s="355"/>
      <c r="G19" s="1931"/>
      <c r="H19" s="1931"/>
      <c r="I19" s="810" t="s">
        <v>6</v>
      </c>
      <c r="J19" s="1932"/>
      <c r="K19" s="1932"/>
      <c r="L19" s="1932"/>
      <c r="M19" s="1932"/>
      <c r="N19" s="1932"/>
      <c r="O19" s="1932"/>
      <c r="P19" s="212"/>
      <c r="Q19" s="847"/>
    </row>
    <row r="20" spans="2:17" ht="3.75" customHeight="1" x14ac:dyDescent="0.25">
      <c r="B20" s="805"/>
      <c r="C20" s="808"/>
      <c r="D20" s="355"/>
      <c r="E20" s="355"/>
      <c r="F20" s="355"/>
      <c r="G20" s="806"/>
      <c r="H20" s="806"/>
      <c r="I20" s="806"/>
      <c r="J20" s="806"/>
      <c r="K20" s="806"/>
      <c r="L20" s="806"/>
      <c r="M20" s="806"/>
      <c r="N20" s="806"/>
      <c r="O20" s="806"/>
      <c r="P20" s="212"/>
      <c r="Q20" s="847"/>
    </row>
    <row r="21" spans="2:17" x14ac:dyDescent="0.25">
      <c r="B21" s="805"/>
      <c r="C21" s="212"/>
      <c r="D21" s="355" t="s">
        <v>10</v>
      </c>
      <c r="E21" s="355"/>
      <c r="F21" s="355"/>
      <c r="G21" s="355"/>
      <c r="H21" s="355"/>
      <c r="I21" s="355"/>
      <c r="J21" s="355"/>
      <c r="K21" s="355"/>
      <c r="L21" s="840"/>
      <c r="M21" s="813"/>
      <c r="N21" s="355"/>
      <c r="O21" s="355"/>
      <c r="P21" s="212"/>
      <c r="Q21" s="847"/>
    </row>
    <row r="22" spans="2:17" ht="7.5" customHeight="1" x14ac:dyDescent="0.25">
      <c r="B22" s="805"/>
      <c r="C22" s="212"/>
      <c r="D22" s="355"/>
      <c r="E22" s="355"/>
      <c r="F22" s="355"/>
      <c r="G22" s="355"/>
      <c r="H22" s="355"/>
      <c r="I22" s="355"/>
      <c r="J22" s="355"/>
      <c r="K22" s="355"/>
      <c r="L22" s="814"/>
      <c r="M22" s="355"/>
      <c r="N22" s="814"/>
      <c r="O22" s="355"/>
      <c r="P22" s="212"/>
      <c r="Q22" s="847"/>
    </row>
    <row r="23" spans="2:17" x14ac:dyDescent="0.25">
      <c r="B23" s="805"/>
      <c r="C23" s="272" t="s">
        <v>11</v>
      </c>
      <c r="D23" s="355"/>
      <c r="E23" s="355"/>
      <c r="F23" s="355"/>
      <c r="G23" s="1931"/>
      <c r="H23" s="1931"/>
      <c r="I23" s="1931"/>
      <c r="J23" s="1931"/>
      <c r="K23" s="1931"/>
      <c r="L23" s="1931"/>
      <c r="M23" s="1931"/>
      <c r="N23" s="1931"/>
      <c r="O23" s="1931"/>
      <c r="P23" s="212"/>
      <c r="Q23" s="847"/>
    </row>
    <row r="24" spans="2:17" x14ac:dyDescent="0.25">
      <c r="B24" s="805"/>
      <c r="C24" s="212"/>
      <c r="D24" s="355"/>
      <c r="E24" s="355"/>
      <c r="F24" s="355"/>
      <c r="G24" s="812"/>
      <c r="H24" s="812"/>
      <c r="I24" s="812"/>
      <c r="J24" s="812"/>
      <c r="K24" s="812"/>
      <c r="L24" s="812"/>
      <c r="M24" s="812"/>
      <c r="N24" s="812"/>
      <c r="O24" s="812"/>
      <c r="P24" s="212"/>
      <c r="Q24" s="847"/>
    </row>
    <row r="25" spans="2:17" ht="15.75" thickBot="1" x14ac:dyDescent="0.3">
      <c r="B25" s="805"/>
      <c r="C25" s="815" t="s">
        <v>12</v>
      </c>
      <c r="D25" s="816"/>
      <c r="E25" s="816"/>
      <c r="F25" s="816"/>
      <c r="G25" s="816"/>
      <c r="H25" s="816"/>
      <c r="I25" s="816"/>
      <c r="J25" s="816"/>
      <c r="K25" s="816"/>
      <c r="L25" s="816"/>
      <c r="M25" s="816"/>
      <c r="N25" s="816"/>
      <c r="O25" s="816"/>
      <c r="P25" s="212"/>
      <c r="Q25" s="847"/>
    </row>
    <row r="26" spans="2:17" ht="3.75" customHeight="1" x14ac:dyDescent="0.25">
      <c r="B26" s="805"/>
      <c r="C26" s="817"/>
      <c r="D26" s="818"/>
      <c r="E26" s="355"/>
      <c r="F26" s="355"/>
      <c r="G26" s="806"/>
      <c r="H26" s="806"/>
      <c r="I26" s="806"/>
      <c r="J26" s="806"/>
      <c r="K26" s="806"/>
      <c r="L26" s="806"/>
      <c r="M26" s="806"/>
      <c r="N26" s="806"/>
      <c r="O26" s="806"/>
      <c r="P26" s="212"/>
      <c r="Q26" s="847"/>
    </row>
    <row r="27" spans="2:17" x14ac:dyDescent="0.25">
      <c r="B27" s="805"/>
      <c r="C27" s="817"/>
      <c r="D27" s="1918" t="s">
        <v>13</v>
      </c>
      <c r="E27" s="1918"/>
      <c r="F27" s="355"/>
      <c r="G27" s="1931" t="s">
        <v>1390</v>
      </c>
      <c r="H27" s="1931"/>
      <c r="I27" s="1931"/>
      <c r="J27" s="1931"/>
      <c r="K27" s="1931"/>
      <c r="L27" s="1931"/>
      <c r="M27" s="1931"/>
      <c r="N27" s="1931"/>
      <c r="O27" s="1931"/>
      <c r="P27" s="212"/>
      <c r="Q27" s="847"/>
    </row>
    <row r="28" spans="2:17" ht="3.75" customHeight="1" x14ac:dyDescent="0.25">
      <c r="B28" s="805"/>
      <c r="C28" s="808"/>
      <c r="D28" s="402"/>
      <c r="E28" s="355"/>
      <c r="F28" s="355"/>
      <c r="G28" s="812"/>
      <c r="H28" s="812"/>
      <c r="I28" s="812"/>
      <c r="J28" s="812"/>
      <c r="K28" s="812"/>
      <c r="L28" s="812"/>
      <c r="M28" s="812"/>
      <c r="N28" s="812"/>
      <c r="O28" s="812"/>
      <c r="P28" s="212"/>
      <c r="Q28" s="847"/>
    </row>
    <row r="29" spans="2:17" x14ac:dyDescent="0.25">
      <c r="B29" s="805"/>
      <c r="C29" s="808"/>
      <c r="D29" s="402" t="s">
        <v>14</v>
      </c>
      <c r="E29" s="355"/>
      <c r="F29" s="355"/>
      <c r="G29" s="1932" t="s">
        <v>1383</v>
      </c>
      <c r="H29" s="1932"/>
      <c r="I29" s="810" t="s">
        <v>15</v>
      </c>
      <c r="J29" s="1931" t="s">
        <v>817</v>
      </c>
      <c r="K29" s="1931"/>
      <c r="L29" s="810" t="s">
        <v>16</v>
      </c>
      <c r="M29" s="1931">
        <v>98122</v>
      </c>
      <c r="N29" s="1931"/>
      <c r="O29" s="1931"/>
      <c r="P29" s="212"/>
      <c r="Q29" s="847"/>
    </row>
    <row r="30" spans="2:17" ht="3.75" customHeight="1" x14ac:dyDescent="0.25">
      <c r="B30" s="805"/>
      <c r="C30" s="817"/>
      <c r="D30" s="402"/>
      <c r="E30" s="355"/>
      <c r="F30" s="355"/>
      <c r="G30" s="806"/>
      <c r="H30" s="806"/>
      <c r="I30" s="806"/>
      <c r="J30" s="806"/>
      <c r="K30" s="806"/>
      <c r="L30" s="806"/>
      <c r="M30" s="806"/>
      <c r="N30" s="806"/>
      <c r="O30" s="806"/>
      <c r="P30" s="212"/>
      <c r="Q30" s="847"/>
    </row>
    <row r="31" spans="2:17" x14ac:dyDescent="0.25">
      <c r="B31" s="805"/>
      <c r="C31" s="817"/>
      <c r="D31" s="402" t="s">
        <v>17</v>
      </c>
      <c r="E31" s="355"/>
      <c r="F31" s="355"/>
      <c r="G31" s="1931">
        <v>37</v>
      </c>
      <c r="H31" s="1931"/>
      <c r="I31" s="355"/>
      <c r="J31" s="355"/>
      <c r="K31" s="810" t="s">
        <v>18</v>
      </c>
      <c r="L31" s="1931">
        <v>9</v>
      </c>
      <c r="M31" s="1931"/>
      <c r="N31" s="1931"/>
      <c r="O31" s="1931"/>
      <c r="P31" s="212"/>
      <c r="Q31" s="847"/>
    </row>
    <row r="32" spans="2:17" ht="3.75" customHeight="1" x14ac:dyDescent="0.25">
      <c r="B32" s="805"/>
      <c r="C32" s="817"/>
      <c r="D32" s="402"/>
      <c r="E32" s="355"/>
      <c r="F32" s="355"/>
      <c r="G32" s="806"/>
      <c r="H32" s="806"/>
      <c r="I32" s="806"/>
      <c r="J32" s="806"/>
      <c r="K32" s="806"/>
      <c r="L32" s="806"/>
      <c r="M32" s="806"/>
      <c r="N32" s="806"/>
      <c r="O32" s="806"/>
      <c r="P32" s="212"/>
      <c r="Q32" s="847"/>
    </row>
    <row r="33" spans="2:17" x14ac:dyDescent="0.25">
      <c r="B33" s="805"/>
      <c r="C33" s="817"/>
      <c r="D33" s="402" t="s">
        <v>19</v>
      </c>
      <c r="E33" s="355"/>
      <c r="F33" s="355"/>
      <c r="G33" s="841" t="s">
        <v>1391</v>
      </c>
      <c r="H33" s="810" t="s">
        <v>20</v>
      </c>
      <c r="I33" s="796">
        <v>47.613100000000003</v>
      </c>
      <c r="J33" s="355"/>
      <c r="K33" s="810" t="s">
        <v>21</v>
      </c>
      <c r="L33" s="1931">
        <v>-122.3017</v>
      </c>
      <c r="M33" s="1931"/>
      <c r="N33" s="1931"/>
      <c r="O33" s="1931"/>
      <c r="P33" s="212"/>
      <c r="Q33" s="847"/>
    </row>
    <row r="34" spans="2:17" ht="3.75" customHeight="1" x14ac:dyDescent="0.25">
      <c r="B34" s="805"/>
      <c r="C34" s="660"/>
      <c r="D34" s="402"/>
      <c r="E34" s="355"/>
      <c r="F34" s="355"/>
      <c r="G34" s="806"/>
      <c r="H34" s="806"/>
      <c r="I34" s="806"/>
      <c r="J34" s="806"/>
      <c r="K34" s="806"/>
      <c r="L34" s="806"/>
      <c r="M34" s="806"/>
      <c r="N34" s="806"/>
      <c r="O34" s="806"/>
      <c r="P34" s="212"/>
      <c r="Q34" s="847"/>
    </row>
    <row r="35" spans="2:17" x14ac:dyDescent="0.25">
      <c r="B35" s="805"/>
      <c r="C35" s="817"/>
      <c r="D35" s="402" t="s">
        <v>22</v>
      </c>
      <c r="E35" s="355"/>
      <c r="F35" s="355"/>
      <c r="G35" s="1931" t="s">
        <v>1392</v>
      </c>
      <c r="H35" s="1931"/>
      <c r="I35" s="1931"/>
      <c r="J35" s="1931"/>
      <c r="K35" s="1931"/>
      <c r="L35" s="1931"/>
      <c r="M35" s="1931"/>
      <c r="N35" s="1931"/>
      <c r="O35" s="1931"/>
      <c r="P35" s="212"/>
      <c r="Q35" s="847"/>
    </row>
    <row r="36" spans="2:17" ht="7.5" customHeight="1" x14ac:dyDescent="0.25">
      <c r="B36" s="805"/>
      <c r="C36" s="660"/>
      <c r="D36" s="355"/>
      <c r="E36" s="355"/>
      <c r="F36" s="355"/>
      <c r="G36" s="806"/>
      <c r="H36" s="806"/>
      <c r="I36" s="806"/>
      <c r="J36" s="806"/>
      <c r="K36" s="806"/>
      <c r="L36" s="806"/>
      <c r="M36" s="806"/>
      <c r="N36" s="806"/>
      <c r="O36" s="806"/>
      <c r="P36" s="212"/>
      <c r="Q36" s="847"/>
    </row>
    <row r="37" spans="2:17" ht="15.75" thickBot="1" x14ac:dyDescent="0.3">
      <c r="B37" s="805"/>
      <c r="C37" s="815" t="s">
        <v>646</v>
      </c>
      <c r="D37" s="816"/>
      <c r="E37" s="816"/>
      <c r="F37" s="816"/>
      <c r="G37" s="816"/>
      <c r="H37" s="816"/>
      <c r="I37" s="816"/>
      <c r="J37" s="816"/>
      <c r="K37" s="816"/>
      <c r="L37" s="816"/>
      <c r="M37" s="816"/>
      <c r="N37" s="816"/>
      <c r="O37" s="816"/>
      <c r="P37" s="212"/>
      <c r="Q37" s="847"/>
    </row>
    <row r="38" spans="2:17" ht="3.75" customHeight="1" x14ac:dyDescent="0.25">
      <c r="B38" s="805"/>
      <c r="C38" s="212"/>
      <c r="D38" s="355"/>
      <c r="E38" s="402"/>
      <c r="F38" s="402"/>
      <c r="G38" s="402"/>
      <c r="H38" s="402"/>
      <c r="I38" s="402"/>
      <c r="J38" s="402"/>
      <c r="K38" s="402"/>
      <c r="L38" s="355"/>
      <c r="M38" s="355"/>
      <c r="N38" s="355"/>
      <c r="O38" s="355"/>
      <c r="P38" s="212"/>
      <c r="Q38" s="847"/>
    </row>
    <row r="39" spans="2:17" x14ac:dyDescent="0.25">
      <c r="B39" s="805"/>
      <c r="C39" s="212"/>
      <c r="D39" s="355"/>
      <c r="E39" s="819" t="s">
        <v>23</v>
      </c>
      <c r="F39" s="842"/>
      <c r="G39" s="1929" t="s">
        <v>24</v>
      </c>
      <c r="H39" s="1919"/>
      <c r="I39" s="1930"/>
      <c r="J39" s="842"/>
      <c r="K39" s="814"/>
      <c r="L39" s="819" t="s">
        <v>25</v>
      </c>
      <c r="M39" s="842" t="s">
        <v>1384</v>
      </c>
      <c r="N39" s="820"/>
      <c r="O39" s="355"/>
      <c r="P39" s="212"/>
      <c r="Q39" s="847"/>
    </row>
    <row r="40" spans="2:17" ht="3.75" customHeight="1" x14ac:dyDescent="0.25">
      <c r="B40" s="805"/>
      <c r="C40" s="212"/>
      <c r="D40" s="355"/>
      <c r="E40" s="819"/>
      <c r="F40" s="821"/>
      <c r="G40" s="1919"/>
      <c r="H40" s="1919"/>
      <c r="I40" s="1919"/>
      <c r="J40" s="822"/>
      <c r="K40" s="821"/>
      <c r="L40" s="402"/>
      <c r="M40" s="402"/>
      <c r="N40" s="820"/>
      <c r="O40" s="355"/>
      <c r="P40" s="212"/>
      <c r="Q40" s="847"/>
    </row>
    <row r="41" spans="2:17" x14ac:dyDescent="0.25">
      <c r="B41" s="805"/>
      <c r="C41" s="212"/>
      <c r="D41" s="355"/>
      <c r="E41" s="819" t="s">
        <v>26</v>
      </c>
      <c r="F41" s="842"/>
      <c r="G41" s="1929" t="s">
        <v>27</v>
      </c>
      <c r="H41" s="1919"/>
      <c r="I41" s="1930"/>
      <c r="J41" s="842"/>
      <c r="K41" s="823"/>
      <c r="L41" s="819" t="s">
        <v>28</v>
      </c>
      <c r="M41" s="842"/>
      <c r="N41" s="820"/>
      <c r="O41" s="355"/>
      <c r="P41" s="212"/>
      <c r="Q41" s="847"/>
    </row>
    <row r="42" spans="2:17" ht="3.75" customHeight="1" x14ac:dyDescent="0.25">
      <c r="B42" s="805"/>
      <c r="C42" s="212"/>
      <c r="D42" s="355"/>
      <c r="E42" s="819"/>
      <c r="F42" s="821"/>
      <c r="G42" s="1919"/>
      <c r="H42" s="1919"/>
      <c r="I42" s="1919"/>
      <c r="J42" s="822"/>
      <c r="K42" s="821"/>
      <c r="L42" s="355"/>
      <c r="M42" s="355"/>
      <c r="N42" s="355"/>
      <c r="O42" s="355"/>
      <c r="P42" s="212"/>
      <c r="Q42" s="847"/>
    </row>
    <row r="43" spans="2:17" x14ac:dyDescent="0.25">
      <c r="B43" s="805"/>
      <c r="C43" s="212"/>
      <c r="D43" s="355"/>
      <c r="E43" s="819" t="s">
        <v>29</v>
      </c>
      <c r="F43" s="842" t="s">
        <v>1384</v>
      </c>
      <c r="G43" s="1929" t="s">
        <v>30</v>
      </c>
      <c r="H43" s="1919"/>
      <c r="I43" s="1930"/>
      <c r="J43" s="842" t="s">
        <v>1384</v>
      </c>
      <c r="K43" s="814"/>
      <c r="L43" s="821"/>
      <c r="M43" s="821"/>
      <c r="N43" s="355"/>
      <c r="O43" s="355"/>
      <c r="P43" s="212"/>
      <c r="Q43" s="847"/>
    </row>
    <row r="44" spans="2:17" ht="3.75" customHeight="1" x14ac:dyDescent="0.25">
      <c r="B44" s="805"/>
      <c r="C44" s="212"/>
      <c r="D44" s="355"/>
      <c r="E44" s="821"/>
      <c r="F44" s="821"/>
      <c r="G44" s="821"/>
      <c r="H44" s="821"/>
      <c r="I44" s="821"/>
      <c r="J44" s="821"/>
      <c r="K44" s="821"/>
      <c r="L44" s="355"/>
      <c r="M44" s="355"/>
      <c r="N44" s="355"/>
      <c r="O44" s="355"/>
      <c r="P44" s="212"/>
      <c r="Q44" s="847"/>
    </row>
    <row r="45" spans="2:17" x14ac:dyDescent="0.25">
      <c r="B45" s="805"/>
      <c r="C45" s="212"/>
      <c r="D45" s="355"/>
      <c r="E45" s="824" t="s">
        <v>31</v>
      </c>
      <c r="F45" s="842"/>
      <c r="G45" s="1929" t="s">
        <v>32</v>
      </c>
      <c r="H45" s="1919"/>
      <c r="I45" s="1930"/>
      <c r="J45" s="842"/>
      <c r="K45" s="825"/>
      <c r="L45" s="355"/>
      <c r="M45" s="355"/>
      <c r="N45" s="355"/>
      <c r="O45" s="355"/>
      <c r="P45" s="212"/>
      <c r="Q45" s="847"/>
    </row>
    <row r="46" spans="2:17" ht="3.75" customHeight="1" x14ac:dyDescent="0.25">
      <c r="B46" s="805"/>
      <c r="C46" s="212"/>
      <c r="D46" s="355"/>
      <c r="E46" s="819"/>
      <c r="F46" s="814"/>
      <c r="G46" s="819"/>
      <c r="H46" s="819"/>
      <c r="I46" s="819"/>
      <c r="J46" s="825"/>
      <c r="K46" s="825"/>
      <c r="L46" s="355"/>
      <c r="M46" s="355"/>
      <c r="N46" s="355"/>
      <c r="O46" s="355"/>
      <c r="P46" s="212"/>
      <c r="Q46" s="847"/>
    </row>
    <row r="47" spans="2:17" x14ac:dyDescent="0.25">
      <c r="B47" s="805"/>
      <c r="C47" s="212"/>
      <c r="D47" s="355" t="s">
        <v>33</v>
      </c>
      <c r="E47" s="355"/>
      <c r="F47" s="355"/>
      <c r="G47" s="821"/>
      <c r="H47" s="355"/>
      <c r="I47" s="826"/>
      <c r="J47" s="825"/>
      <c r="K47" s="825"/>
      <c r="L47" s="355"/>
      <c r="M47" s="355"/>
      <c r="N47" s="355"/>
      <c r="O47" s="355"/>
      <c r="P47" s="212"/>
      <c r="Q47" s="847"/>
    </row>
    <row r="48" spans="2:17" ht="3.75" customHeight="1" x14ac:dyDescent="0.25">
      <c r="B48" s="805"/>
      <c r="C48" s="212"/>
      <c r="D48" s="355"/>
      <c r="E48" s="402"/>
      <c r="F48" s="821"/>
      <c r="G48" s="821"/>
      <c r="H48" s="355"/>
      <c r="I48" s="826"/>
      <c r="J48" s="825"/>
      <c r="K48" s="825"/>
      <c r="L48" s="355"/>
      <c r="M48" s="355"/>
      <c r="N48" s="355"/>
      <c r="O48" s="355"/>
      <c r="P48" s="212"/>
      <c r="Q48" s="847"/>
    </row>
    <row r="49" spans="2:17" x14ac:dyDescent="0.25">
      <c r="B49" s="805"/>
      <c r="C49" s="212"/>
      <c r="D49" s="1920" t="s">
        <v>1393</v>
      </c>
      <c r="E49" s="1921"/>
      <c r="F49" s="1921"/>
      <c r="G49" s="1921"/>
      <c r="H49" s="1921"/>
      <c r="I49" s="1921"/>
      <c r="J49" s="1921"/>
      <c r="K49" s="1921"/>
      <c r="L49" s="1921"/>
      <c r="M49" s="1921"/>
      <c r="N49" s="1921"/>
      <c r="O49" s="1922"/>
      <c r="P49" s="212"/>
      <c r="Q49" s="847"/>
    </row>
    <row r="50" spans="2:17" x14ac:dyDescent="0.25">
      <c r="B50" s="805"/>
      <c r="C50" s="212"/>
      <c r="D50" s="1923"/>
      <c r="E50" s="1924"/>
      <c r="F50" s="1924"/>
      <c r="G50" s="1924"/>
      <c r="H50" s="1924"/>
      <c r="I50" s="1924"/>
      <c r="J50" s="1924"/>
      <c r="K50" s="1924"/>
      <c r="L50" s="1924"/>
      <c r="M50" s="1924"/>
      <c r="N50" s="1924"/>
      <c r="O50" s="1925"/>
      <c r="P50" s="212"/>
      <c r="Q50" s="847"/>
    </row>
    <row r="51" spans="2:17" x14ac:dyDescent="0.25">
      <c r="B51" s="805"/>
      <c r="C51" s="212"/>
      <c r="D51" s="1923"/>
      <c r="E51" s="1924"/>
      <c r="F51" s="1924"/>
      <c r="G51" s="1924"/>
      <c r="H51" s="1924"/>
      <c r="I51" s="1924"/>
      <c r="J51" s="1924"/>
      <c r="K51" s="1924"/>
      <c r="L51" s="1924"/>
      <c r="M51" s="1924"/>
      <c r="N51" s="1924"/>
      <c r="O51" s="1925"/>
      <c r="P51" s="212"/>
      <c r="Q51" s="847"/>
    </row>
    <row r="52" spans="2:17" x14ac:dyDescent="0.25">
      <c r="B52" s="805"/>
      <c r="C52" s="212"/>
      <c r="D52" s="1923"/>
      <c r="E52" s="1924"/>
      <c r="F52" s="1924"/>
      <c r="G52" s="1924"/>
      <c r="H52" s="1924"/>
      <c r="I52" s="1924"/>
      <c r="J52" s="1924"/>
      <c r="K52" s="1924"/>
      <c r="L52" s="1924"/>
      <c r="M52" s="1924"/>
      <c r="N52" s="1924"/>
      <c r="O52" s="1925"/>
      <c r="P52" s="212"/>
      <c r="Q52" s="847"/>
    </row>
    <row r="53" spans="2:17" x14ac:dyDescent="0.25">
      <c r="B53" s="805"/>
      <c r="C53" s="212"/>
      <c r="D53" s="1926"/>
      <c r="E53" s="1927"/>
      <c r="F53" s="1927"/>
      <c r="G53" s="1927"/>
      <c r="H53" s="1927"/>
      <c r="I53" s="1927"/>
      <c r="J53" s="1927"/>
      <c r="K53" s="1927"/>
      <c r="L53" s="1927"/>
      <c r="M53" s="1927"/>
      <c r="N53" s="1927"/>
      <c r="O53" s="1928"/>
      <c r="P53" s="212"/>
      <c r="Q53" s="847"/>
    </row>
    <row r="54" spans="2:17" ht="15" customHeight="1" thickBot="1" x14ac:dyDescent="0.3">
      <c r="B54" s="805"/>
      <c r="C54" s="212"/>
      <c r="D54" s="827"/>
      <c r="E54" s="827"/>
      <c r="F54" s="828"/>
      <c r="G54" s="827"/>
      <c r="H54" s="828"/>
      <c r="I54" s="828"/>
      <c r="J54" s="828"/>
      <c r="K54" s="828"/>
      <c r="L54" s="828"/>
      <c r="M54" s="828"/>
      <c r="N54" s="828"/>
      <c r="O54" s="828"/>
      <c r="P54" s="212"/>
      <c r="Q54" s="847"/>
    </row>
    <row r="55" spans="2:17" ht="15" customHeight="1" thickBot="1" x14ac:dyDescent="0.3">
      <c r="B55" s="805"/>
      <c r="C55" s="212"/>
      <c r="D55" s="829" t="s">
        <v>34</v>
      </c>
      <c r="E55" s="827"/>
      <c r="F55" s="1541">
        <v>1</v>
      </c>
      <c r="G55" s="830" t="str">
        <f>IF(F55&gt;1,"STOP!","")</f>
        <v/>
      </c>
      <c r="H55" s="1933" t="str">
        <f>IF(G55="STOP!","Projects incorporating more than one Site must submit a multiple-Site set of Forms. Please contact Sean Harrington via email at sean.harrington@commerce.wa.gov to request a set tailored for your Project","")</f>
        <v/>
      </c>
      <c r="I55" s="1933"/>
      <c r="J55" s="1933"/>
      <c r="K55" s="1933"/>
      <c r="L55" s="1933"/>
      <c r="M55" s="1933"/>
      <c r="N55" s="1933"/>
      <c r="O55" s="831"/>
      <c r="P55" s="212"/>
      <c r="Q55" s="847"/>
    </row>
    <row r="56" spans="2:17" ht="15" customHeight="1" thickBot="1" x14ac:dyDescent="0.3">
      <c r="B56" s="805"/>
      <c r="C56" s="212"/>
      <c r="D56" s="827"/>
      <c r="E56" s="827"/>
      <c r="F56" s="828"/>
      <c r="G56" s="827"/>
      <c r="H56" s="1933"/>
      <c r="I56" s="1933"/>
      <c r="J56" s="1933"/>
      <c r="K56" s="1933"/>
      <c r="L56" s="1933"/>
      <c r="M56" s="1933"/>
      <c r="N56" s="1933"/>
      <c r="O56" s="831"/>
      <c r="P56" s="212"/>
      <c r="Q56" s="847"/>
    </row>
    <row r="57" spans="2:17" ht="15" customHeight="1" thickTop="1" thickBot="1" x14ac:dyDescent="0.3">
      <c r="B57" s="805"/>
      <c r="C57" s="212"/>
      <c r="D57" s="272" t="s">
        <v>36</v>
      </c>
      <c r="E57" s="355"/>
      <c r="F57" s="832">
        <f>'1B'!L21</f>
        <v>115</v>
      </c>
      <c r="G57" s="355"/>
      <c r="H57" s="1933"/>
      <c r="I57" s="1933"/>
      <c r="J57" s="1933"/>
      <c r="K57" s="1933"/>
      <c r="L57" s="1933"/>
      <c r="M57" s="1933"/>
      <c r="N57" s="1933"/>
      <c r="O57" s="831"/>
      <c r="P57" s="212"/>
      <c r="Q57" s="847"/>
    </row>
    <row r="58" spans="2:17" ht="15" customHeight="1" thickTop="1" x14ac:dyDescent="0.25">
      <c r="B58" s="805"/>
      <c r="C58" s="212"/>
      <c r="D58" s="833"/>
      <c r="E58" s="212"/>
      <c r="F58" s="355"/>
      <c r="G58" s="355"/>
      <c r="H58" s="1933"/>
      <c r="I58" s="1933"/>
      <c r="J58" s="1933"/>
      <c r="K58" s="1933"/>
      <c r="L58" s="1933"/>
      <c r="M58" s="1933"/>
      <c r="N58" s="1933"/>
      <c r="O58" s="831"/>
      <c r="P58" s="212"/>
      <c r="Q58" s="847"/>
    </row>
    <row r="59" spans="2:17" ht="15" customHeight="1" x14ac:dyDescent="0.25">
      <c r="B59" s="805"/>
      <c r="C59" s="212"/>
      <c r="D59" s="212"/>
      <c r="E59" s="834"/>
      <c r="F59" s="835"/>
      <c r="G59" s="834"/>
      <c r="H59" s="834"/>
      <c r="I59" s="834"/>
      <c r="J59" s="836"/>
      <c r="K59" s="836"/>
      <c r="L59" s="212"/>
      <c r="M59" s="212"/>
      <c r="N59" s="212"/>
      <c r="O59" s="212"/>
      <c r="P59" s="212"/>
      <c r="Q59" s="847"/>
    </row>
    <row r="60" spans="2:17" ht="3.75" customHeight="1" thickBot="1" x14ac:dyDescent="0.3">
      <c r="B60" s="837"/>
      <c r="C60" s="838"/>
      <c r="D60" s="838"/>
      <c r="E60" s="838"/>
      <c r="F60" s="697"/>
      <c r="G60" s="838"/>
      <c r="H60" s="838"/>
      <c r="I60" s="838"/>
      <c r="J60" s="838"/>
      <c r="K60" s="839"/>
      <c r="L60" s="697"/>
      <c r="M60" s="697"/>
      <c r="N60" s="697"/>
      <c r="O60" s="838"/>
      <c r="P60" s="838"/>
      <c r="Q60" s="848"/>
    </row>
  </sheetData>
  <sheetProtection password="9F6B" sheet="1" objects="1" scenarios="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24" priority="1" operator="equal">
      <formula>"X"</formula>
    </cfRule>
  </conditionalFormatting>
  <dataValidations count="2">
    <dataValidation type="list" allowBlank="1" showInputMessage="1" showErrorMessage="1" sqref="L21">
      <formula1>"Yes,No"</formula1>
    </dataValidation>
    <dataValidation type="list" allowBlank="1" showInputMessage="1" showErrorMessage="1" sqref="F39 F41 M41 M39 J45 J43 J41 J39 F45 F43">
      <formula1>"X"</formula1>
    </dataValidation>
  </dataValidations>
  <pageMargins left="0.7" right="0.7" top="0.75" bottom="0.75" header="0.3" footer="0.3"/>
  <pageSetup scale="91" orientation="portrait" r:id="rId1"/>
  <headerFooter>
    <oddFooter>&amp;LForm 1A
Project Summary&amp;CCFA Forms&amp;REdition 2015
Version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25"/>
  <sheetViews>
    <sheetView showGridLines="0" zoomScaleNormal="100" workbookViewId="0">
      <selection activeCell="I24" sqref="I24"/>
    </sheetView>
  </sheetViews>
  <sheetFormatPr defaultRowHeight="15" x14ac:dyDescent="0.25"/>
  <cols>
    <col min="1" max="2" width="1.7109375" style="849" customWidth="1"/>
    <col min="3" max="3" width="14" style="849" bestFit="1" customWidth="1"/>
    <col min="4" max="11" width="9.140625" style="849"/>
    <col min="12" max="12" width="10.5703125" style="849" bestFit="1" customWidth="1"/>
    <col min="13" max="14" width="1.7109375" style="849" customWidth="1"/>
    <col min="15" max="16384" width="9.140625" style="849"/>
  </cols>
  <sheetData>
    <row r="1" spans="2:13" ht="9" customHeight="1" thickBot="1" x14ac:dyDescent="0.3"/>
    <row r="2" spans="2:13" ht="9" customHeight="1" x14ac:dyDescent="0.25">
      <c r="B2" s="803"/>
      <c r="C2" s="804"/>
      <c r="D2" s="804"/>
      <c r="E2" s="804"/>
      <c r="F2" s="804"/>
      <c r="G2" s="804"/>
      <c r="H2" s="804"/>
      <c r="I2" s="804"/>
      <c r="J2" s="804"/>
      <c r="K2" s="804"/>
      <c r="L2" s="804"/>
      <c r="M2" s="846"/>
    </row>
    <row r="3" spans="2:13" ht="18.75" x14ac:dyDescent="0.3">
      <c r="B3" s="805"/>
      <c r="C3" s="1937" t="s">
        <v>37</v>
      </c>
      <c r="D3" s="1937"/>
      <c r="E3" s="1937"/>
      <c r="F3" s="1937"/>
      <c r="G3" s="1937"/>
      <c r="H3" s="1937"/>
      <c r="I3" s="1937"/>
      <c r="J3" s="1937"/>
      <c r="K3" s="1937"/>
      <c r="L3" s="1937"/>
      <c r="M3" s="847"/>
    </row>
    <row r="4" spans="2:13" x14ac:dyDescent="0.25">
      <c r="B4" s="805"/>
      <c r="C4" s="212"/>
      <c r="D4" s="212"/>
      <c r="E4" s="212"/>
      <c r="F4" s="212"/>
      <c r="G4" s="212"/>
      <c r="H4" s="212"/>
      <c r="I4" s="212"/>
      <c r="J4" s="212"/>
      <c r="K4" s="212"/>
      <c r="L4" s="212"/>
      <c r="M4" s="847"/>
    </row>
    <row r="5" spans="2:13" x14ac:dyDescent="0.25">
      <c r="B5" s="805"/>
      <c r="C5" s="660" t="s">
        <v>1</v>
      </c>
      <c r="D5" s="1936" t="str">
        <f>IF('1A'!G5="","Enter Project Name on Form 1A",'1A'!G5)</f>
        <v>Liberty Bank Building</v>
      </c>
      <c r="E5" s="1936"/>
      <c r="F5" s="1936"/>
      <c r="G5" s="1936"/>
      <c r="H5" s="1936"/>
      <c r="I5" s="212"/>
      <c r="J5" s="212"/>
      <c r="K5" s="212"/>
      <c r="L5" s="212"/>
      <c r="M5" s="847"/>
    </row>
    <row r="6" spans="2:13" ht="22.5" customHeight="1" thickBot="1" x14ac:dyDescent="0.3">
      <c r="B6" s="805"/>
      <c r="C6" s="217"/>
      <c r="D6" s="212"/>
      <c r="E6" s="212"/>
      <c r="F6" s="212"/>
      <c r="G6" s="212"/>
      <c r="H6" s="212"/>
      <c r="I6" s="212"/>
      <c r="J6" s="212"/>
      <c r="K6" s="212"/>
      <c r="L6" s="212"/>
      <c r="M6" s="847"/>
    </row>
    <row r="7" spans="2:13" ht="30.75" thickBot="1" x14ac:dyDescent="0.3">
      <c r="B7" s="862"/>
      <c r="C7" s="863" t="s">
        <v>38</v>
      </c>
      <c r="D7" s="864" t="s">
        <v>39</v>
      </c>
      <c r="E7" s="865" t="s">
        <v>40</v>
      </c>
      <c r="F7" s="865" t="s">
        <v>41</v>
      </c>
      <c r="G7" s="865" t="s">
        <v>42</v>
      </c>
      <c r="H7" s="865" t="s">
        <v>43</v>
      </c>
      <c r="I7" s="866" t="s">
        <v>44</v>
      </c>
      <c r="J7" s="866" t="s">
        <v>45</v>
      </c>
      <c r="K7" s="1546" t="s">
        <v>46</v>
      </c>
      <c r="L7" s="1552" t="s">
        <v>47</v>
      </c>
      <c r="M7" s="867"/>
    </row>
    <row r="8" spans="2:13" x14ac:dyDescent="0.25">
      <c r="B8" s="862"/>
      <c r="C8" s="868">
        <v>0.25</v>
      </c>
      <c r="D8" s="850"/>
      <c r="E8" s="851"/>
      <c r="F8" s="851"/>
      <c r="G8" s="851"/>
      <c r="H8" s="851"/>
      <c r="I8" s="852"/>
      <c r="J8" s="852"/>
      <c r="K8" s="1547"/>
      <c r="L8" s="1553">
        <f t="shared" ref="L8:L17" si="0">SUM(D8:K8)</f>
        <v>0</v>
      </c>
      <c r="M8" s="867"/>
    </row>
    <row r="9" spans="2:13" x14ac:dyDescent="0.25">
      <c r="B9" s="862"/>
      <c r="C9" s="1542">
        <v>0.3</v>
      </c>
      <c r="D9" s="1543"/>
      <c r="E9" s="853"/>
      <c r="F9" s="853">
        <v>1</v>
      </c>
      <c r="G9" s="853">
        <v>4</v>
      </c>
      <c r="H9" s="853">
        <v>3</v>
      </c>
      <c r="I9" s="854"/>
      <c r="J9" s="854"/>
      <c r="K9" s="1548"/>
      <c r="L9" s="1554">
        <f t="shared" si="0"/>
        <v>8</v>
      </c>
      <c r="M9" s="867"/>
    </row>
    <row r="10" spans="2:13" x14ac:dyDescent="0.25">
      <c r="B10" s="862"/>
      <c r="C10" s="1542">
        <v>0.35</v>
      </c>
      <c r="D10" s="1543"/>
      <c r="E10" s="853"/>
      <c r="F10" s="853"/>
      <c r="G10" s="853"/>
      <c r="H10" s="853"/>
      <c r="I10" s="854"/>
      <c r="J10" s="854"/>
      <c r="K10" s="1548"/>
      <c r="L10" s="1554">
        <f t="shared" si="0"/>
        <v>0</v>
      </c>
      <c r="M10" s="867"/>
    </row>
    <row r="11" spans="2:13" x14ac:dyDescent="0.25">
      <c r="B11" s="862"/>
      <c r="C11" s="1542">
        <v>0.4</v>
      </c>
      <c r="D11" s="1543"/>
      <c r="E11" s="853"/>
      <c r="F11" s="853"/>
      <c r="G11" s="853"/>
      <c r="H11" s="853"/>
      <c r="I11" s="854"/>
      <c r="J11" s="854"/>
      <c r="K11" s="1548"/>
      <c r="L11" s="1554">
        <f t="shared" si="0"/>
        <v>0</v>
      </c>
      <c r="M11" s="867"/>
    </row>
    <row r="12" spans="2:13" x14ac:dyDescent="0.25">
      <c r="B12" s="862"/>
      <c r="C12" s="1542">
        <v>0.45</v>
      </c>
      <c r="D12" s="1543"/>
      <c r="E12" s="853"/>
      <c r="F12" s="853"/>
      <c r="G12" s="853"/>
      <c r="H12" s="853"/>
      <c r="I12" s="854"/>
      <c r="J12" s="854"/>
      <c r="K12" s="1548"/>
      <c r="L12" s="1554">
        <f t="shared" si="0"/>
        <v>0</v>
      </c>
      <c r="M12" s="867"/>
    </row>
    <row r="13" spans="2:13" x14ac:dyDescent="0.25">
      <c r="B13" s="862"/>
      <c r="C13" s="1542">
        <v>0.5</v>
      </c>
      <c r="D13" s="1543"/>
      <c r="E13" s="853"/>
      <c r="F13" s="853">
        <v>5</v>
      </c>
      <c r="G13" s="853">
        <v>5</v>
      </c>
      <c r="H13" s="853"/>
      <c r="I13" s="854"/>
      <c r="J13" s="854"/>
      <c r="K13" s="1548"/>
      <c r="L13" s="1554">
        <f t="shared" si="0"/>
        <v>10</v>
      </c>
      <c r="M13" s="867"/>
    </row>
    <row r="14" spans="2:13" x14ac:dyDescent="0.25">
      <c r="B14" s="862"/>
      <c r="C14" s="1542">
        <v>0.55000000000000004</v>
      </c>
      <c r="D14" s="1543"/>
      <c r="E14" s="853"/>
      <c r="F14" s="853"/>
      <c r="G14" s="853"/>
      <c r="H14" s="853"/>
      <c r="I14" s="854"/>
      <c r="J14" s="854"/>
      <c r="K14" s="1548"/>
      <c r="L14" s="1554">
        <f t="shared" si="0"/>
        <v>0</v>
      </c>
      <c r="M14" s="867"/>
    </row>
    <row r="15" spans="2:13" x14ac:dyDescent="0.25">
      <c r="B15" s="862"/>
      <c r="C15" s="1542">
        <v>0.6</v>
      </c>
      <c r="D15" s="1543"/>
      <c r="E15" s="853"/>
      <c r="F15" s="853">
        <v>19</v>
      </c>
      <c r="G15" s="853">
        <v>65</v>
      </c>
      <c r="H15" s="853">
        <v>12</v>
      </c>
      <c r="I15" s="854"/>
      <c r="J15" s="854"/>
      <c r="K15" s="1548"/>
      <c r="L15" s="1554">
        <f t="shared" si="0"/>
        <v>96</v>
      </c>
      <c r="M15" s="867"/>
    </row>
    <row r="16" spans="2:13" x14ac:dyDescent="0.25">
      <c r="B16" s="862"/>
      <c r="C16" s="1542">
        <v>0.65</v>
      </c>
      <c r="D16" s="1544"/>
      <c r="E16" s="1545"/>
      <c r="F16" s="1545"/>
      <c r="G16" s="1545"/>
      <c r="H16" s="1545"/>
      <c r="I16" s="1545"/>
      <c r="J16" s="1545"/>
      <c r="K16" s="1549"/>
      <c r="L16" s="1554">
        <f t="shared" si="0"/>
        <v>0</v>
      </c>
      <c r="M16" s="867"/>
    </row>
    <row r="17" spans="2:13" x14ac:dyDescent="0.25">
      <c r="B17" s="862"/>
      <c r="C17" s="1542">
        <v>0.8</v>
      </c>
      <c r="D17" s="1543"/>
      <c r="E17" s="853"/>
      <c r="F17" s="853"/>
      <c r="G17" s="853"/>
      <c r="H17" s="853"/>
      <c r="I17" s="854"/>
      <c r="J17" s="854"/>
      <c r="K17" s="1548"/>
      <c r="L17" s="1554">
        <f t="shared" si="0"/>
        <v>0</v>
      </c>
      <c r="M17" s="867"/>
    </row>
    <row r="18" spans="2:13" ht="25.5" x14ac:dyDescent="0.25">
      <c r="B18" s="862"/>
      <c r="C18" s="869" t="s">
        <v>48</v>
      </c>
      <c r="D18" s="870">
        <f t="shared" ref="D18:L18" si="1">SUM(D8:D17)</f>
        <v>0</v>
      </c>
      <c r="E18" s="871">
        <f t="shared" si="1"/>
        <v>0</v>
      </c>
      <c r="F18" s="871">
        <f t="shared" si="1"/>
        <v>25</v>
      </c>
      <c r="G18" s="871">
        <f t="shared" si="1"/>
        <v>74</v>
      </c>
      <c r="H18" s="871">
        <f t="shared" si="1"/>
        <v>15</v>
      </c>
      <c r="I18" s="872">
        <f t="shared" si="1"/>
        <v>0</v>
      </c>
      <c r="J18" s="872">
        <f t="shared" si="1"/>
        <v>0</v>
      </c>
      <c r="K18" s="1550">
        <f t="shared" si="1"/>
        <v>0</v>
      </c>
      <c r="L18" s="873">
        <f t="shared" si="1"/>
        <v>114</v>
      </c>
      <c r="M18" s="867"/>
    </row>
    <row r="19" spans="2:13" x14ac:dyDescent="0.25">
      <c r="B19" s="862"/>
      <c r="C19" s="874" t="s">
        <v>49</v>
      </c>
      <c r="D19" s="850"/>
      <c r="E19" s="851"/>
      <c r="F19" s="851"/>
      <c r="G19" s="851"/>
      <c r="H19" s="851"/>
      <c r="I19" s="852"/>
      <c r="J19" s="852"/>
      <c r="K19" s="1547"/>
      <c r="L19" s="1555">
        <f>SUM(D19:K19)</f>
        <v>0</v>
      </c>
      <c r="M19" s="867"/>
    </row>
    <row r="20" spans="2:13" ht="15.75" thickBot="1" x14ac:dyDescent="0.3">
      <c r="B20" s="862"/>
      <c r="C20" s="875" t="s">
        <v>50</v>
      </c>
      <c r="D20" s="855"/>
      <c r="E20" s="856"/>
      <c r="F20" s="856"/>
      <c r="G20" s="856">
        <v>1</v>
      </c>
      <c r="H20" s="856"/>
      <c r="I20" s="857"/>
      <c r="J20" s="857"/>
      <c r="K20" s="1551"/>
      <c r="L20" s="1556">
        <f>SUM(D20:K20)</f>
        <v>1</v>
      </c>
      <c r="M20" s="867"/>
    </row>
    <row r="21" spans="2:13" ht="16.5" thickTop="1" thickBot="1" x14ac:dyDescent="0.3">
      <c r="B21" s="862"/>
      <c r="C21" s="876" t="s">
        <v>51</v>
      </c>
      <c r="D21" s="877">
        <f>D18+D19+D20</f>
        <v>0</v>
      </c>
      <c r="E21" s="878">
        <f t="shared" ref="E21:K21" si="2">E18+E19+E20</f>
        <v>0</v>
      </c>
      <c r="F21" s="878">
        <f t="shared" si="2"/>
        <v>25</v>
      </c>
      <c r="G21" s="878">
        <f t="shared" si="2"/>
        <v>75</v>
      </c>
      <c r="H21" s="878">
        <f t="shared" si="2"/>
        <v>15</v>
      </c>
      <c r="I21" s="879">
        <f t="shared" si="2"/>
        <v>0</v>
      </c>
      <c r="J21" s="879">
        <f t="shared" si="2"/>
        <v>0</v>
      </c>
      <c r="K21" s="879">
        <f t="shared" si="2"/>
        <v>0</v>
      </c>
      <c r="L21" s="1558">
        <f>SUM(L18:L20)</f>
        <v>115</v>
      </c>
      <c r="M21" s="867"/>
    </row>
    <row r="22" spans="2:13" ht="7.5" customHeight="1" thickTop="1" thickBot="1" x14ac:dyDescent="0.3">
      <c r="B22" s="862"/>
      <c r="C22" s="880"/>
      <c r="D22" s="881"/>
      <c r="E22" s="881"/>
      <c r="F22" s="881"/>
      <c r="G22" s="881"/>
      <c r="H22" s="881"/>
      <c r="I22" s="882"/>
      <c r="J22" s="882"/>
      <c r="K22" s="882"/>
      <c r="L22" s="1557"/>
      <c r="M22" s="867"/>
    </row>
    <row r="23" spans="2:13" ht="25.5" x14ac:dyDescent="0.25">
      <c r="B23" s="862"/>
      <c r="C23" s="883" t="s">
        <v>52</v>
      </c>
      <c r="D23" s="858"/>
      <c r="E23" s="859"/>
      <c r="F23" s="859">
        <v>5</v>
      </c>
      <c r="G23" s="859">
        <v>5</v>
      </c>
      <c r="H23" s="859">
        <v>5</v>
      </c>
      <c r="I23" s="859"/>
      <c r="J23" s="859"/>
      <c r="K23" s="859"/>
      <c r="L23" s="884">
        <f>SUM(D23:K23)</f>
        <v>15</v>
      </c>
      <c r="M23" s="867"/>
    </row>
    <row r="24" spans="2:13" ht="15.75" thickBot="1" x14ac:dyDescent="0.3">
      <c r="B24" s="862"/>
      <c r="C24" s="885" t="s">
        <v>647</v>
      </c>
      <c r="D24" s="860"/>
      <c r="E24" s="861"/>
      <c r="F24" s="861">
        <v>525</v>
      </c>
      <c r="G24" s="861">
        <v>650</v>
      </c>
      <c r="H24" s="861">
        <v>875</v>
      </c>
      <c r="I24" s="861"/>
      <c r="J24" s="861"/>
      <c r="K24" s="861"/>
      <c r="L24" s="886"/>
      <c r="M24" s="867"/>
    </row>
    <row r="25" spans="2:13" ht="9" customHeight="1" thickBot="1" x14ac:dyDescent="0.3">
      <c r="B25" s="887"/>
      <c r="C25" s="888"/>
      <c r="D25" s="888"/>
      <c r="E25" s="888"/>
      <c r="F25" s="888"/>
      <c r="G25" s="888"/>
      <c r="H25" s="888"/>
      <c r="I25" s="888"/>
      <c r="J25" s="888"/>
      <c r="K25" s="888"/>
      <c r="L25" s="888"/>
      <c r="M25" s="889"/>
    </row>
  </sheetData>
  <sheetProtection password="9F6B" sheet="1" objects="1" scenarios="1" formatCells="0" formatColumns="0" formatRows="0"/>
  <mergeCells count="2">
    <mergeCell ref="D5:H5"/>
    <mergeCell ref="C3:L3"/>
  </mergeCells>
  <pageMargins left="0.7" right="0.7" top="0.75" bottom="0.75" header="0.3" footer="0.3"/>
  <pageSetup orientation="landscape" r:id="rId1"/>
  <headerFooter>
    <oddFooter>&amp;LForm 1B
Unit Configuration and Affordability&amp;CCFA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3"/>
  <sheetViews>
    <sheetView showGridLines="0" topLeftCell="D1" zoomScaleNormal="100" workbookViewId="0">
      <selection activeCell="L9" sqref="L9"/>
    </sheetView>
  </sheetViews>
  <sheetFormatPr defaultRowHeight="15" x14ac:dyDescent="0.25"/>
  <cols>
    <col min="1" max="2" width="1.7109375" style="843" customWidth="1"/>
    <col min="3" max="3" width="14.28515625" style="843" customWidth="1"/>
    <col min="4" max="4" width="28.140625" style="843" bestFit="1" customWidth="1"/>
    <col min="5" max="5" width="26.140625" style="843" bestFit="1" customWidth="1"/>
    <col min="6" max="6" width="14.7109375" style="843" bestFit="1" customWidth="1"/>
    <col min="7" max="7" width="11.5703125" style="843" customWidth="1"/>
    <col min="8" max="8" width="9.28515625" style="843" customWidth="1"/>
    <col min="9" max="9" width="8.7109375" style="843" customWidth="1"/>
    <col min="10" max="11" width="9.140625" style="843"/>
    <col min="12" max="13" width="10.140625" style="843" bestFit="1" customWidth="1"/>
    <col min="14" max="15" width="1.7109375" style="843" customWidth="1"/>
    <col min="16" max="16384" width="9.140625" style="843"/>
  </cols>
  <sheetData>
    <row r="1" spans="2:14" ht="9" customHeight="1" thickBot="1" x14ac:dyDescent="0.3"/>
    <row r="2" spans="2:14" ht="9" customHeight="1" x14ac:dyDescent="0.25">
      <c r="B2" s="896"/>
      <c r="C2" s="897"/>
      <c r="D2" s="897"/>
      <c r="E2" s="897"/>
      <c r="F2" s="897"/>
      <c r="G2" s="898"/>
      <c r="H2" s="897"/>
      <c r="I2" s="897"/>
      <c r="J2" s="897"/>
      <c r="K2" s="897"/>
      <c r="L2" s="897"/>
      <c r="M2" s="897"/>
      <c r="N2" s="899"/>
    </row>
    <row r="3" spans="2:14" ht="18.75" x14ac:dyDescent="0.3">
      <c r="B3" s="900"/>
      <c r="C3" s="1917" t="s">
        <v>53</v>
      </c>
      <c r="D3" s="1917"/>
      <c r="E3" s="1917"/>
      <c r="F3" s="1917"/>
      <c r="G3" s="1917"/>
      <c r="H3" s="1917"/>
      <c r="I3" s="1917"/>
      <c r="J3" s="1917"/>
      <c r="K3" s="1917"/>
      <c r="L3" s="1917"/>
      <c r="M3" s="1917"/>
      <c r="N3" s="901"/>
    </row>
    <row r="4" spans="2:14" x14ac:dyDescent="0.25">
      <c r="B4" s="900"/>
      <c r="C4" s="902"/>
      <c r="D4" s="902"/>
      <c r="E4" s="902"/>
      <c r="F4" s="902"/>
      <c r="G4" s="247"/>
      <c r="H4" s="902"/>
      <c r="I4" s="902"/>
      <c r="J4" s="902"/>
      <c r="K4" s="902"/>
      <c r="L4" s="902"/>
      <c r="M4" s="902"/>
      <c r="N4" s="901"/>
    </row>
    <row r="5" spans="2:14" x14ac:dyDescent="0.25">
      <c r="B5" s="900"/>
      <c r="C5" s="807" t="s">
        <v>1</v>
      </c>
      <c r="D5" s="1938" t="str">
        <f>IF('1A'!G5="","Enter Project Name on Form 1A",'1A'!G5)</f>
        <v>Liberty Bank Building</v>
      </c>
      <c r="E5" s="1938"/>
      <c r="F5" s="1938"/>
      <c r="G5" s="903"/>
      <c r="H5" s="903"/>
      <c r="I5" s="903"/>
      <c r="J5" s="813"/>
      <c r="K5" s="902"/>
      <c r="L5" s="902"/>
      <c r="M5" s="902"/>
      <c r="N5" s="901"/>
    </row>
    <row r="6" spans="2:14" ht="22.5" customHeight="1" thickBot="1" x14ac:dyDescent="0.3">
      <c r="B6" s="900"/>
      <c r="C6" s="902"/>
      <c r="D6" s="902"/>
      <c r="E6" s="902"/>
      <c r="F6" s="902"/>
      <c r="G6" s="247"/>
      <c r="H6" s="902"/>
      <c r="I6" s="902"/>
      <c r="J6" s="902"/>
      <c r="K6" s="902"/>
      <c r="L6" s="902"/>
      <c r="M6" s="902"/>
      <c r="N6" s="901"/>
    </row>
    <row r="7" spans="2:14" ht="60" x14ac:dyDescent="0.25">
      <c r="B7" s="904"/>
      <c r="C7" s="905" t="s">
        <v>648</v>
      </c>
      <c r="D7" s="1786" t="s">
        <v>1358</v>
      </c>
      <c r="E7" s="906" t="s">
        <v>54</v>
      </c>
      <c r="F7" s="907" t="s">
        <v>55</v>
      </c>
      <c r="G7" s="908" t="s">
        <v>57</v>
      </c>
      <c r="H7" s="907" t="s">
        <v>58</v>
      </c>
      <c r="I7" s="907" t="s">
        <v>59</v>
      </c>
      <c r="J7" s="909" t="s">
        <v>60</v>
      </c>
      <c r="K7" s="910" t="s">
        <v>51</v>
      </c>
      <c r="L7" s="908" t="s">
        <v>56</v>
      </c>
      <c r="M7" s="911" t="s">
        <v>61</v>
      </c>
      <c r="N7" s="912"/>
    </row>
    <row r="8" spans="2:14" x14ac:dyDescent="0.25">
      <c r="B8" s="900"/>
      <c r="C8" s="1779">
        <v>1</v>
      </c>
      <c r="D8" s="1788" t="s">
        <v>1390</v>
      </c>
      <c r="E8" s="890" t="s">
        <v>1394</v>
      </c>
      <c r="F8" s="1787" t="s">
        <v>29</v>
      </c>
      <c r="G8" s="1789" t="s">
        <v>1395</v>
      </c>
      <c r="H8" s="1789">
        <v>114</v>
      </c>
      <c r="I8" s="1789">
        <v>0</v>
      </c>
      <c r="J8" s="1790">
        <v>1</v>
      </c>
      <c r="K8" s="913">
        <f>SUM(H8:J8)</f>
        <v>115</v>
      </c>
      <c r="L8" s="891">
        <v>2018</v>
      </c>
      <c r="M8" s="1863">
        <v>43374</v>
      </c>
      <c r="N8" s="901"/>
    </row>
    <row r="9" spans="2:14" x14ac:dyDescent="0.25">
      <c r="B9" s="900"/>
      <c r="C9" s="1780">
        <v>2</v>
      </c>
      <c r="D9" s="1791"/>
      <c r="E9" s="892"/>
      <c r="F9" s="893"/>
      <c r="G9" s="1545"/>
      <c r="H9" s="1545"/>
      <c r="I9" s="1545"/>
      <c r="J9" s="1549"/>
      <c r="K9" s="914">
        <f t="shared" ref="K9:K21" si="0">SUM(H9:J9)</f>
        <v>0</v>
      </c>
      <c r="L9" s="894"/>
      <c r="M9" s="1562"/>
      <c r="N9" s="901"/>
    </row>
    <row r="10" spans="2:14" x14ac:dyDescent="0.25">
      <c r="B10" s="900"/>
      <c r="C10" s="1780">
        <v>3</v>
      </c>
      <c r="D10" s="1791"/>
      <c r="E10" s="892"/>
      <c r="F10" s="893"/>
      <c r="G10" s="1545"/>
      <c r="H10" s="1545"/>
      <c r="I10" s="1545"/>
      <c r="J10" s="1549"/>
      <c r="K10" s="914">
        <f t="shared" si="0"/>
        <v>0</v>
      </c>
      <c r="L10" s="1795"/>
      <c r="M10" s="1794"/>
      <c r="N10" s="901"/>
    </row>
    <row r="11" spans="2:14" x14ac:dyDescent="0.25">
      <c r="B11" s="900"/>
      <c r="C11" s="1780">
        <v>4</v>
      </c>
      <c r="D11" s="1791"/>
      <c r="E11" s="892"/>
      <c r="F11" s="893"/>
      <c r="G11" s="1545"/>
      <c r="H11" s="1545"/>
      <c r="I11" s="1545"/>
      <c r="J11" s="1549"/>
      <c r="K11" s="914">
        <f t="shared" si="0"/>
        <v>0</v>
      </c>
      <c r="L11" s="894"/>
      <c r="M11" s="1562"/>
      <c r="N11" s="901"/>
    </row>
    <row r="12" spans="2:14" x14ac:dyDescent="0.25">
      <c r="B12" s="900"/>
      <c r="C12" s="1780">
        <v>5</v>
      </c>
      <c r="D12" s="1791"/>
      <c r="E12" s="892"/>
      <c r="F12" s="893"/>
      <c r="G12" s="1545"/>
      <c r="H12" s="1545"/>
      <c r="I12" s="1545"/>
      <c r="J12" s="1549"/>
      <c r="K12" s="914">
        <f t="shared" si="0"/>
        <v>0</v>
      </c>
      <c r="L12" s="894"/>
      <c r="M12" s="1562"/>
      <c r="N12" s="901"/>
    </row>
    <row r="13" spans="2:14" x14ac:dyDescent="0.25">
      <c r="B13" s="900"/>
      <c r="C13" s="1780">
        <v>6</v>
      </c>
      <c r="D13" s="1791"/>
      <c r="E13" s="892"/>
      <c r="F13" s="893"/>
      <c r="G13" s="1545"/>
      <c r="H13" s="1545"/>
      <c r="I13" s="1545"/>
      <c r="J13" s="1549"/>
      <c r="K13" s="915">
        <f t="shared" si="0"/>
        <v>0</v>
      </c>
      <c r="L13" s="894"/>
      <c r="M13" s="1562"/>
      <c r="N13" s="901"/>
    </row>
    <row r="14" spans="2:14" x14ac:dyDescent="0.25">
      <c r="B14" s="900"/>
      <c r="C14" s="1781">
        <v>7</v>
      </c>
      <c r="D14" s="1791"/>
      <c r="E14" s="892"/>
      <c r="F14" s="895"/>
      <c r="G14" s="854"/>
      <c r="H14" s="854"/>
      <c r="I14" s="854"/>
      <c r="J14" s="1548"/>
      <c r="K14" s="915">
        <f t="shared" si="0"/>
        <v>0</v>
      </c>
      <c r="L14" s="894"/>
      <c r="M14" s="1562"/>
      <c r="N14" s="901"/>
    </row>
    <row r="15" spans="2:14" x14ac:dyDescent="0.25">
      <c r="B15" s="900"/>
      <c r="C15" s="1780">
        <v>8</v>
      </c>
      <c r="D15" s="1791"/>
      <c r="E15" s="892"/>
      <c r="F15" s="893"/>
      <c r="G15" s="1545"/>
      <c r="H15" s="1545"/>
      <c r="I15" s="1545"/>
      <c r="J15" s="1549"/>
      <c r="K15" s="914">
        <f t="shared" si="0"/>
        <v>0</v>
      </c>
      <c r="L15" s="894"/>
      <c r="M15" s="1562"/>
      <c r="N15" s="901"/>
    </row>
    <row r="16" spans="2:14" x14ac:dyDescent="0.25">
      <c r="B16" s="900"/>
      <c r="C16" s="1780">
        <v>9</v>
      </c>
      <c r="D16" s="1791"/>
      <c r="E16" s="892"/>
      <c r="F16" s="893"/>
      <c r="G16" s="1545"/>
      <c r="H16" s="1545"/>
      <c r="I16" s="1545"/>
      <c r="J16" s="1549"/>
      <c r="K16" s="914">
        <f t="shared" si="0"/>
        <v>0</v>
      </c>
      <c r="L16" s="894"/>
      <c r="M16" s="1562"/>
      <c r="N16" s="901"/>
    </row>
    <row r="17" spans="2:14" x14ac:dyDescent="0.25">
      <c r="B17" s="900"/>
      <c r="C17" s="1780">
        <v>10</v>
      </c>
      <c r="D17" s="1791"/>
      <c r="E17" s="892"/>
      <c r="F17" s="893"/>
      <c r="G17" s="1545"/>
      <c r="H17" s="1545"/>
      <c r="I17" s="1545"/>
      <c r="J17" s="1549"/>
      <c r="K17" s="914">
        <f t="shared" si="0"/>
        <v>0</v>
      </c>
      <c r="L17" s="894"/>
      <c r="M17" s="1562"/>
      <c r="N17" s="901"/>
    </row>
    <row r="18" spans="2:14" x14ac:dyDescent="0.25">
      <c r="B18" s="900"/>
      <c r="C18" s="1780">
        <v>11</v>
      </c>
      <c r="D18" s="1791"/>
      <c r="E18" s="892"/>
      <c r="F18" s="893"/>
      <c r="G18" s="1545"/>
      <c r="H18" s="1545"/>
      <c r="I18" s="1545"/>
      <c r="J18" s="1549"/>
      <c r="K18" s="914">
        <f t="shared" si="0"/>
        <v>0</v>
      </c>
      <c r="L18" s="894"/>
      <c r="M18" s="1562"/>
      <c r="N18" s="901"/>
    </row>
    <row r="19" spans="2:14" x14ac:dyDescent="0.25">
      <c r="B19" s="900"/>
      <c r="C19" s="1780">
        <v>12</v>
      </c>
      <c r="D19" s="1791"/>
      <c r="E19" s="892"/>
      <c r="F19" s="893"/>
      <c r="G19" s="1545"/>
      <c r="H19" s="1545"/>
      <c r="I19" s="1545"/>
      <c r="J19" s="1549"/>
      <c r="K19" s="914">
        <f t="shared" si="0"/>
        <v>0</v>
      </c>
      <c r="L19" s="894"/>
      <c r="M19" s="1562"/>
      <c r="N19" s="901"/>
    </row>
    <row r="20" spans="2:14" x14ac:dyDescent="0.25">
      <c r="B20" s="900"/>
      <c r="C20" s="1781">
        <v>13</v>
      </c>
      <c r="D20" s="1791"/>
      <c r="E20" s="892"/>
      <c r="F20" s="895"/>
      <c r="G20" s="854"/>
      <c r="H20" s="854"/>
      <c r="I20" s="854"/>
      <c r="J20" s="1548"/>
      <c r="K20" s="915">
        <f t="shared" si="0"/>
        <v>0</v>
      </c>
      <c r="L20" s="894"/>
      <c r="M20" s="1562"/>
      <c r="N20" s="901"/>
    </row>
    <row r="21" spans="2:14" ht="15.75" thickBot="1" x14ac:dyDescent="0.3">
      <c r="B21" s="900"/>
      <c r="C21" s="1782">
        <v>14</v>
      </c>
      <c r="D21" s="1800"/>
      <c r="E21" s="1559"/>
      <c r="F21" s="1560"/>
      <c r="G21" s="857"/>
      <c r="H21" s="1792"/>
      <c r="I21" s="1792"/>
      <c r="J21" s="1793"/>
      <c r="K21" s="916">
        <f t="shared" si="0"/>
        <v>0</v>
      </c>
      <c r="L21" s="1561"/>
      <c r="M21" s="1796"/>
      <c r="N21" s="901"/>
    </row>
    <row r="22" spans="2:14" ht="16.5" thickTop="1" thickBot="1" x14ac:dyDescent="0.3">
      <c r="B22" s="900"/>
      <c r="C22" s="1801"/>
      <c r="D22" s="1802"/>
      <c r="E22" s="1802"/>
      <c r="F22" s="1803"/>
      <c r="G22" s="1799" t="s">
        <v>47</v>
      </c>
      <c r="H22" s="917">
        <f>SUM(H8:H21)</f>
        <v>114</v>
      </c>
      <c r="I22" s="918">
        <f>SUM(I8:I21)</f>
        <v>0</v>
      </c>
      <c r="J22" s="919">
        <f>SUM(J8:J21)</f>
        <v>1</v>
      </c>
      <c r="K22" s="920">
        <f>SUM(K8:K21)</f>
        <v>115</v>
      </c>
      <c r="L22" s="1797"/>
      <c r="M22" s="1798"/>
      <c r="N22" s="901"/>
    </row>
    <row r="23" spans="2:14" ht="9" customHeight="1" thickBot="1" x14ac:dyDescent="0.3">
      <c r="B23" s="1783"/>
      <c r="C23" s="1784"/>
      <c r="D23" s="1784"/>
      <c r="E23" s="1784"/>
      <c r="F23" s="1784"/>
      <c r="G23" s="1784"/>
      <c r="H23" s="1784"/>
      <c r="I23" s="1784"/>
      <c r="J23" s="1784"/>
      <c r="K23" s="1784"/>
      <c r="L23" s="1784"/>
      <c r="M23" s="1784"/>
      <c r="N23" s="1785"/>
    </row>
  </sheetData>
  <sheetProtection password="9F6B" sheet="1" objects="1" scenarios="1" formatCells="0" formatColumns="0" formatRows="0"/>
  <mergeCells count="2">
    <mergeCell ref="D5:F5"/>
    <mergeCell ref="C3:M3"/>
  </mergeCells>
  <dataValidations count="3">
    <dataValidation type="list" allowBlank="1" showInputMessage="1" showErrorMessage="1" sqref="E8:E21">
      <formula1>"Single-Family Detached, Townhouse/Duplex, Walk-Up (≤3 Floors no elevator), Low-Rise (2-3 floors w elevator), Mid-Rise (4-6 floors w elevator), High Rise (7+ floors), Mobile Home Pad, Shelter/Open-floor"</formula1>
    </dataValidation>
    <dataValidation type="list" allowBlank="1" showInputMessage="1" showErrorMessage="1" sqref="F8:F21">
      <formula1>"New Construction,Rehab,Acquisition"</formula1>
    </dataValidation>
    <dataValidation type="list" allowBlank="1" showInputMessage="1" showErrorMessage="1" sqref="G8:G21">
      <formula1>"Yes,No"</formula1>
    </dataValidation>
  </dataValidations>
  <pageMargins left="0.7" right="0.7" top="0.75" bottom="0.75" header="0.3" footer="0.3"/>
  <pageSetup scale="78" orientation="landscape" r:id="rId1"/>
  <headerFooter>
    <oddFooter>&amp;LForm 2A
Building Information&amp;CCFA Forms&amp;REdition: 2015
Version: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1:P35"/>
  <sheetViews>
    <sheetView showGridLines="0" view="pageBreakPreview" topLeftCell="B13" zoomScale="60" zoomScaleNormal="100" workbookViewId="0">
      <selection activeCell="E21" sqref="E21"/>
    </sheetView>
  </sheetViews>
  <sheetFormatPr defaultRowHeight="15" x14ac:dyDescent="0.25"/>
  <cols>
    <col min="1" max="2" width="1.7109375" style="843" customWidth="1"/>
    <col min="3" max="3" width="14.28515625" style="843" customWidth="1"/>
    <col min="4" max="6" width="9.140625" style="843"/>
    <col min="7" max="7" width="9.85546875" style="843" customWidth="1"/>
    <col min="8" max="8" width="10.140625" style="843" customWidth="1"/>
    <col min="9" max="9" width="9.140625" style="843"/>
    <col min="10" max="10" width="10.140625" style="843" bestFit="1" customWidth="1"/>
    <col min="11" max="11" width="10" style="843" customWidth="1"/>
    <col min="12" max="12" width="0.7109375" style="843" customWidth="1"/>
    <col min="13" max="13" width="9" style="843" bestFit="1" customWidth="1"/>
    <col min="14" max="15" width="9.140625" style="843"/>
    <col min="16" max="16" width="1.7109375" style="843" customWidth="1"/>
    <col min="17" max="16384" width="9.140625" style="843"/>
  </cols>
  <sheetData>
    <row r="11" spans="2:16" ht="15.75" thickBot="1" x14ac:dyDescent="0.3"/>
    <row r="12" spans="2:16" ht="9" customHeight="1" x14ac:dyDescent="0.25">
      <c r="B12" s="354"/>
      <c r="C12" s="924"/>
      <c r="D12" s="924"/>
      <c r="E12" s="924"/>
      <c r="F12" s="924"/>
      <c r="G12" s="924"/>
      <c r="H12" s="924"/>
      <c r="I12" s="924"/>
      <c r="J12" s="924"/>
      <c r="K12" s="924"/>
      <c r="L12" s="924"/>
      <c r="M12" s="924"/>
      <c r="N12" s="924"/>
      <c r="O12" s="924"/>
      <c r="P12" s="925"/>
    </row>
    <row r="13" spans="2:16" ht="18.75" x14ac:dyDescent="0.25">
      <c r="B13" s="8"/>
      <c r="C13" s="1939" t="s">
        <v>62</v>
      </c>
      <c r="D13" s="1939"/>
      <c r="E13" s="1939"/>
      <c r="F13" s="1939"/>
      <c r="G13" s="1939"/>
      <c r="H13" s="1939"/>
      <c r="I13" s="1939"/>
      <c r="J13" s="1939"/>
      <c r="K13" s="1939"/>
      <c r="L13" s="1939"/>
      <c r="M13" s="1939"/>
      <c r="N13" s="1939"/>
      <c r="O13" s="1939"/>
      <c r="P13" s="7"/>
    </row>
    <row r="14" spans="2:16" ht="15" customHeight="1" x14ac:dyDescent="0.25">
      <c r="B14" s="8"/>
      <c r="C14" s="5"/>
      <c r="D14" s="5"/>
      <c r="E14" s="926"/>
      <c r="F14" s="926"/>
      <c r="G14" s="926"/>
      <c r="H14" s="926"/>
      <c r="I14" s="926"/>
      <c r="J14" s="926"/>
      <c r="K14" s="5"/>
      <c r="L14" s="5"/>
      <c r="M14" s="5"/>
      <c r="N14" s="5"/>
      <c r="O14" s="5"/>
      <c r="P14" s="7"/>
    </row>
    <row r="15" spans="2:16" x14ac:dyDescent="0.25">
      <c r="B15" s="246"/>
      <c r="C15" s="927" t="s">
        <v>1</v>
      </c>
      <c r="D15" s="928" t="str">
        <f>IF('1A'!G5="","Enter Project Name on Form 1A",'1A'!G5)</f>
        <v>Liberty Bank Building</v>
      </c>
      <c r="E15" s="929"/>
      <c r="F15" s="928"/>
      <c r="G15" s="928"/>
      <c r="H15" s="928"/>
      <c r="I15" s="928"/>
      <c r="J15" s="253"/>
      <c r="K15" s="253"/>
      <c r="L15" s="253"/>
      <c r="M15" s="247"/>
      <c r="N15" s="247"/>
      <c r="O15" s="247"/>
      <c r="P15" s="248"/>
    </row>
    <row r="16" spans="2:16" s="923" customFormat="1" ht="22.5" customHeight="1" thickBot="1" x14ac:dyDescent="0.3">
      <c r="B16" s="246"/>
      <c r="C16" s="930"/>
      <c r="D16" s="930"/>
      <c r="E16" s="930"/>
      <c r="F16" s="930"/>
      <c r="G16" s="930"/>
      <c r="H16" s="930"/>
      <c r="I16" s="930"/>
      <c r="J16" s="930"/>
      <c r="K16" s="930"/>
      <c r="L16" s="930"/>
      <c r="M16" s="247"/>
      <c r="N16" s="247"/>
      <c r="O16" s="247"/>
      <c r="P16" s="248"/>
    </row>
    <row r="17" spans="2:16" ht="15.75" thickBot="1" x14ac:dyDescent="0.3">
      <c r="B17" s="246"/>
      <c r="C17" s="930"/>
      <c r="D17" s="1602" t="s">
        <v>64</v>
      </c>
      <c r="E17" s="1564"/>
      <c r="F17" s="1564"/>
      <c r="G17" s="1564"/>
      <c r="H17" s="1564"/>
      <c r="I17" s="1564"/>
      <c r="J17" s="1564"/>
      <c r="K17" s="1565"/>
      <c r="L17" s="1566"/>
      <c r="M17" s="1941" t="s">
        <v>65</v>
      </c>
      <c r="N17" s="1942"/>
      <c r="O17" s="1567" t="s">
        <v>66</v>
      </c>
      <c r="P17" s="4"/>
    </row>
    <row r="18" spans="2:16" ht="60.75" customHeight="1" thickBot="1" x14ac:dyDescent="0.3">
      <c r="B18" s="246"/>
      <c r="C18" s="930"/>
      <c r="D18" s="1943" t="s">
        <v>67</v>
      </c>
      <c r="E18" s="1948" t="s">
        <v>72</v>
      </c>
      <c r="F18" s="1948" t="s">
        <v>73</v>
      </c>
      <c r="G18" s="1948" t="s">
        <v>59</v>
      </c>
      <c r="H18" s="1948" t="s">
        <v>74</v>
      </c>
      <c r="I18" s="1948" t="s">
        <v>75</v>
      </c>
      <c r="J18" s="1950" t="s">
        <v>76</v>
      </c>
      <c r="K18" s="1948" t="s">
        <v>77</v>
      </c>
      <c r="L18" s="1568"/>
      <c r="M18" s="1945" t="s">
        <v>68</v>
      </c>
      <c r="N18" s="1947" t="s">
        <v>69</v>
      </c>
      <c r="O18" s="1940" t="s">
        <v>70</v>
      </c>
      <c r="P18" s="4"/>
    </row>
    <row r="19" spans="2:16" ht="15.75" thickBot="1" x14ac:dyDescent="0.3">
      <c r="B19" s="8"/>
      <c r="C19" s="1576" t="s">
        <v>71</v>
      </c>
      <c r="D19" s="1944"/>
      <c r="E19" s="1949"/>
      <c r="F19" s="1949"/>
      <c r="G19" s="1949"/>
      <c r="H19" s="1949"/>
      <c r="I19" s="1949"/>
      <c r="J19" s="1951"/>
      <c r="K19" s="1949"/>
      <c r="L19" s="1577"/>
      <c r="M19" s="1946"/>
      <c r="N19" s="1947"/>
      <c r="O19" s="1940"/>
      <c r="P19" s="931"/>
    </row>
    <row r="20" spans="2:16" x14ac:dyDescent="0.25">
      <c r="B20" s="932"/>
      <c r="C20" s="1563">
        <f>'2A'!C8</f>
        <v>1</v>
      </c>
      <c r="D20" s="1578">
        <v>6</v>
      </c>
      <c r="E20" s="1579">
        <f>92773-F20-17140</f>
        <v>75063</v>
      </c>
      <c r="F20" s="1580">
        <v>570</v>
      </c>
      <c r="G20" s="1580">
        <v>0</v>
      </c>
      <c r="H20" s="1580">
        <v>0</v>
      </c>
      <c r="I20" s="1580">
        <f>7110+17140</f>
        <v>24250</v>
      </c>
      <c r="J20" s="1603">
        <v>0</v>
      </c>
      <c r="K20" s="1606">
        <f>SUM(E20:J20)</f>
        <v>99883</v>
      </c>
      <c r="L20" s="1581"/>
      <c r="M20" s="1582">
        <v>1</v>
      </c>
      <c r="N20" s="1583">
        <v>2436</v>
      </c>
      <c r="O20" s="1598">
        <f>K20+N20</f>
        <v>102319</v>
      </c>
      <c r="P20" s="7"/>
    </row>
    <row r="21" spans="2:16" x14ac:dyDescent="0.25">
      <c r="B21" s="932"/>
      <c r="C21" s="933">
        <v>2</v>
      </c>
      <c r="D21" s="1584"/>
      <c r="E21" s="1585"/>
      <c r="F21" s="1586"/>
      <c r="G21" s="1586"/>
      <c r="H21" s="1586"/>
      <c r="I21" s="1586"/>
      <c r="J21" s="1604"/>
      <c r="K21" s="1607">
        <f t="shared" ref="K21:K33" si="0">SUM(E21:J21)</f>
        <v>0</v>
      </c>
      <c r="L21" s="1587"/>
      <c r="M21" s="1588"/>
      <c r="N21" s="1589"/>
      <c r="O21" s="1599">
        <f t="shared" ref="O21:O33" si="1">K21+N21</f>
        <v>0</v>
      </c>
      <c r="P21" s="7"/>
    </row>
    <row r="22" spans="2:16" x14ac:dyDescent="0.25">
      <c r="B22" s="932"/>
      <c r="C22" s="933">
        <v>3</v>
      </c>
      <c r="D22" s="1584"/>
      <c r="E22" s="1585"/>
      <c r="F22" s="1586"/>
      <c r="G22" s="1586"/>
      <c r="H22" s="1586"/>
      <c r="I22" s="1586"/>
      <c r="J22" s="1604"/>
      <c r="K22" s="1607">
        <f t="shared" si="0"/>
        <v>0</v>
      </c>
      <c r="L22" s="1587"/>
      <c r="M22" s="1588"/>
      <c r="N22" s="1589"/>
      <c r="O22" s="1599">
        <f t="shared" si="1"/>
        <v>0</v>
      </c>
      <c r="P22" s="7"/>
    </row>
    <row r="23" spans="2:16" x14ac:dyDescent="0.25">
      <c r="B23" s="932"/>
      <c r="C23" s="933">
        <v>4</v>
      </c>
      <c r="D23" s="1590"/>
      <c r="E23" s="1591"/>
      <c r="F23" s="1592"/>
      <c r="G23" s="1592"/>
      <c r="H23" s="1592"/>
      <c r="I23" s="1592"/>
      <c r="J23" s="1589"/>
      <c r="K23" s="1607">
        <f t="shared" si="0"/>
        <v>0</v>
      </c>
      <c r="L23" s="1587"/>
      <c r="M23" s="1588"/>
      <c r="N23" s="1589"/>
      <c r="O23" s="1599">
        <f t="shared" si="1"/>
        <v>0</v>
      </c>
      <c r="P23" s="7"/>
    </row>
    <row r="24" spans="2:16" x14ac:dyDescent="0.25">
      <c r="B24" s="932"/>
      <c r="C24" s="933">
        <v>5</v>
      </c>
      <c r="D24" s="1584"/>
      <c r="E24" s="1585"/>
      <c r="F24" s="1586"/>
      <c r="G24" s="1586"/>
      <c r="H24" s="1586"/>
      <c r="I24" s="1586"/>
      <c r="J24" s="1604"/>
      <c r="K24" s="1607">
        <f t="shared" si="0"/>
        <v>0</v>
      </c>
      <c r="L24" s="1587"/>
      <c r="M24" s="1588"/>
      <c r="N24" s="1589"/>
      <c r="O24" s="1599">
        <f t="shared" si="1"/>
        <v>0</v>
      </c>
      <c r="P24" s="7"/>
    </row>
    <row r="25" spans="2:16" x14ac:dyDescent="0.25">
      <c r="B25" s="932"/>
      <c r="C25" s="933">
        <v>6</v>
      </c>
      <c r="D25" s="1590"/>
      <c r="E25" s="1591"/>
      <c r="F25" s="1592"/>
      <c r="G25" s="1592"/>
      <c r="H25" s="1592"/>
      <c r="I25" s="1592"/>
      <c r="J25" s="1589"/>
      <c r="K25" s="1607">
        <f t="shared" si="0"/>
        <v>0</v>
      </c>
      <c r="L25" s="1587"/>
      <c r="M25" s="1588"/>
      <c r="N25" s="1589"/>
      <c r="O25" s="1599">
        <f t="shared" si="1"/>
        <v>0</v>
      </c>
      <c r="P25" s="7"/>
    </row>
    <row r="26" spans="2:16" x14ac:dyDescent="0.25">
      <c r="B26" s="932"/>
      <c r="C26" s="1569">
        <v>7</v>
      </c>
      <c r="D26" s="1584"/>
      <c r="E26" s="1585"/>
      <c r="F26" s="1586"/>
      <c r="G26" s="1586"/>
      <c r="H26" s="1586"/>
      <c r="I26" s="1586"/>
      <c r="J26" s="1604"/>
      <c r="K26" s="1607">
        <f t="shared" si="0"/>
        <v>0</v>
      </c>
      <c r="L26" s="1587"/>
      <c r="M26" s="1588"/>
      <c r="N26" s="1589"/>
      <c r="O26" s="1599">
        <f t="shared" si="1"/>
        <v>0</v>
      </c>
      <c r="P26" s="7"/>
    </row>
    <row r="27" spans="2:16" x14ac:dyDescent="0.25">
      <c r="B27" s="932"/>
      <c r="C27" s="933">
        <v>8</v>
      </c>
      <c r="D27" s="1590"/>
      <c r="E27" s="1591"/>
      <c r="F27" s="1592"/>
      <c r="G27" s="1592"/>
      <c r="H27" s="1592"/>
      <c r="I27" s="1592"/>
      <c r="J27" s="1589"/>
      <c r="K27" s="1607">
        <f t="shared" si="0"/>
        <v>0</v>
      </c>
      <c r="L27" s="1587"/>
      <c r="M27" s="1588"/>
      <c r="N27" s="1589"/>
      <c r="O27" s="1599">
        <f t="shared" si="1"/>
        <v>0</v>
      </c>
      <c r="P27" s="7"/>
    </row>
    <row r="28" spans="2:16" x14ac:dyDescent="0.25">
      <c r="B28" s="932"/>
      <c r="C28" s="933">
        <v>9</v>
      </c>
      <c r="D28" s="1584"/>
      <c r="E28" s="1585"/>
      <c r="F28" s="1586"/>
      <c r="G28" s="1586"/>
      <c r="H28" s="1586"/>
      <c r="I28" s="1586"/>
      <c r="J28" s="1604"/>
      <c r="K28" s="1607">
        <f t="shared" si="0"/>
        <v>0</v>
      </c>
      <c r="L28" s="1587"/>
      <c r="M28" s="1588"/>
      <c r="N28" s="1589"/>
      <c r="O28" s="1599">
        <f t="shared" si="1"/>
        <v>0</v>
      </c>
      <c r="P28" s="7"/>
    </row>
    <row r="29" spans="2:16" x14ac:dyDescent="0.25">
      <c r="B29" s="932"/>
      <c r="C29" s="933">
        <v>10</v>
      </c>
      <c r="D29" s="1590"/>
      <c r="E29" s="1591"/>
      <c r="F29" s="1592"/>
      <c r="G29" s="1592"/>
      <c r="H29" s="1592"/>
      <c r="I29" s="1592"/>
      <c r="J29" s="1589"/>
      <c r="K29" s="1607">
        <f t="shared" si="0"/>
        <v>0</v>
      </c>
      <c r="L29" s="1587"/>
      <c r="M29" s="1588"/>
      <c r="N29" s="1589"/>
      <c r="O29" s="1599">
        <f t="shared" si="1"/>
        <v>0</v>
      </c>
      <c r="P29" s="7"/>
    </row>
    <row r="30" spans="2:16" x14ac:dyDescent="0.25">
      <c r="B30" s="932"/>
      <c r="C30" s="933">
        <v>11</v>
      </c>
      <c r="D30" s="1584"/>
      <c r="E30" s="1585"/>
      <c r="F30" s="1586"/>
      <c r="G30" s="1586"/>
      <c r="H30" s="1586"/>
      <c r="I30" s="1586"/>
      <c r="J30" s="1604"/>
      <c r="K30" s="1607">
        <f t="shared" si="0"/>
        <v>0</v>
      </c>
      <c r="L30" s="1587"/>
      <c r="M30" s="1588"/>
      <c r="N30" s="1589"/>
      <c r="O30" s="1599">
        <f t="shared" si="1"/>
        <v>0</v>
      </c>
      <c r="P30" s="7"/>
    </row>
    <row r="31" spans="2:16" x14ac:dyDescent="0.25">
      <c r="B31" s="932"/>
      <c r="C31" s="933">
        <v>12</v>
      </c>
      <c r="D31" s="1590"/>
      <c r="E31" s="1591"/>
      <c r="F31" s="1592"/>
      <c r="G31" s="1592"/>
      <c r="H31" s="1592"/>
      <c r="I31" s="1592"/>
      <c r="J31" s="1589"/>
      <c r="K31" s="1607">
        <f t="shared" si="0"/>
        <v>0</v>
      </c>
      <c r="L31" s="1587"/>
      <c r="M31" s="1588"/>
      <c r="N31" s="1589"/>
      <c r="O31" s="1599">
        <f t="shared" si="1"/>
        <v>0</v>
      </c>
      <c r="P31" s="7"/>
    </row>
    <row r="32" spans="2:16" x14ac:dyDescent="0.25">
      <c r="B32" s="932"/>
      <c r="C32" s="1569">
        <v>13</v>
      </c>
      <c r="D32" s="1584"/>
      <c r="E32" s="1585"/>
      <c r="F32" s="1586"/>
      <c r="G32" s="1586"/>
      <c r="H32" s="1586"/>
      <c r="I32" s="1586"/>
      <c r="J32" s="1604"/>
      <c r="K32" s="1607">
        <f t="shared" si="0"/>
        <v>0</v>
      </c>
      <c r="L32" s="1587"/>
      <c r="M32" s="1588"/>
      <c r="N32" s="1589"/>
      <c r="O32" s="1599">
        <f t="shared" si="1"/>
        <v>0</v>
      </c>
      <c r="P32" s="7"/>
    </row>
    <row r="33" spans="2:16" ht="15.75" thickBot="1" x14ac:dyDescent="0.3">
      <c r="B33" s="932"/>
      <c r="C33" s="1570">
        <v>14</v>
      </c>
      <c r="D33" s="1593"/>
      <c r="E33" s="1594"/>
      <c r="F33" s="1595"/>
      <c r="G33" s="1595"/>
      <c r="H33" s="1595"/>
      <c r="I33" s="1595"/>
      <c r="J33" s="1605"/>
      <c r="K33" s="1608">
        <f t="shared" si="0"/>
        <v>0</v>
      </c>
      <c r="L33" s="1587"/>
      <c r="M33" s="1596"/>
      <c r="N33" s="1597"/>
      <c r="O33" s="1600">
        <f t="shared" si="1"/>
        <v>0</v>
      </c>
      <c r="P33" s="7"/>
    </row>
    <row r="34" spans="2:16" ht="16.5" thickTop="1" thickBot="1" x14ac:dyDescent="0.3">
      <c r="B34" s="932"/>
      <c r="C34" s="934" t="s">
        <v>78</v>
      </c>
      <c r="D34" s="1571"/>
      <c r="E34" s="1572">
        <f>SUM(E20:E33)</f>
        <v>75063</v>
      </c>
      <c r="F34" s="1572">
        <f t="shared" ref="F34:J34" si="2">SUM(F20:F33)</f>
        <v>570</v>
      </c>
      <c r="G34" s="1572">
        <f t="shared" si="2"/>
        <v>0</v>
      </c>
      <c r="H34" s="1572">
        <f t="shared" si="2"/>
        <v>0</v>
      </c>
      <c r="I34" s="1572">
        <f t="shared" si="2"/>
        <v>24250</v>
      </c>
      <c r="J34" s="1573">
        <f t="shared" si="2"/>
        <v>0</v>
      </c>
      <c r="K34" s="1609">
        <f>SUM(K20:K33)</f>
        <v>99883</v>
      </c>
      <c r="L34" s="1574"/>
      <c r="M34" s="1575"/>
      <c r="N34" s="1573">
        <f>SUM(N20:N33)</f>
        <v>2436</v>
      </c>
      <c r="O34" s="1601">
        <f>SUM(O20:O33)</f>
        <v>102319</v>
      </c>
      <c r="P34" s="7"/>
    </row>
    <row r="35" spans="2:16" ht="9" customHeight="1" thickBot="1" x14ac:dyDescent="0.3">
      <c r="B35" s="935"/>
      <c r="C35" s="10"/>
      <c r="D35" s="10"/>
      <c r="E35" s="10"/>
      <c r="F35" s="10"/>
      <c r="G35" s="10"/>
      <c r="H35" s="10"/>
      <c r="I35" s="10"/>
      <c r="J35" s="10"/>
      <c r="K35" s="10"/>
      <c r="L35" s="10"/>
      <c r="M35" s="936"/>
      <c r="N35" s="936"/>
      <c r="O35" s="936"/>
      <c r="P35" s="937"/>
    </row>
  </sheetData>
  <sheetProtection password="9F6B" sheet="1" objects="1" scenarios="1" formatCells="0" formatColumns="0" formatRows="0"/>
  <mergeCells count="13">
    <mergeCell ref="C13:O13"/>
    <mergeCell ref="O18:O19"/>
    <mergeCell ref="M17:N17"/>
    <mergeCell ref="D18:D19"/>
    <mergeCell ref="M18:M19"/>
    <mergeCell ref="N18:N19"/>
    <mergeCell ref="E18:E19"/>
    <mergeCell ref="F18:F19"/>
    <mergeCell ref="G18:G19"/>
    <mergeCell ref="H18:H19"/>
    <mergeCell ref="I18:I19"/>
    <mergeCell ref="J18:J19"/>
    <mergeCell ref="K18:K19"/>
  </mergeCells>
  <pageMargins left="0.7" right="0.7" top="0.75" bottom="0.75" header="0.3" footer="0.3"/>
  <pageSetup scale="99" orientation="landscape" r:id="rId1"/>
  <headerFooter>
    <oddFooter>&amp;LForm 2B
Square Footage Details&amp;CCFA Forms&amp;REdition: 2015
Version: 1.1</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0:N142"/>
  <sheetViews>
    <sheetView showGridLines="0" zoomScaleNormal="100" zoomScalePageLayoutView="70" workbookViewId="0">
      <selection activeCell="AC87" sqref="AC87"/>
    </sheetView>
  </sheetViews>
  <sheetFormatPr defaultColWidth="9.140625" defaultRowHeight="15" x14ac:dyDescent="0.25"/>
  <cols>
    <col min="1" max="2" width="1.7109375" style="948" customWidth="1"/>
    <col min="3" max="3" width="14.28515625" style="948" customWidth="1"/>
    <col min="4" max="4" width="16.28515625" style="948" customWidth="1"/>
    <col min="5" max="5" width="4" style="948" customWidth="1"/>
    <col min="6" max="6" width="43.7109375" style="948" customWidth="1"/>
    <col min="7" max="7" width="32.7109375" style="948" bestFit="1" customWidth="1"/>
    <col min="8" max="8" width="8.42578125" style="948" bestFit="1" customWidth="1"/>
    <col min="9" max="9" width="3.28515625" style="948" hidden="1" customWidth="1"/>
    <col min="10" max="11" width="1.7109375" style="948" customWidth="1"/>
    <col min="12" max="16384" width="9.140625" style="948"/>
  </cols>
  <sheetData>
    <row r="10" spans="2:14" ht="6.75" customHeight="1" x14ac:dyDescent="0.25"/>
    <row r="11" spans="2:14" ht="6.75" customHeight="1" thickBot="1" x14ac:dyDescent="0.3"/>
    <row r="12" spans="2:14" s="942" customFormat="1" ht="7.5" customHeight="1" x14ac:dyDescent="0.25">
      <c r="B12" s="938"/>
      <c r="C12" s="939"/>
      <c r="D12" s="939"/>
      <c r="E12" s="939"/>
      <c r="F12" s="939"/>
      <c r="G12" s="939"/>
      <c r="H12" s="939"/>
      <c r="I12" s="939"/>
      <c r="J12" s="940"/>
    </row>
    <row r="13" spans="2:14" s="942" customFormat="1" ht="18.75" x14ac:dyDescent="0.3">
      <c r="B13" s="941"/>
      <c r="C13" s="1955" t="s">
        <v>1268</v>
      </c>
      <c r="D13" s="1955"/>
      <c r="E13" s="1955"/>
      <c r="F13" s="1955"/>
      <c r="G13" s="1955"/>
      <c r="H13" s="1955"/>
      <c r="J13" s="943"/>
    </row>
    <row r="14" spans="2:14" s="942" customFormat="1" ht="15.75" thickBot="1" x14ac:dyDescent="0.3">
      <c r="B14" s="941"/>
      <c r="J14" s="943"/>
    </row>
    <row r="15" spans="2:14" s="942" customFormat="1" ht="15" customHeight="1" thickBot="1" x14ac:dyDescent="0.3">
      <c r="B15" s="941"/>
      <c r="C15" s="942" t="s">
        <v>1</v>
      </c>
      <c r="D15" s="1956" t="str">
        <f>IF('1A'!G5="","Enter Project Name on Form 1A",'1A'!G5)</f>
        <v>Liberty Bank Building</v>
      </c>
      <c r="E15" s="1956"/>
      <c r="F15" s="1956"/>
      <c r="G15" s="944" t="s">
        <v>1267</v>
      </c>
      <c r="H15" s="945">
        <f>H141</f>
        <v>59</v>
      </c>
      <c r="I15" s="1128"/>
      <c r="J15" s="1203"/>
      <c r="K15" s="1128"/>
      <c r="L15" s="1128"/>
      <c r="M15" s="1128"/>
      <c r="N15" s="1128"/>
    </row>
    <row r="16" spans="2:14" s="942" customFormat="1" ht="7.5" customHeight="1" x14ac:dyDescent="0.25">
      <c r="B16" s="941"/>
      <c r="C16" s="946"/>
      <c r="D16" s="946"/>
      <c r="F16" s="946"/>
      <c r="G16" s="946"/>
      <c r="J16" s="943"/>
    </row>
    <row r="17" spans="2:14" x14ac:dyDescent="0.25">
      <c r="B17" s="941"/>
      <c r="C17" s="947" t="s">
        <v>1230</v>
      </c>
      <c r="D17" s="1746" t="s">
        <v>1362</v>
      </c>
      <c r="E17" s="942"/>
      <c r="F17" s="947"/>
      <c r="I17" s="947"/>
      <c r="J17" s="949"/>
    </row>
    <row r="18" spans="2:14" ht="3.75" customHeight="1" x14ac:dyDescent="0.25">
      <c r="B18" s="941"/>
      <c r="C18" s="947"/>
      <c r="D18" s="950"/>
      <c r="E18" s="942"/>
      <c r="F18" s="947"/>
      <c r="G18" s="947"/>
      <c r="H18" s="947"/>
      <c r="I18" s="947"/>
      <c r="J18" s="949"/>
    </row>
    <row r="19" spans="2:14" x14ac:dyDescent="0.25">
      <c r="B19" s="941"/>
      <c r="C19" s="947" t="s">
        <v>1231</v>
      </c>
      <c r="D19" s="1812" t="s">
        <v>29</v>
      </c>
      <c r="E19" s="1813"/>
      <c r="G19" s="951"/>
      <c r="H19" s="952"/>
      <c r="I19" s="947"/>
      <c r="J19" s="949"/>
    </row>
    <row r="20" spans="2:14" ht="3.75" customHeight="1" x14ac:dyDescent="0.25">
      <c r="B20" s="941"/>
      <c r="C20" s="947"/>
      <c r="D20" s="947"/>
      <c r="E20" s="953"/>
      <c r="F20" s="947"/>
      <c r="G20" s="951"/>
      <c r="H20" s="952"/>
      <c r="I20" s="947"/>
      <c r="J20" s="949"/>
    </row>
    <row r="21" spans="2:14" x14ac:dyDescent="0.25">
      <c r="B21" s="941"/>
      <c r="C21" s="954" t="s">
        <v>1219</v>
      </c>
      <c r="D21" s="954"/>
      <c r="E21" s="954"/>
      <c r="F21" s="954"/>
      <c r="I21" s="942"/>
      <c r="J21" s="943"/>
    </row>
    <row r="22" spans="2:14" x14ac:dyDescent="0.25">
      <c r="B22" s="941"/>
      <c r="C22" s="1610" t="s">
        <v>1238</v>
      </c>
      <c r="D22" s="1611" t="s">
        <v>1239</v>
      </c>
      <c r="E22" s="1612"/>
      <c r="F22" s="1612"/>
      <c r="G22" s="1613" t="s">
        <v>1107</v>
      </c>
      <c r="H22" s="1614" t="s">
        <v>1106</v>
      </c>
      <c r="I22" s="942"/>
      <c r="J22" s="943"/>
      <c r="N22" s="1213"/>
    </row>
    <row r="23" spans="2:14" x14ac:dyDescent="0.25">
      <c r="B23" s="941"/>
      <c r="C23" s="960">
        <v>1.1000000000000001</v>
      </c>
      <c r="D23" s="1957" t="s">
        <v>1218</v>
      </c>
      <c r="E23" s="1958"/>
      <c r="F23" s="1959"/>
      <c r="G23" s="1814" t="str">
        <f t="array" ref="G23">IFERROR(INDEX('ESDS-Lookup-Table'!B1:B469,MATCH(1,('ESDS-Lookup-Table'!A1:A469=C23)*('ESDS-Lookup-Table'!C1:C469=D17)*('ESDS-Lookup-Table'!D1:D469=D19),0)),"Select Region and Activity")</f>
        <v>Mandatory</v>
      </c>
      <c r="H23" s="791" t="s">
        <v>1384</v>
      </c>
      <c r="I23" s="942">
        <f>N(H23)</f>
        <v>0</v>
      </c>
      <c r="J23" s="943"/>
    </row>
    <row r="24" spans="2:14" x14ac:dyDescent="0.25">
      <c r="B24" s="941"/>
      <c r="C24" s="962">
        <v>1.2</v>
      </c>
      <c r="D24" s="1960" t="s">
        <v>1217</v>
      </c>
      <c r="E24" s="1961"/>
      <c r="F24" s="1962"/>
      <c r="G24" s="1815" t="str">
        <f t="array" ref="G24">IFERROR(INDEX('ESDS-Lookup-Table'!B1:B469,MATCH(1,('ESDS-Lookup-Table'!A1:A469=C23)*('ESDS-Lookup-Table'!C1:C469=D17)*('ESDS-Lookup-Table'!D1:D469=D19),0)),"Select Region and Activity")</f>
        <v>Mandatory</v>
      </c>
      <c r="H24" s="791">
        <v>3</v>
      </c>
      <c r="I24" s="942">
        <f>N(H24)</f>
        <v>3</v>
      </c>
      <c r="J24" s="943"/>
    </row>
    <row r="25" spans="2:14" x14ac:dyDescent="0.25">
      <c r="B25" s="941"/>
      <c r="C25" s="964" t="s">
        <v>35</v>
      </c>
      <c r="D25" s="965"/>
      <c r="E25" s="966"/>
      <c r="F25" s="966"/>
      <c r="G25" s="967" t="s">
        <v>1216</v>
      </c>
      <c r="H25" s="968">
        <f>SUM(I23:I24)</f>
        <v>3</v>
      </c>
      <c r="I25" s="942"/>
      <c r="J25" s="943"/>
    </row>
    <row r="26" spans="2:14" s="942" customFormat="1" ht="7.5" customHeight="1" x14ac:dyDescent="0.25">
      <c r="B26" s="941"/>
      <c r="C26" s="969"/>
      <c r="D26" s="969"/>
      <c r="E26" s="969"/>
      <c r="F26" s="969"/>
      <c r="G26" s="970"/>
      <c r="H26" s="971"/>
      <c r="J26" s="943"/>
      <c r="M26" s="948"/>
    </row>
    <row r="27" spans="2:14" s="942" customFormat="1" x14ac:dyDescent="0.25">
      <c r="B27" s="941"/>
      <c r="C27" s="1469" t="s">
        <v>1215</v>
      </c>
      <c r="D27" s="1469"/>
      <c r="E27" s="1469"/>
      <c r="F27" s="1469"/>
      <c r="G27" s="970"/>
      <c r="J27" s="943"/>
      <c r="M27" s="948"/>
    </row>
    <row r="28" spans="2:14" x14ac:dyDescent="0.25">
      <c r="B28" s="941"/>
      <c r="C28" s="1610" t="s">
        <v>1238</v>
      </c>
      <c r="D28" s="1611" t="s">
        <v>1239</v>
      </c>
      <c r="E28" s="1612"/>
      <c r="F28" s="1612"/>
      <c r="G28" s="1613" t="s">
        <v>1107</v>
      </c>
      <c r="H28" s="1614" t="s">
        <v>1106</v>
      </c>
      <c r="I28" s="942"/>
      <c r="J28" s="943"/>
    </row>
    <row r="29" spans="2:14" x14ac:dyDescent="0.25">
      <c r="B29" s="941"/>
      <c r="C29" s="972">
        <v>2.1</v>
      </c>
      <c r="D29" s="1963" t="s">
        <v>1214</v>
      </c>
      <c r="E29" s="1964"/>
      <c r="F29" s="1965"/>
      <c r="G29" s="820" t="str">
        <f t="array" ref="G29">IFERROR(INDEX('ESDS-Lookup-Table'!$B$1:$B$469,MATCH(1,('ESDS-Lookup-Table'!$A$1:$A$469=C29)*('ESDS-Lookup-Table'!$C$1:$C$469=$D$17)*('ESDS-Lookup-Table'!$D$1:$D$469=$D$19),0)),"Select Region and Activity")</f>
        <v>Mandatory</v>
      </c>
      <c r="H29" s="791" t="s">
        <v>1384</v>
      </c>
      <c r="I29" s="942">
        <f t="shared" ref="I29:I39" si="0">N(H29)</f>
        <v>0</v>
      </c>
      <c r="J29" s="943"/>
    </row>
    <row r="30" spans="2:14" x14ac:dyDescent="0.25">
      <c r="B30" s="941"/>
      <c r="C30" s="973">
        <v>2.2000000000000002</v>
      </c>
      <c r="D30" s="1966" t="s">
        <v>1213</v>
      </c>
      <c r="E30" s="1967"/>
      <c r="F30" s="1968"/>
      <c r="G30" s="1816" t="str">
        <f t="array" ref="G30">IFERROR(INDEX('ESDS-Lookup-Table'!$B$1:$B$469,MATCH(1,('ESDS-Lookup-Table'!$A$1:$A$469=C30)*('ESDS-Lookup-Table'!$C$1:$C$469=$D$17)*('ESDS-Lookup-Table'!$D$1:$D$469=$D$19),0)),"Select Region and Activity")</f>
        <v>Mandatory</v>
      </c>
      <c r="H30" s="791" t="s">
        <v>1384</v>
      </c>
      <c r="I30" s="942">
        <f t="shared" si="0"/>
        <v>0</v>
      </c>
      <c r="J30" s="975"/>
    </row>
    <row r="31" spans="2:14" x14ac:dyDescent="0.25">
      <c r="B31" s="941"/>
      <c r="C31" s="973">
        <v>2.2999999999999998</v>
      </c>
      <c r="D31" s="1969" t="s">
        <v>1212</v>
      </c>
      <c r="E31" s="1967"/>
      <c r="F31" s="1968"/>
      <c r="G31" s="1816" t="str">
        <f t="array" ref="G31">IFERROR(INDEX('ESDS-Lookup-Table'!$B$1:$B$469,MATCH(1,('ESDS-Lookup-Table'!$A$1:$A$469=C31)*('ESDS-Lookup-Table'!$C$1:$C$469=$D$17)*('ESDS-Lookup-Table'!$D$1:$D$469=$D$19),0)),"Select Region and Activity")</f>
        <v>Mandatory</v>
      </c>
      <c r="H31" s="791" t="s">
        <v>1384</v>
      </c>
      <c r="I31" s="942">
        <f t="shared" si="0"/>
        <v>0</v>
      </c>
      <c r="J31" s="943"/>
    </row>
    <row r="32" spans="2:14" x14ac:dyDescent="0.25">
      <c r="B32" s="941"/>
      <c r="C32" s="973">
        <v>2.4</v>
      </c>
      <c r="D32" s="1966" t="s">
        <v>1211</v>
      </c>
      <c r="E32" s="1967"/>
      <c r="F32" s="1968"/>
      <c r="G32" s="1816" t="str">
        <f t="array" ref="G32">IFERROR(INDEX('ESDS-Lookup-Table'!$B$1:$B$469,MATCH(1,('ESDS-Lookup-Table'!$A$1:$A$469=C32)*('ESDS-Lookup-Table'!$C$1:$C$469=$D$17)*('ESDS-Lookup-Table'!$D$1:$D$469=$D$19),0)),"Select Region and Activity")</f>
        <v>0 or 5</v>
      </c>
      <c r="H32" s="791">
        <v>4</v>
      </c>
      <c r="I32" s="942">
        <f t="shared" si="0"/>
        <v>4</v>
      </c>
      <c r="J32" s="943"/>
    </row>
    <row r="33" spans="2:13" ht="15" customHeight="1" x14ac:dyDescent="0.25">
      <c r="B33" s="941"/>
      <c r="C33" s="973">
        <v>2.5</v>
      </c>
      <c r="D33" s="1966" t="s">
        <v>1210</v>
      </c>
      <c r="E33" s="1967"/>
      <c r="F33" s="1968"/>
      <c r="G33" s="1816" t="str">
        <f t="array" ref="G33">IFERROR(INDEX('ESDS-Lookup-Table'!$B$1:$B$469,MATCH(1,('ESDS-Lookup-Table'!$A$1:$A$469=C33)*('ESDS-Lookup-Table'!$C$1:$C$469=$D$17)*('ESDS-Lookup-Table'!$D$1:$D$469=$D$19),0)),"Select Region and Activity")</f>
        <v>Mandatory and optional 5</v>
      </c>
      <c r="H33" s="791" t="s">
        <v>1384</v>
      </c>
      <c r="I33" s="942">
        <f t="shared" si="0"/>
        <v>0</v>
      </c>
      <c r="J33" s="943"/>
    </row>
    <row r="34" spans="2:13" x14ac:dyDescent="0.25">
      <c r="B34" s="941"/>
      <c r="C34" s="973">
        <v>2.6</v>
      </c>
      <c r="D34" s="1966" t="s">
        <v>1209</v>
      </c>
      <c r="E34" s="1967"/>
      <c r="F34" s="1968"/>
      <c r="G34" s="1816" t="str">
        <f t="array" ref="G34">IFERROR(INDEX('ESDS-Lookup-Table'!$B$1:$B$469,MATCH(1,('ESDS-Lookup-Table'!$A$1:$A$469=C34)*('ESDS-Lookup-Table'!$C$1:$C$469=$D$17)*('ESDS-Lookup-Table'!$D$1:$D$469=$D$19),0)),"Select Region and Activity")</f>
        <v>0 or 3</v>
      </c>
      <c r="H34" s="791">
        <v>3</v>
      </c>
      <c r="I34" s="942">
        <f t="shared" si="0"/>
        <v>3</v>
      </c>
      <c r="J34" s="943"/>
    </row>
    <row r="35" spans="2:13" x14ac:dyDescent="0.25">
      <c r="B35" s="941"/>
      <c r="C35" s="976" t="s">
        <v>1227</v>
      </c>
      <c r="D35" s="1969" t="s">
        <v>1226</v>
      </c>
      <c r="E35" s="1967"/>
      <c r="F35" s="1968"/>
      <c r="G35" s="1816" t="str">
        <f t="array" ref="G35">IFERROR(INDEX('ESDS-Lookup-Table'!$B$1:$B$469,MATCH(1,('ESDS-Lookup-Table'!$A$1:$A$469=C35)*('ESDS-Lookup-Table'!$C$1:$C$469=$D$17)*('ESDS-Lookup-Table'!$D$1:$D$469=$D$19),0)),"Select Region and Activity")</f>
        <v>Mandatory</v>
      </c>
      <c r="H35" s="791" t="s">
        <v>1384</v>
      </c>
      <c r="I35" s="942">
        <f t="shared" si="0"/>
        <v>0</v>
      </c>
      <c r="J35" s="943"/>
    </row>
    <row r="36" spans="2:13" s="1817" customFormat="1" x14ac:dyDescent="0.25">
      <c r="B36" s="977"/>
      <c r="C36" s="973" t="s">
        <v>1208</v>
      </c>
      <c r="D36" s="1952" t="s">
        <v>1207</v>
      </c>
      <c r="E36" s="1953"/>
      <c r="F36" s="1954"/>
      <c r="G36" s="1816" t="str">
        <f t="array" ref="G36">IFERROR(INDEX('ESDS-Lookup-Table'!$B$1:$B$469,MATCH(1,('ESDS-Lookup-Table'!$A$1:$A$469=C36)*('ESDS-Lookup-Table'!$C$1:$C$469=$D$17)*('ESDS-Lookup-Table'!$D$1:$D$469=$D$19),0)),"Select Region and Activity")</f>
        <v>n/a (3 or 5 if Tribal)</v>
      </c>
      <c r="H36" s="791" t="s">
        <v>1369</v>
      </c>
      <c r="I36" s="942">
        <f t="shared" si="0"/>
        <v>0</v>
      </c>
      <c r="J36" s="978"/>
    </row>
    <row r="37" spans="2:13" x14ac:dyDescent="0.25">
      <c r="B37" s="941"/>
      <c r="C37" s="973">
        <v>2.8</v>
      </c>
      <c r="D37" s="1966" t="s">
        <v>1206</v>
      </c>
      <c r="E37" s="1967"/>
      <c r="F37" s="1968"/>
      <c r="G37" s="1816" t="str">
        <f t="array" ref="G37">IFERROR(INDEX('ESDS-Lookup-Table'!$B$1:$B$469,MATCH(1,('ESDS-Lookup-Table'!$A$1:$A$469=C37)*('ESDS-Lookup-Table'!$C$1:$C$469=$D$17)*('ESDS-Lookup-Table'!$D$1:$D$469=$D$19),0)),"Select Region and Activity")</f>
        <v>0, 2, 4, 6 or 7</v>
      </c>
      <c r="H37" s="791">
        <v>0</v>
      </c>
      <c r="I37" s="942">
        <f t="shared" si="0"/>
        <v>0</v>
      </c>
      <c r="J37" s="943"/>
    </row>
    <row r="38" spans="2:13" x14ac:dyDescent="0.25">
      <c r="B38" s="941"/>
      <c r="C38" s="973">
        <v>2.9</v>
      </c>
      <c r="D38" s="1966" t="s">
        <v>1205</v>
      </c>
      <c r="E38" s="1967"/>
      <c r="F38" s="1968"/>
      <c r="G38" s="1816" t="str">
        <f t="array" ref="G38">IFERROR(INDEX('ESDS-Lookup-Table'!$B$1:$B$469,MATCH(1,('ESDS-Lookup-Table'!$A$1:$A$469=C38)*('ESDS-Lookup-Table'!$C$1:$C$469=$D$17)*('ESDS-Lookup-Table'!$D$1:$D$469=$D$19),0)),"Select Region and Activity")</f>
        <v>0 or 10</v>
      </c>
      <c r="H38" s="791">
        <v>10</v>
      </c>
      <c r="I38" s="942">
        <f t="shared" si="0"/>
        <v>10</v>
      </c>
      <c r="J38" s="943"/>
    </row>
    <row r="39" spans="2:13" x14ac:dyDescent="0.25">
      <c r="B39" s="941"/>
      <c r="C39" s="979" t="s">
        <v>1204</v>
      </c>
      <c r="D39" s="1971" t="s">
        <v>1203</v>
      </c>
      <c r="E39" s="1972"/>
      <c r="F39" s="1973"/>
      <c r="G39" s="820" t="str">
        <f t="array" ref="G39">IFERROR(INDEX('ESDS-Lookup-Table'!$B$1:$B$469,MATCH(1,('ESDS-Lookup-Table'!$A$1:$A$469=C39)*('ESDS-Lookup-Table'!$C$1:$C$469=$D$17)*('ESDS-Lookup-Table'!$D$1:$D$469=$D$19),0)),"Select Region and Activity")</f>
        <v>0 or 3</v>
      </c>
      <c r="H39" s="791">
        <v>3</v>
      </c>
      <c r="I39" s="942">
        <f t="shared" si="0"/>
        <v>3</v>
      </c>
      <c r="J39" s="943"/>
    </row>
    <row r="40" spans="2:13" x14ac:dyDescent="0.25">
      <c r="B40" s="941"/>
      <c r="C40" s="964" t="s">
        <v>35</v>
      </c>
      <c r="D40" s="965"/>
      <c r="E40" s="966"/>
      <c r="F40" s="966"/>
      <c r="G40" s="967" t="s">
        <v>1202</v>
      </c>
      <c r="H40" s="968">
        <f>SUM(I29:I39)</f>
        <v>20</v>
      </c>
      <c r="I40" s="942"/>
      <c r="J40" s="943"/>
    </row>
    <row r="41" spans="2:13" s="942" customFormat="1" ht="7.5" customHeight="1" x14ac:dyDescent="0.25">
      <c r="B41" s="941"/>
      <c r="C41" s="969"/>
      <c r="D41" s="971"/>
      <c r="E41" s="969"/>
      <c r="F41" s="969"/>
      <c r="G41" s="970"/>
      <c r="H41" s="971"/>
      <c r="J41" s="943"/>
      <c r="M41" s="948"/>
    </row>
    <row r="42" spans="2:13" s="942" customFormat="1" x14ac:dyDescent="0.25">
      <c r="B42" s="941"/>
      <c r="C42" s="1469" t="s">
        <v>1201</v>
      </c>
      <c r="E42" s="1469"/>
      <c r="F42" s="1469"/>
      <c r="G42" s="970"/>
      <c r="J42" s="943"/>
      <c r="M42" s="948"/>
    </row>
    <row r="43" spans="2:13" x14ac:dyDescent="0.25">
      <c r="B43" s="941"/>
      <c r="C43" s="1610" t="s">
        <v>1238</v>
      </c>
      <c r="D43" s="1611" t="s">
        <v>1239</v>
      </c>
      <c r="E43" s="1612"/>
      <c r="F43" s="1612"/>
      <c r="G43" s="1613" t="s">
        <v>1107</v>
      </c>
      <c r="H43" s="1614" t="s">
        <v>1106</v>
      </c>
      <c r="I43" s="942"/>
      <c r="J43" s="943"/>
    </row>
    <row r="44" spans="2:13" x14ac:dyDescent="0.25">
      <c r="B44" s="941"/>
      <c r="C44" s="972" t="s">
        <v>1200</v>
      </c>
      <c r="D44" s="1963" t="s">
        <v>1199</v>
      </c>
      <c r="E44" s="1964"/>
      <c r="F44" s="1965"/>
      <c r="G44" s="820" t="str">
        <f t="array" ref="G44">IFERROR(INDEX('ESDS-Lookup-Table'!$B$1:$B$469,MATCH(1,('ESDS-Lookup-Table'!$A$1:$A$469=C44)*('ESDS-Lookup-Table'!$C$1:$C$469=$D$17)*('ESDS-Lookup-Table'!$D$1:$D$469=$D$19),0)),"Select Region and Activity")</f>
        <v>Mandatory</v>
      </c>
      <c r="H44" s="791" t="s">
        <v>1384</v>
      </c>
      <c r="I44" s="942">
        <f t="shared" ref="I44:I51" si="1">N(H44)</f>
        <v>0</v>
      </c>
      <c r="J44" s="943"/>
    </row>
    <row r="45" spans="2:13" x14ac:dyDescent="0.25">
      <c r="B45" s="941"/>
      <c r="C45" s="973" t="s">
        <v>1198</v>
      </c>
      <c r="D45" s="1966" t="s">
        <v>1197</v>
      </c>
      <c r="E45" s="1967"/>
      <c r="F45" s="1968"/>
      <c r="G45" s="1816" t="str">
        <f t="array" ref="G45">IFERROR(INDEX('ESDS-Lookup-Table'!$B$1:$B$469,MATCH(1,('ESDS-Lookup-Table'!$A$1:$A$469=C45)*('ESDS-Lookup-Table'!$C$1:$C$469=$D$17)*('ESDS-Lookup-Table'!$D$1:$D$469=$D$19),0)),"Select Region and Activity")</f>
        <v>Mandatory</v>
      </c>
      <c r="H45" s="791" t="s">
        <v>1384</v>
      </c>
      <c r="I45" s="942">
        <f t="shared" si="1"/>
        <v>0</v>
      </c>
      <c r="J45" s="943"/>
    </row>
    <row r="46" spans="2:13" ht="15" customHeight="1" x14ac:dyDescent="0.25">
      <c r="B46" s="941"/>
      <c r="C46" s="973" t="s">
        <v>1196</v>
      </c>
      <c r="D46" s="1966" t="s">
        <v>445</v>
      </c>
      <c r="E46" s="1967"/>
      <c r="F46" s="1968"/>
      <c r="G46" s="1816" t="str">
        <f t="array" ref="G46">IFERROR(INDEX('ESDS-Lookup-Table'!$B$1:$B$469,MATCH(1,('ESDS-Lookup-Table'!$A$1:$A$469=C46)*('ESDS-Lookup-Table'!$C$1:$C$469=$D$17)*('ESDS-Lookup-Table'!$D$1:$D$469=$D$19),0)),"Select Region and Activity")</f>
        <v>Mandatory if providing Landscaping</v>
      </c>
      <c r="H46" s="791" t="s">
        <v>1384</v>
      </c>
      <c r="I46" s="942">
        <f t="shared" si="1"/>
        <v>0</v>
      </c>
      <c r="J46" s="943"/>
    </row>
    <row r="47" spans="2:13" x14ac:dyDescent="0.25">
      <c r="B47" s="941"/>
      <c r="C47" s="973" t="s">
        <v>1194</v>
      </c>
      <c r="D47" s="1966" t="s">
        <v>445</v>
      </c>
      <c r="E47" s="1967"/>
      <c r="F47" s="1968"/>
      <c r="G47" s="1816" t="str">
        <f t="array" ref="G47">IFERROR(INDEX('ESDS-Lookup-Table'!$B$1:$B$469,MATCH(1,('ESDS-Lookup-Table'!$A$1:$A$469=C47)*('ESDS-Lookup-Table'!$C$1:$C$469=$D$17)*('ESDS-Lookup-Table'!$D$1:$D$469=$D$19),0)),"Select Region and Activity")</f>
        <v>0 or 5</v>
      </c>
      <c r="H47" s="791">
        <v>5</v>
      </c>
      <c r="I47" s="942">
        <f t="shared" si="1"/>
        <v>5</v>
      </c>
      <c r="J47" s="943"/>
    </row>
    <row r="48" spans="2:13" x14ac:dyDescent="0.25">
      <c r="B48" s="941"/>
      <c r="C48" s="973" t="s">
        <v>1193</v>
      </c>
      <c r="D48" s="1966" t="s">
        <v>1192</v>
      </c>
      <c r="E48" s="1967"/>
      <c r="F48" s="1968"/>
      <c r="G48" s="1816" t="str">
        <f t="array" ref="G48">IFERROR(INDEX('ESDS-Lookup-Table'!$B$1:$B$469,MATCH(1,('ESDS-Lookup-Table'!$A$1:$A$469=C48)*('ESDS-Lookup-Table'!$C$1:$C$469=$D$17)*('ESDS-Lookup-Table'!$D$1:$D$469=$D$19),0)),"Select Region and Activity")</f>
        <v>0, 1 to 5</v>
      </c>
      <c r="H48" s="791">
        <v>0</v>
      </c>
      <c r="I48" s="942">
        <f t="shared" si="1"/>
        <v>0</v>
      </c>
      <c r="J48" s="943"/>
    </row>
    <row r="49" spans="1:11" ht="15" customHeight="1" x14ac:dyDescent="0.25">
      <c r="B49" s="941"/>
      <c r="C49" s="973" t="s">
        <v>1191</v>
      </c>
      <c r="D49" s="1966" t="s">
        <v>1190</v>
      </c>
      <c r="E49" s="1967"/>
      <c r="F49" s="1968"/>
      <c r="G49" s="1816" t="str">
        <f t="array" ref="G49">IFERROR(INDEX('ESDS-Lookup-Table'!$B$1:$B$469,MATCH(1,('ESDS-Lookup-Table'!$A$1:$A$469=C49)*('ESDS-Lookup-Table'!$C$1:$C$469=$D$17)*('ESDS-Lookup-Table'!$D$1:$D$469=$D$19),0)),"Select Region and Activity")</f>
        <v>Mandatory if irrigation is utilized</v>
      </c>
      <c r="H49" s="791" t="s">
        <v>1384</v>
      </c>
      <c r="I49" s="942">
        <f t="shared" si="1"/>
        <v>0</v>
      </c>
      <c r="J49" s="943"/>
    </row>
    <row r="50" spans="1:11" x14ac:dyDescent="0.25">
      <c r="B50" s="941"/>
      <c r="C50" s="973" t="s">
        <v>1188</v>
      </c>
      <c r="D50" s="1966" t="s">
        <v>1187</v>
      </c>
      <c r="E50" s="1967"/>
      <c r="F50" s="1968"/>
      <c r="G50" s="1816" t="str">
        <f t="array" ref="G50">IFERROR(INDEX('ESDS-Lookup-Table'!$B$1:$B$469,MATCH(1,('ESDS-Lookup-Table'!$A$1:$A$469=C50)*('ESDS-Lookup-Table'!$C$1:$C$469=$D$17)*('ESDS-Lookup-Table'!$D$1:$D$469=$D$19),0)),"Select Region and Activity")</f>
        <v>0, 1, 2, 4 or 6</v>
      </c>
      <c r="H50" s="791">
        <v>2</v>
      </c>
      <c r="I50" s="942">
        <f t="shared" si="1"/>
        <v>2</v>
      </c>
      <c r="J50" s="943"/>
    </row>
    <row r="51" spans="1:11" x14ac:dyDescent="0.25">
      <c r="B51" s="941"/>
      <c r="C51" s="973" t="s">
        <v>1186</v>
      </c>
      <c r="D51" s="1971" t="s">
        <v>1185</v>
      </c>
      <c r="E51" s="1972"/>
      <c r="F51" s="1973"/>
      <c r="G51" s="820" t="str">
        <f t="array" ref="G51">IFERROR(INDEX('ESDS-Lookup-Table'!$B$1:$B$469,MATCH(1,('ESDS-Lookup-Table'!$A$1:$A$469=C51)*('ESDS-Lookup-Table'!$C$1:$C$469=$D$17)*('ESDS-Lookup-Table'!$D$1:$D$469=$D$19),0)),"Select Region and Activity")</f>
        <v>Mandatory</v>
      </c>
      <c r="H51" s="791" t="s">
        <v>1384</v>
      </c>
      <c r="I51" s="942">
        <f t="shared" si="1"/>
        <v>0</v>
      </c>
      <c r="J51" s="943"/>
    </row>
    <row r="52" spans="1:11" x14ac:dyDescent="0.25">
      <c r="A52" s="942"/>
      <c r="B52" s="941"/>
      <c r="C52" s="964" t="s">
        <v>35</v>
      </c>
      <c r="D52" s="965"/>
      <c r="E52" s="966"/>
      <c r="F52" s="966"/>
      <c r="G52" s="967" t="s">
        <v>1184</v>
      </c>
      <c r="H52" s="968">
        <f>SUM(I44:I51)</f>
        <v>7</v>
      </c>
      <c r="I52" s="942"/>
      <c r="J52" s="943"/>
    </row>
    <row r="53" spans="1:11" ht="7.5" customHeight="1" x14ac:dyDescent="0.25">
      <c r="A53" s="942"/>
      <c r="B53" s="941"/>
      <c r="C53" s="969"/>
      <c r="D53" s="971"/>
      <c r="E53" s="969"/>
      <c r="F53" s="969"/>
      <c r="G53" s="970"/>
      <c r="H53" s="971"/>
      <c r="I53" s="942"/>
      <c r="J53" s="943"/>
    </row>
    <row r="54" spans="1:11" x14ac:dyDescent="0.25">
      <c r="A54" s="942"/>
      <c r="B54" s="941"/>
      <c r="C54" s="1469" t="s">
        <v>1183</v>
      </c>
      <c r="D54" s="942"/>
      <c r="E54" s="1469"/>
      <c r="F54" s="1469"/>
      <c r="G54" s="970"/>
      <c r="H54" s="942"/>
      <c r="I54" s="942"/>
      <c r="J54" s="943"/>
    </row>
    <row r="55" spans="1:11" x14ac:dyDescent="0.25">
      <c r="A55" s="942"/>
      <c r="B55" s="941"/>
      <c r="C55" s="955" t="s">
        <v>1238</v>
      </c>
      <c r="D55" s="956" t="s">
        <v>1239</v>
      </c>
      <c r="E55" s="957"/>
      <c r="F55" s="957"/>
      <c r="G55" s="958" t="s">
        <v>1107</v>
      </c>
      <c r="H55" s="959" t="s">
        <v>1106</v>
      </c>
      <c r="I55" s="942"/>
      <c r="J55" s="943"/>
    </row>
    <row r="56" spans="1:11" x14ac:dyDescent="0.25">
      <c r="A56" s="942"/>
      <c r="B56" s="941"/>
      <c r="C56" s="981" t="s">
        <v>1182</v>
      </c>
      <c r="D56" s="1970" t="s">
        <v>1229</v>
      </c>
      <c r="E56" s="1964"/>
      <c r="F56" s="1965"/>
      <c r="G56" s="820" t="str">
        <f t="array" ref="G56">IFERROR(INDEX('ESDS-Lookup-Table'!$B$1:$B$469,MATCH(1,('ESDS-Lookup-Table'!$A$1:$A$469=C56)*('ESDS-Lookup-Table'!$C$1:$C$469=$D$17)*('ESDS-Lookup-Table'!$D$1:$D$469=$D$19),0)),"Select Region and Activity")</f>
        <v>Mandatory</v>
      </c>
      <c r="H56" s="791" t="s">
        <v>1384</v>
      </c>
      <c r="I56" s="942">
        <f>N(H56)</f>
        <v>0</v>
      </c>
      <c r="J56" s="943"/>
    </row>
    <row r="57" spans="1:11" x14ac:dyDescent="0.25">
      <c r="A57" s="942"/>
      <c r="B57" s="941"/>
      <c r="C57" s="983" t="s">
        <v>1181</v>
      </c>
      <c r="D57" s="1977" t="s">
        <v>1228</v>
      </c>
      <c r="E57" s="1967"/>
      <c r="F57" s="1968"/>
      <c r="G57" s="1816" t="str">
        <f t="array" ref="G57">IFERROR(INDEX('ESDS-Lookup-Table'!$B$1:$B$469,MATCH(1,('ESDS-Lookup-Table'!$A$1:$A$469=C57)*('ESDS-Lookup-Table'!$C$1:$C$469=$D$17)*('ESDS-Lookup-Table'!$D$1:$D$469=$D$19),0)),"Select Region and Activity")</f>
        <v>0, 1, 2, 4 or 6</v>
      </c>
      <c r="H57" s="791">
        <v>4</v>
      </c>
      <c r="I57" s="942">
        <f>N(H57)</f>
        <v>4</v>
      </c>
      <c r="J57" s="943"/>
    </row>
    <row r="58" spans="1:11" x14ac:dyDescent="0.25">
      <c r="A58" s="942"/>
      <c r="B58" s="941"/>
      <c r="C58" s="983" t="s">
        <v>1180</v>
      </c>
      <c r="D58" s="1978" t="s">
        <v>1179</v>
      </c>
      <c r="E58" s="1972"/>
      <c r="F58" s="1973"/>
      <c r="G58" s="820" t="str">
        <f t="array" ref="G58">IFERROR(INDEX('ESDS-Lookup-Table'!$B$1:$B$469,MATCH(1,('ESDS-Lookup-Table'!$A$1:$A$469=C58)*('ESDS-Lookup-Table'!$C$1:$C$469=$D$17)*('ESDS-Lookup-Table'!$D$1:$D$469=$D$19),0)),"Select Region and Activity")</f>
        <v>0, 4, 6 or 8</v>
      </c>
      <c r="H58" s="791">
        <v>0</v>
      </c>
      <c r="I58" s="942">
        <f>N(H58)</f>
        <v>0</v>
      </c>
      <c r="J58" s="943"/>
    </row>
    <row r="59" spans="1:11" x14ac:dyDescent="0.25">
      <c r="A59" s="942"/>
      <c r="B59" s="986"/>
      <c r="C59" s="964" t="s">
        <v>35</v>
      </c>
      <c r="D59" s="965"/>
      <c r="E59" s="966"/>
      <c r="F59" s="966"/>
      <c r="G59" s="967" t="s">
        <v>1178</v>
      </c>
      <c r="H59" s="968">
        <f>SUM(I56:I58)</f>
        <v>4</v>
      </c>
      <c r="I59" s="942"/>
      <c r="J59" s="943"/>
    </row>
    <row r="60" spans="1:11" ht="7.5" customHeight="1" x14ac:dyDescent="0.25">
      <c r="A60" s="942"/>
      <c r="B60" s="986"/>
      <c r="C60" s="969"/>
      <c r="D60" s="971"/>
      <c r="E60" s="969"/>
      <c r="F60" s="969"/>
      <c r="G60" s="970"/>
      <c r="H60" s="971"/>
      <c r="I60" s="942"/>
      <c r="J60" s="943"/>
    </row>
    <row r="61" spans="1:11" ht="7.5" customHeight="1" x14ac:dyDescent="0.25">
      <c r="A61" s="942"/>
      <c r="B61" s="986"/>
      <c r="C61" s="987"/>
      <c r="D61" s="942"/>
      <c r="E61" s="987"/>
      <c r="F61" s="987"/>
      <c r="G61" s="970"/>
      <c r="H61" s="942"/>
      <c r="I61" s="942"/>
      <c r="J61" s="943"/>
      <c r="K61" s="942"/>
    </row>
    <row r="62" spans="1:11" x14ac:dyDescent="0.25">
      <c r="A62" s="942"/>
      <c r="B62" s="986"/>
      <c r="C62" s="988" t="s">
        <v>1177</v>
      </c>
      <c r="D62" s="942"/>
      <c r="E62" s="988"/>
      <c r="F62" s="988"/>
      <c r="G62" s="970"/>
      <c r="H62" s="942"/>
      <c r="I62" s="942"/>
      <c r="J62" s="943"/>
    </row>
    <row r="63" spans="1:11" x14ac:dyDescent="0.25">
      <c r="A63" s="942"/>
      <c r="B63" s="941"/>
      <c r="C63" s="1610" t="s">
        <v>1238</v>
      </c>
      <c r="D63" s="1611" t="s">
        <v>1239</v>
      </c>
      <c r="E63" s="1612"/>
      <c r="F63" s="1612"/>
      <c r="G63" s="1613" t="s">
        <v>1107</v>
      </c>
      <c r="H63" s="1614" t="s">
        <v>1106</v>
      </c>
      <c r="I63" s="942"/>
      <c r="J63" s="943"/>
    </row>
    <row r="64" spans="1:11" x14ac:dyDescent="0.25">
      <c r="A64" s="942"/>
      <c r="B64" s="941"/>
      <c r="C64" s="989" t="s">
        <v>1176</v>
      </c>
      <c r="D64" s="1979" t="s">
        <v>1225</v>
      </c>
      <c r="E64" s="1980"/>
      <c r="F64" s="1981"/>
      <c r="G64" s="820" t="str">
        <f t="array" ref="G64">IFERROR(INDEX('ESDS-Lookup-Table'!$B$1:$B$469,MATCH(1,('ESDS-Lookup-Table'!$A$1:$A$469=C64)*('ESDS-Lookup-Table'!$C$1:$C$469=$D$17)*('ESDS-Lookup-Table'!$D$1:$D$469=$D$19),0)),"Select Region and Activity")</f>
        <v>Mandatory</v>
      </c>
      <c r="H64" s="791" t="s">
        <v>1384</v>
      </c>
      <c r="I64" s="942">
        <f t="shared" ref="I64:I81" si="2">N(H64)</f>
        <v>0</v>
      </c>
      <c r="J64" s="943"/>
    </row>
    <row r="65" spans="1:10" x14ac:dyDescent="0.25">
      <c r="A65" s="942"/>
      <c r="B65" s="941"/>
      <c r="C65" s="991" t="s">
        <v>1220</v>
      </c>
      <c r="D65" s="1982" t="s">
        <v>1232</v>
      </c>
      <c r="E65" s="1983"/>
      <c r="F65" s="1984"/>
      <c r="G65" s="1818" t="str">
        <f t="array" ref="G65">IFERROR(INDEX('ESDS-Lookup-Table'!$B$1:$B$469,MATCH(1,('ESDS-Lookup-Table'!$A$1:$A$469=C65)*('ESDS-Lookup-Table'!$C$1:$C$469=$D$17)*('ESDS-Lookup-Table'!$D$1:$D$469=$D$19),0)),"Select Region and Activity")</f>
        <v>n/a</v>
      </c>
      <c r="H65" s="791" t="s">
        <v>1369</v>
      </c>
      <c r="I65" s="942">
        <f t="shared" si="2"/>
        <v>0</v>
      </c>
      <c r="J65" s="975"/>
    </row>
    <row r="66" spans="1:10" ht="15" customHeight="1" x14ac:dyDescent="0.25">
      <c r="B66" s="941"/>
      <c r="C66" s="993" t="s">
        <v>1175</v>
      </c>
      <c r="D66" s="1982" t="s">
        <v>1257</v>
      </c>
      <c r="E66" s="1983"/>
      <c r="F66" s="1984"/>
      <c r="G66" s="1818" t="str">
        <f t="array" ref="G66">IFERROR(INDEX('ESDS-Lookup-Table'!$B$1:$B$469,MATCH(1,('ESDS-Lookup-Table'!$A$1:$A$469=C66)*('ESDS-Lookup-Table'!$C$1:$C$469=$D$17)*('ESDS-Lookup-Table'!$D$1:$D$469=$D$19),0)),"Select Region and Activity")</f>
        <v>0, 5 or 10, or 5, 7, 9, 12 or 15</v>
      </c>
      <c r="H66" s="791">
        <v>5</v>
      </c>
      <c r="I66" s="942">
        <f t="shared" si="2"/>
        <v>5</v>
      </c>
      <c r="J66" s="943"/>
    </row>
    <row r="67" spans="1:10" ht="15" customHeight="1" x14ac:dyDescent="0.25">
      <c r="B67" s="941"/>
      <c r="C67" s="991" t="s">
        <v>1221</v>
      </c>
      <c r="D67" s="1982" t="s">
        <v>1260</v>
      </c>
      <c r="E67" s="1983"/>
      <c r="F67" s="1984"/>
      <c r="G67" s="1818" t="str">
        <f t="array" ref="G67">IFERROR(INDEX('ESDS-Lookup-Table'!$B$1:$B$469,MATCH(1,('ESDS-Lookup-Table'!$A$1:$A$469=C67)*('ESDS-Lookup-Table'!$C$1:$C$469=$D$17)*('ESDS-Lookup-Table'!$D$1:$D$469=$D$19),0)),"Select Region and Activity")</f>
        <v>n/a</v>
      </c>
      <c r="H67" s="791"/>
      <c r="I67" s="942">
        <f t="shared" si="2"/>
        <v>0</v>
      </c>
      <c r="J67" s="943"/>
    </row>
    <row r="68" spans="1:10" x14ac:dyDescent="0.25">
      <c r="B68" s="941"/>
      <c r="C68" s="993" t="s">
        <v>1174</v>
      </c>
      <c r="D68" s="1977" t="s">
        <v>1173</v>
      </c>
      <c r="E68" s="1967"/>
      <c r="F68" s="1985"/>
      <c r="G68" s="1818" t="str">
        <f t="array" ref="G68">IFERROR(INDEX('ESDS-Lookup-Table'!$B$1:$B$469,MATCH(1,('ESDS-Lookup-Table'!$A$1:$A$469=C68)*('ESDS-Lookup-Table'!$C$1:$C$469=$D$17)*('ESDS-Lookup-Table'!$D$1:$D$469=$D$19),0)),"Select Region and Activity")</f>
        <v>Mandatory</v>
      </c>
      <c r="H68" s="791" t="s">
        <v>1384</v>
      </c>
      <c r="I68" s="942">
        <f t="shared" si="2"/>
        <v>0</v>
      </c>
      <c r="J68" s="943"/>
    </row>
    <row r="69" spans="1:10" ht="15" customHeight="1" x14ac:dyDescent="0.25">
      <c r="B69" s="941"/>
      <c r="C69" s="993" t="s">
        <v>1172</v>
      </c>
      <c r="D69" s="1977" t="s">
        <v>1171</v>
      </c>
      <c r="E69" s="1967"/>
      <c r="F69" s="1985"/>
      <c r="G69" s="1818" t="str">
        <f t="array" ref="G69">IFERROR(INDEX('ESDS-Lookup-Table'!$B$1:$B$469,MATCH(1,('ESDS-Lookup-Table'!$A$1:$A$469=C69)*('ESDS-Lookup-Table'!$C$1:$C$469=$D$17)*('ESDS-Lookup-Table'!$D$1:$D$469=$D$19),0)),"Select Region and Activity")</f>
        <v>Mandatory if providing appliances</v>
      </c>
      <c r="H69" s="791" t="s">
        <v>1384</v>
      </c>
      <c r="I69" s="942">
        <f t="shared" si="2"/>
        <v>0</v>
      </c>
      <c r="J69" s="943"/>
    </row>
    <row r="70" spans="1:10" x14ac:dyDescent="0.25">
      <c r="B70" s="941"/>
      <c r="C70" s="993" t="s">
        <v>1169</v>
      </c>
      <c r="D70" s="1977" t="s">
        <v>1168</v>
      </c>
      <c r="E70" s="1967"/>
      <c r="F70" s="1985"/>
      <c r="G70" s="1818" t="str">
        <f t="array" ref="G70">IFERROR(INDEX('ESDS-Lookup-Table'!$B$1:$B$469,MATCH(1,('ESDS-Lookup-Table'!$A$1:$A$469=C70)*('ESDS-Lookup-Table'!$C$1:$C$469=$D$17)*('ESDS-Lookup-Table'!$D$1:$D$469=$D$19),0)),"Select Region and Activity")</f>
        <v>0 or 3</v>
      </c>
      <c r="H70" s="791">
        <v>3</v>
      </c>
      <c r="I70" s="942">
        <f t="shared" si="2"/>
        <v>3</v>
      </c>
      <c r="J70" s="943"/>
    </row>
    <row r="71" spans="1:10" x14ac:dyDescent="0.25">
      <c r="B71" s="941"/>
      <c r="C71" s="993" t="s">
        <v>1167</v>
      </c>
      <c r="D71" s="1977" t="s">
        <v>1166</v>
      </c>
      <c r="E71" s="1967"/>
      <c r="F71" s="1985"/>
      <c r="G71" s="1818" t="str">
        <f t="array" ref="G71">IFERROR(INDEX('ESDS-Lookup-Table'!$B$1:$B$469,MATCH(1,('ESDS-Lookup-Table'!$A$1:$A$469=C71)*('ESDS-Lookup-Table'!$C$1:$C$469=$D$17)*('ESDS-Lookup-Table'!$D$1:$D$469=$D$19),0)),"Select Region and Activity")</f>
        <v>Mandatory</v>
      </c>
      <c r="H71" s="791" t="s">
        <v>1384</v>
      </c>
      <c r="I71" s="942">
        <f t="shared" si="2"/>
        <v>0</v>
      </c>
      <c r="J71" s="943"/>
    </row>
    <row r="72" spans="1:10" x14ac:dyDescent="0.25">
      <c r="B72" s="941"/>
      <c r="C72" s="993" t="s">
        <v>1165</v>
      </c>
      <c r="D72" s="1982" t="s">
        <v>1258</v>
      </c>
      <c r="E72" s="1983"/>
      <c r="F72" s="1984"/>
      <c r="G72" s="1818" t="str">
        <f t="array" ref="G72">IFERROR(INDEX('ESDS-Lookup-Table'!$B$1:$B$469,MATCH(1,('ESDS-Lookup-Table'!$A$1:$A$469=C72)*('ESDS-Lookup-Table'!$C$1:$C$469=$D$17)*('ESDS-Lookup-Table'!$D$1:$D$469=$D$19),0)),"Select Region and Activity")</f>
        <v>Mandatory</v>
      </c>
      <c r="H72" s="791" t="s">
        <v>1384</v>
      </c>
      <c r="I72" s="942">
        <f t="shared" si="2"/>
        <v>0</v>
      </c>
      <c r="J72" s="943"/>
    </row>
    <row r="73" spans="1:10" x14ac:dyDescent="0.25">
      <c r="B73" s="941"/>
      <c r="C73" s="991" t="s">
        <v>1222</v>
      </c>
      <c r="D73" s="1974" t="s">
        <v>1259</v>
      </c>
      <c r="E73" s="1975"/>
      <c r="F73" s="1976"/>
      <c r="G73" s="1818" t="str">
        <f t="array" ref="G73">IFERROR(INDEX('ESDS-Lookup-Table'!$B$1:$B$469,MATCH(1,('ESDS-Lookup-Table'!$A$1:$A$469=C73)*('ESDS-Lookup-Table'!$C$1:$C$469=$D$17)*('ESDS-Lookup-Table'!$D$1:$D$469=$D$19),0)),"Select Region and Activity")</f>
        <v>n/a</v>
      </c>
      <c r="H73" s="791" t="s">
        <v>1369</v>
      </c>
      <c r="I73" s="942">
        <f t="shared" si="2"/>
        <v>0</v>
      </c>
      <c r="J73" s="943"/>
    </row>
    <row r="74" spans="1:10" x14ac:dyDescent="0.25">
      <c r="B74" s="941"/>
      <c r="C74" s="993" t="s">
        <v>1164</v>
      </c>
      <c r="D74" s="1982" t="s">
        <v>1261</v>
      </c>
      <c r="E74" s="1967"/>
      <c r="F74" s="1985"/>
      <c r="G74" s="1818" t="str">
        <f t="array" ref="G74">IFERROR(INDEX('ESDS-Lookup-Table'!$B$1:$B$469,MATCH(1,('ESDS-Lookup-Table'!$A$1:$A$469=C74)*('ESDS-Lookup-Table'!$C$1:$C$469=$D$17)*('ESDS-Lookup-Table'!$D$1:$D$469=$D$19),0)),"Select Region and Activity")</f>
        <v>0, 0.5 to 5</v>
      </c>
      <c r="H74" s="791"/>
      <c r="I74" s="942">
        <f t="shared" si="2"/>
        <v>0</v>
      </c>
      <c r="J74" s="943"/>
    </row>
    <row r="75" spans="1:10" x14ac:dyDescent="0.25">
      <c r="B75" s="941"/>
      <c r="C75" s="993" t="s">
        <v>1163</v>
      </c>
      <c r="D75" s="1977" t="s">
        <v>1162</v>
      </c>
      <c r="E75" s="1967"/>
      <c r="F75" s="1985"/>
      <c r="G75" s="1818" t="str">
        <f t="array" ref="G75">IFERROR(INDEX('ESDS-Lookup-Table'!$B$1:$B$469,MATCH(1,('ESDS-Lookup-Table'!$A$1:$A$469=C75)*('ESDS-Lookup-Table'!$C$1:$C$469=$D$17)*('ESDS-Lookup-Table'!$D$1:$D$469=$D$19),0)),"Select Region and Activity")</f>
        <v>0 or 1</v>
      </c>
      <c r="H75" s="791">
        <v>1</v>
      </c>
      <c r="I75" s="942">
        <f t="shared" si="2"/>
        <v>1</v>
      </c>
      <c r="J75" s="943"/>
    </row>
    <row r="76" spans="1:10" x14ac:dyDescent="0.25">
      <c r="B76" s="941"/>
      <c r="C76" s="993" t="s">
        <v>1161</v>
      </c>
      <c r="D76" s="1982" t="s">
        <v>1262</v>
      </c>
      <c r="E76" s="1967"/>
      <c r="F76" s="1985"/>
      <c r="G76" s="1818" t="str">
        <f t="array" ref="G76">IFERROR(INDEX('ESDS-Lookup-Table'!$B$1:$B$469,MATCH(1,('ESDS-Lookup-Table'!$A$1:$A$469=C76)*('ESDS-Lookup-Table'!$C$1:$C$469=$D$17)*('ESDS-Lookup-Table'!$D$1:$D$469=$D$19),0)),"Select Region and Activity")</f>
        <v>0, 1 to 10</v>
      </c>
      <c r="H76" s="791"/>
      <c r="I76" s="942">
        <f t="shared" si="2"/>
        <v>0</v>
      </c>
      <c r="J76" s="943"/>
    </row>
    <row r="77" spans="1:10" x14ac:dyDescent="0.25">
      <c r="B77" s="941"/>
      <c r="C77" s="993" t="s">
        <v>1160</v>
      </c>
      <c r="D77" s="1977" t="s">
        <v>1159</v>
      </c>
      <c r="E77" s="1967"/>
      <c r="F77" s="1985"/>
      <c r="G77" s="1818" t="str">
        <f t="array" ref="G77">IFERROR(INDEX('ESDS-Lookup-Table'!$B$1:$B$469,MATCH(1,('ESDS-Lookup-Table'!$A$1:$A$469=C77)*('ESDS-Lookup-Table'!$C$1:$C$469=$D$17)*('ESDS-Lookup-Table'!$D$1:$D$469=$D$19),0)),"Select Region and Activity")</f>
        <v>Mandatory</v>
      </c>
      <c r="H77" s="791" t="s">
        <v>1384</v>
      </c>
      <c r="I77" s="942">
        <f t="shared" si="2"/>
        <v>0</v>
      </c>
      <c r="J77" s="943"/>
    </row>
    <row r="78" spans="1:10" x14ac:dyDescent="0.25">
      <c r="B78" s="941"/>
      <c r="C78" s="993" t="s">
        <v>1158</v>
      </c>
      <c r="D78" s="1982" t="s">
        <v>1263</v>
      </c>
      <c r="E78" s="1967"/>
      <c r="F78" s="1985"/>
      <c r="G78" s="1818" t="str">
        <f t="array" ref="G78">IFERROR(INDEX('ESDS-Lookup-Table'!$B$1:$B$469,MATCH(1,('ESDS-Lookup-Table'!$A$1:$A$469=C78)*('ESDS-Lookup-Table'!$C$1:$C$469=$D$17)*('ESDS-Lookup-Table'!$D$1:$D$469=$D$19),0)),"Select Region and Activity")</f>
        <v>0, 2, 3 or 5</v>
      </c>
      <c r="H78" s="791"/>
      <c r="I78" s="942">
        <f t="shared" si="2"/>
        <v>0</v>
      </c>
      <c r="J78" s="943"/>
    </row>
    <row r="79" spans="1:10" x14ac:dyDescent="0.25">
      <c r="B79" s="941"/>
      <c r="C79" s="993">
        <v>5.1100000000000003</v>
      </c>
      <c r="D79" s="1986" t="s">
        <v>1264</v>
      </c>
      <c r="E79" s="1987"/>
      <c r="F79" s="1988"/>
      <c r="G79" s="1818" t="str">
        <f t="array" ref="G79">IFERROR(INDEX('ESDS-Lookup-Table'!$B$1:$B$469,MATCH(1,('ESDS-Lookup-Table'!$A$1:$A$469=C79)*('ESDS-Lookup-Table'!$C$1:$C$469=$D$17)*('ESDS-Lookup-Table'!$D$1:$D$469=$D$19),0)),"Select Region and Activity")</f>
        <v>n/a</v>
      </c>
      <c r="H79" s="791" t="s">
        <v>1369</v>
      </c>
      <c r="I79" s="942">
        <f t="shared" si="2"/>
        <v>0</v>
      </c>
      <c r="J79" s="943"/>
    </row>
    <row r="80" spans="1:10" x14ac:dyDescent="0.25">
      <c r="B80" s="941"/>
      <c r="C80" s="993">
        <v>5.12</v>
      </c>
      <c r="D80" s="1989" t="s">
        <v>1265</v>
      </c>
      <c r="E80" s="1990"/>
      <c r="F80" s="1991"/>
      <c r="G80" s="1818" t="str">
        <f t="array" ref="G80">IFERROR(INDEX('ESDS-Lookup-Table'!$B$1:$B$469,MATCH(1,('ESDS-Lookup-Table'!$A$1:$A$469=C80)*('ESDS-Lookup-Table'!$C$1:$C$469=$D$17)*('ESDS-Lookup-Table'!$D$1:$D$469=$D$19),0)),"Select Region and Activity")</f>
        <v>n/a</v>
      </c>
      <c r="H80" s="791" t="s">
        <v>1369</v>
      </c>
      <c r="I80" s="942">
        <f t="shared" si="2"/>
        <v>0</v>
      </c>
      <c r="J80" s="943"/>
    </row>
    <row r="81" spans="2:14" x14ac:dyDescent="0.25">
      <c r="B81" s="941"/>
      <c r="C81" s="995">
        <v>5.13</v>
      </c>
      <c r="D81" s="1992" t="s">
        <v>1266</v>
      </c>
      <c r="E81" s="1993"/>
      <c r="F81" s="1994"/>
      <c r="G81" s="820" t="str">
        <f t="array" ref="G81">IFERROR(INDEX('ESDS-Lookup-Table'!$B$1:$B$469,MATCH(1,('ESDS-Lookup-Table'!$A$1:$A$469=C81)*('ESDS-Lookup-Table'!$C$1:$C$469=$D$17)*('ESDS-Lookup-Table'!$D$1:$D$469=$D$19),0)),"Select Region and Activity")</f>
        <v>n/a</v>
      </c>
      <c r="H81" s="791" t="s">
        <v>1369</v>
      </c>
      <c r="I81" s="942">
        <f t="shared" si="2"/>
        <v>0</v>
      </c>
      <c r="J81" s="943"/>
    </row>
    <row r="82" spans="2:14" x14ac:dyDescent="0.25">
      <c r="B82" s="941"/>
      <c r="C82" s="964" t="s">
        <v>35</v>
      </c>
      <c r="D82" s="965"/>
      <c r="E82" s="966"/>
      <c r="F82" s="966"/>
      <c r="G82" s="967" t="s">
        <v>1157</v>
      </c>
      <c r="H82" s="968">
        <f>SUM(I64:I81)</f>
        <v>9</v>
      </c>
      <c r="I82" s="942"/>
      <c r="J82" s="943"/>
    </row>
    <row r="83" spans="2:14" s="942" customFormat="1" ht="9" customHeight="1" thickBot="1" x14ac:dyDescent="0.3">
      <c r="B83" s="997"/>
      <c r="C83" s="998"/>
      <c r="D83" s="999"/>
      <c r="E83" s="998"/>
      <c r="F83" s="998"/>
      <c r="G83" s="1000"/>
      <c r="H83" s="999"/>
      <c r="I83" s="999"/>
      <c r="J83" s="1001"/>
      <c r="M83" s="948"/>
    </row>
    <row r="84" spans="2:14" s="942" customFormat="1" ht="26.25" customHeight="1" x14ac:dyDescent="0.25">
      <c r="B84" s="938"/>
      <c r="C84" s="1002" t="s">
        <v>1156</v>
      </c>
      <c r="D84" s="939"/>
      <c r="E84" s="1002"/>
      <c r="F84" s="1002"/>
      <c r="G84" s="1003"/>
      <c r="H84" s="939"/>
      <c r="I84" s="939"/>
      <c r="J84" s="940"/>
      <c r="M84" s="948"/>
    </row>
    <row r="85" spans="2:14" x14ac:dyDescent="0.25">
      <c r="B85" s="941"/>
      <c r="C85" s="1610" t="s">
        <v>1238</v>
      </c>
      <c r="D85" s="1611" t="s">
        <v>1239</v>
      </c>
      <c r="E85" s="1612"/>
      <c r="F85" s="1612"/>
      <c r="G85" s="1613" t="s">
        <v>1107</v>
      </c>
      <c r="H85" s="1614" t="s">
        <v>1106</v>
      </c>
      <c r="I85" s="942"/>
      <c r="J85" s="943"/>
      <c r="M85" s="820"/>
    </row>
    <row r="86" spans="2:14" x14ac:dyDescent="0.25">
      <c r="B86" s="941"/>
      <c r="C86" s="989" t="s">
        <v>1155</v>
      </c>
      <c r="D86" s="1970" t="s">
        <v>1154</v>
      </c>
      <c r="E86" s="1964"/>
      <c r="F86" s="1995"/>
      <c r="G86" s="820" t="str">
        <f t="array" ref="G86">IFERROR(INDEX('ESDS-Lookup-Table'!$B$1:$B$469,MATCH(1,('ESDS-Lookup-Table'!$A$1:$A$469=C86)*('ESDS-Lookup-Table'!$C$1:$C$469=$D$17)*('ESDS-Lookup-Table'!$D$1:$D$469=$D$19),0)),"Select Region and Activity")</f>
        <v>Mandatory</v>
      </c>
      <c r="H86" s="791" t="s">
        <v>1384</v>
      </c>
      <c r="I86" s="942">
        <f t="shared" ref="I86:I94" si="3">N(H86)</f>
        <v>0</v>
      </c>
      <c r="J86" s="943"/>
    </row>
    <row r="87" spans="2:14" x14ac:dyDescent="0.25">
      <c r="B87" s="941"/>
      <c r="C87" s="993" t="s">
        <v>1153</v>
      </c>
      <c r="D87" s="1977" t="s">
        <v>1152</v>
      </c>
      <c r="E87" s="1967"/>
      <c r="F87" s="1985"/>
      <c r="G87" s="1818" t="str">
        <f t="array" ref="G87">IFERROR(INDEX('ESDS-Lookup-Table'!$B$1:$B$469,MATCH(1,('ESDS-Lookup-Table'!$A$1:$A$469=C87)*('ESDS-Lookup-Table'!$C$1:$C$469=$D$17)*('ESDS-Lookup-Table'!$D$1:$D$469=$D$19),0)),"Select Region and Activity")</f>
        <v>Mandatory</v>
      </c>
      <c r="H87" s="791" t="s">
        <v>1384</v>
      </c>
      <c r="I87" s="942">
        <f t="shared" si="3"/>
        <v>0</v>
      </c>
      <c r="J87" s="943"/>
    </row>
    <row r="88" spans="2:14" x14ac:dyDescent="0.25">
      <c r="B88" s="941"/>
      <c r="C88" s="993" t="s">
        <v>1151</v>
      </c>
      <c r="D88" s="1977" t="s">
        <v>1150</v>
      </c>
      <c r="E88" s="1967"/>
      <c r="F88" s="1985"/>
      <c r="G88" s="1818" t="str">
        <f t="array" ref="G88">IFERROR(INDEX('ESDS-Lookup-Table'!$B$1:$B$469,MATCH(1,('ESDS-Lookup-Table'!$A$1:$A$469=C88)*('ESDS-Lookup-Table'!$C$1:$C$469=$D$17)*('ESDS-Lookup-Table'!$D$1:$D$469=$D$19),0)),"Select Region and Activity")</f>
        <v>0, 1 to 5</v>
      </c>
      <c r="H88" s="791">
        <v>5</v>
      </c>
      <c r="I88" s="942">
        <f t="shared" si="3"/>
        <v>5</v>
      </c>
      <c r="J88" s="943"/>
    </row>
    <row r="89" spans="2:14" x14ac:dyDescent="0.25">
      <c r="B89" s="941"/>
      <c r="C89" s="993" t="s">
        <v>1149</v>
      </c>
      <c r="D89" s="1977" t="s">
        <v>1148</v>
      </c>
      <c r="E89" s="1967"/>
      <c r="F89" s="1985"/>
      <c r="G89" s="1818" t="str">
        <f t="array" ref="G89">IFERROR(INDEX('ESDS-Lookup-Table'!$B$1:$B$469,MATCH(1,('ESDS-Lookup-Table'!$A$1:$A$469=C89)*('ESDS-Lookup-Table'!$C$1:$C$469=$D$17)*('ESDS-Lookup-Table'!$D$1:$D$469=$D$19),0)),"Select Region and Activity")</f>
        <v>0, 0.5 to 10</v>
      </c>
      <c r="H89" s="791">
        <v>2</v>
      </c>
      <c r="I89" s="942">
        <f t="shared" si="3"/>
        <v>2</v>
      </c>
      <c r="J89" s="943"/>
    </row>
    <row r="90" spans="2:14" x14ac:dyDescent="0.25">
      <c r="B90" s="941"/>
      <c r="C90" s="993" t="s">
        <v>1147</v>
      </c>
      <c r="D90" s="1977" t="s">
        <v>1146</v>
      </c>
      <c r="E90" s="1967"/>
      <c r="F90" s="1985"/>
      <c r="G90" s="1818" t="str">
        <f t="array" ref="G90">IFERROR(INDEX('ESDS-Lookup-Table'!$B$1:$B$469,MATCH(1,('ESDS-Lookup-Table'!$A$1:$A$469=C90)*('ESDS-Lookup-Table'!$C$1:$C$469=$D$17)*('ESDS-Lookup-Table'!$D$1:$D$469=$D$19),0)),"Select Region and Activity")</f>
        <v>0, 1 to 5</v>
      </c>
      <c r="H90" s="791">
        <v>0</v>
      </c>
      <c r="I90" s="942">
        <f t="shared" si="3"/>
        <v>0</v>
      </c>
      <c r="J90" s="943"/>
    </row>
    <row r="91" spans="2:14" x14ac:dyDescent="0.25">
      <c r="B91" s="941"/>
      <c r="C91" s="993" t="s">
        <v>1145</v>
      </c>
      <c r="D91" s="1977" t="s">
        <v>1144</v>
      </c>
      <c r="E91" s="1967"/>
      <c r="F91" s="1985"/>
      <c r="G91" s="1818" t="str">
        <f t="array" ref="G91">IFERROR(INDEX('ESDS-Lookup-Table'!$B$1:$B$469,MATCH(1,('ESDS-Lookup-Table'!$A$1:$A$469=C91)*('ESDS-Lookup-Table'!$C$1:$C$469=$D$17)*('ESDS-Lookup-Table'!$D$1:$D$469=$D$19),0)),"Select Region and Activity")</f>
        <v>0, 1 to 5</v>
      </c>
      <c r="H91" s="791">
        <v>0</v>
      </c>
      <c r="I91" s="942">
        <f t="shared" si="3"/>
        <v>0</v>
      </c>
      <c r="J91" s="943"/>
    </row>
    <row r="92" spans="2:14" x14ac:dyDescent="0.25">
      <c r="B92" s="941"/>
      <c r="C92" s="993" t="s">
        <v>1143</v>
      </c>
      <c r="D92" s="1977" t="s">
        <v>1142</v>
      </c>
      <c r="E92" s="1967"/>
      <c r="F92" s="1985"/>
      <c r="G92" s="1818" t="str">
        <f t="array" ref="G92">IFERROR(INDEX('ESDS-Lookup-Table'!$B$1:$B$469,MATCH(1,('ESDS-Lookup-Table'!$A$1:$A$469=C92)*('ESDS-Lookup-Table'!$C$1:$C$469=$D$17)*('ESDS-Lookup-Table'!$D$1:$D$469=$D$19),0)),"Select Region and Activity")</f>
        <v>0 or 5</v>
      </c>
      <c r="H92" s="791">
        <v>0</v>
      </c>
      <c r="I92" s="942">
        <f t="shared" si="3"/>
        <v>0</v>
      </c>
      <c r="J92" s="943"/>
    </row>
    <row r="93" spans="2:14" x14ac:dyDescent="0.25">
      <c r="B93" s="941"/>
      <c r="C93" s="993" t="s">
        <v>1141</v>
      </c>
      <c r="D93" s="1977" t="s">
        <v>1140</v>
      </c>
      <c r="E93" s="1967"/>
      <c r="F93" s="1985"/>
      <c r="G93" s="1818" t="str">
        <f t="array" ref="G93">IFERROR(INDEX('ESDS-Lookup-Table'!$B$1:$B$469,MATCH(1,('ESDS-Lookup-Table'!$A$1:$A$469=C93)*('ESDS-Lookup-Table'!$C$1:$C$469=$D$17)*('ESDS-Lookup-Table'!$D$1:$D$469=$D$19),0)),"Select Region and Activity")</f>
        <v>0 or 5</v>
      </c>
      <c r="H93" s="791">
        <v>0</v>
      </c>
      <c r="I93" s="942">
        <f t="shared" si="3"/>
        <v>0</v>
      </c>
      <c r="J93" s="943"/>
    </row>
    <row r="94" spans="2:14" x14ac:dyDescent="0.25">
      <c r="B94" s="941"/>
      <c r="C94" s="995" t="s">
        <v>1139</v>
      </c>
      <c r="D94" s="1978" t="s">
        <v>1138</v>
      </c>
      <c r="E94" s="1972"/>
      <c r="F94" s="1996"/>
      <c r="G94" s="820" t="str">
        <f t="array" ref="G94">IFERROR(INDEX('ESDS-Lookup-Table'!$B$1:$B$469,MATCH(1,('ESDS-Lookup-Table'!$A$1:$A$469=C94)*('ESDS-Lookup-Table'!$C$1:$C$469=$D$17)*('ESDS-Lookup-Table'!$D$1:$D$469=$D$19),0)),"Select Region and Activity")</f>
        <v>0, 1, 2 or 3</v>
      </c>
      <c r="H94" s="791">
        <v>0</v>
      </c>
      <c r="I94" s="942">
        <f t="shared" si="3"/>
        <v>0</v>
      </c>
      <c r="J94" s="943"/>
    </row>
    <row r="95" spans="2:14" x14ac:dyDescent="0.25">
      <c r="B95" s="941"/>
      <c r="C95" s="964" t="s">
        <v>35</v>
      </c>
      <c r="D95" s="965"/>
      <c r="E95" s="966"/>
      <c r="F95" s="966"/>
      <c r="G95" s="967" t="s">
        <v>1137</v>
      </c>
      <c r="H95" s="968">
        <f>SUM(I86:I94)</f>
        <v>7</v>
      </c>
      <c r="I95" s="942"/>
      <c r="J95" s="943"/>
      <c r="N95" s="942"/>
    </row>
    <row r="96" spans="2:14" s="942" customFormat="1" ht="7.5" customHeight="1" x14ac:dyDescent="0.25">
      <c r="B96" s="941"/>
      <c r="C96" s="969"/>
      <c r="D96" s="971"/>
      <c r="E96" s="969"/>
      <c r="F96" s="969"/>
      <c r="G96" s="970"/>
      <c r="H96" s="971"/>
      <c r="J96" s="943"/>
      <c r="M96" s="948"/>
    </row>
    <row r="97" spans="2:14" s="942" customFormat="1" ht="7.5" customHeight="1" x14ac:dyDescent="0.25">
      <c r="B97" s="941"/>
      <c r="C97" s="987"/>
      <c r="E97" s="987"/>
      <c r="F97" s="987"/>
      <c r="G97" s="970"/>
      <c r="J97" s="943"/>
      <c r="M97" s="948"/>
    </row>
    <row r="98" spans="2:14" s="942" customFormat="1" x14ac:dyDescent="0.25">
      <c r="B98" s="941"/>
      <c r="C98" s="988" t="s">
        <v>1136</v>
      </c>
      <c r="E98" s="988"/>
      <c r="F98" s="988"/>
      <c r="G98" s="970"/>
      <c r="J98" s="943"/>
      <c r="M98" s="948"/>
    </row>
    <row r="99" spans="2:14" x14ac:dyDescent="0.25">
      <c r="B99" s="941"/>
      <c r="C99" s="1610" t="s">
        <v>1238</v>
      </c>
      <c r="D99" s="1611" t="s">
        <v>1239</v>
      </c>
      <c r="E99" s="1612"/>
      <c r="F99" s="1612"/>
      <c r="G99" s="1613" t="s">
        <v>1107</v>
      </c>
      <c r="H99" s="1614" t="s">
        <v>1106</v>
      </c>
      <c r="I99" s="942"/>
      <c r="J99" s="943"/>
    </row>
    <row r="100" spans="2:14" x14ac:dyDescent="0.25">
      <c r="B100" s="941"/>
      <c r="C100" s="989" t="s">
        <v>1135</v>
      </c>
      <c r="D100" s="1997" t="s">
        <v>1134</v>
      </c>
      <c r="E100" s="1998"/>
      <c r="F100" s="1999"/>
      <c r="G100" s="820" t="str">
        <f t="array" ref="G100">IFERROR(INDEX('ESDS-Lookup-Table'!$B$1:$B$469,MATCH(1,('ESDS-Lookup-Table'!$A$1:$A$469=C100)*('ESDS-Lookup-Table'!$C$1:$C$469=$D$17)*('ESDS-Lookup-Table'!$D$1:$D$469=$D$19),0)),"Select Region and Activity")</f>
        <v>Mandatory</v>
      </c>
      <c r="H100" s="791" t="s">
        <v>1384</v>
      </c>
      <c r="I100" s="942">
        <f t="shared" ref="I100:I121" si="4">N(H100)</f>
        <v>0</v>
      </c>
      <c r="J100" s="943"/>
    </row>
    <row r="101" spans="2:14" ht="15" customHeight="1" x14ac:dyDescent="0.25">
      <c r="B101" s="941"/>
      <c r="C101" s="993" t="s">
        <v>1133</v>
      </c>
      <c r="D101" s="1977" t="s">
        <v>1130</v>
      </c>
      <c r="E101" s="1967"/>
      <c r="F101" s="1985"/>
      <c r="G101" s="1819" t="str">
        <f t="array" ref="G101">IFERROR(INDEX('ESDS-Lookup-Table'!$B$1:$B$469,MATCH(1,('ESDS-Lookup-Table'!$A$1:$A$469=C101)*('ESDS-Lookup-Table'!$C$1:$C$469=$D$17)*('ESDS-Lookup-Table'!$D$1:$D$469=$D$19),0)),"Select Region and Activity")</f>
        <v>Mandatory if providing floor coverings</v>
      </c>
      <c r="H101" s="791" t="s">
        <v>1384</v>
      </c>
      <c r="I101" s="942">
        <f t="shared" si="4"/>
        <v>0</v>
      </c>
      <c r="J101" s="943"/>
    </row>
    <row r="102" spans="2:14" x14ac:dyDescent="0.25">
      <c r="B102" s="941"/>
      <c r="C102" s="993" t="s">
        <v>1131</v>
      </c>
      <c r="D102" s="1977" t="s">
        <v>1130</v>
      </c>
      <c r="E102" s="1967"/>
      <c r="F102" s="1985"/>
      <c r="G102" s="1818" t="str">
        <f t="array" ref="G102">IFERROR(INDEX('ESDS-Lookup-Table'!$B$1:$B$469,MATCH(1,('ESDS-Lookup-Table'!$A$1:$A$469=C102)*('ESDS-Lookup-Table'!$C$1:$C$469=$D$17)*('ESDS-Lookup-Table'!$D$1:$D$469=$D$19),0)),"Select Region and Activity")</f>
        <v>0 or 4</v>
      </c>
      <c r="H102" s="791">
        <v>0</v>
      </c>
      <c r="I102" s="942">
        <f t="shared" si="4"/>
        <v>0</v>
      </c>
      <c r="J102" s="943"/>
    </row>
    <row r="103" spans="2:14" x14ac:dyDescent="0.25">
      <c r="B103" s="941"/>
      <c r="C103" s="993" t="s">
        <v>1129</v>
      </c>
      <c r="D103" s="1982" t="s">
        <v>1233</v>
      </c>
      <c r="E103" s="1983"/>
      <c r="F103" s="1984"/>
      <c r="G103" s="1818" t="str">
        <f t="array" ref="G103">IFERROR(INDEX('ESDS-Lookup-Table'!$B$1:$B$469,MATCH(1,('ESDS-Lookup-Table'!$A$1:$A$469=C103)*('ESDS-Lookup-Table'!$C$1:$C$469=$D$17)*('ESDS-Lookup-Table'!$D$1:$D$469=$D$19),0)),"Select Region and Activity")</f>
        <v>Mandatory</v>
      </c>
      <c r="H103" s="791" t="s">
        <v>1384</v>
      </c>
      <c r="I103" s="942">
        <f t="shared" si="4"/>
        <v>0</v>
      </c>
      <c r="J103" s="943"/>
      <c r="N103" s="813"/>
    </row>
    <row r="104" spans="2:14" x14ac:dyDescent="0.25">
      <c r="B104" s="941"/>
      <c r="C104" s="991" t="s">
        <v>1223</v>
      </c>
      <c r="D104" s="1974" t="s">
        <v>1234</v>
      </c>
      <c r="E104" s="1975"/>
      <c r="F104" s="1976"/>
      <c r="G104" s="1818" t="str">
        <f t="array" ref="G104">IFERROR(INDEX('ESDS-Lookup-Table'!$B$1:$B$469,MATCH(1,('ESDS-Lookup-Table'!$A$1:$A$469=C104)*('ESDS-Lookup-Table'!$C$1:$C$469=$D$17)*('ESDS-Lookup-Table'!$D$1:$D$469=$D$19),0)),"Select Region and Activity")</f>
        <v>n/a</v>
      </c>
      <c r="H104" s="791"/>
      <c r="I104" s="942">
        <f t="shared" si="4"/>
        <v>0</v>
      </c>
      <c r="J104" s="943"/>
      <c r="N104" s="813"/>
    </row>
    <row r="105" spans="2:14" x14ac:dyDescent="0.25">
      <c r="B105" s="941"/>
      <c r="C105" s="993" t="s">
        <v>1128</v>
      </c>
      <c r="D105" s="1982" t="s">
        <v>1235</v>
      </c>
      <c r="E105" s="1983"/>
      <c r="F105" s="1984"/>
      <c r="G105" s="1818" t="str">
        <f t="array" ref="G105">IFERROR(INDEX('ESDS-Lookup-Table'!$B$1:$B$469,MATCH(1,('ESDS-Lookup-Table'!$A$1:$A$469=C105)*('ESDS-Lookup-Table'!$C$1:$C$469=$D$17)*('ESDS-Lookup-Table'!$D$1:$D$469=$D$19),0)),"Select Region and Activity")</f>
        <v>Mandatory</v>
      </c>
      <c r="H105" s="791" t="s">
        <v>1384</v>
      </c>
      <c r="I105" s="942">
        <f t="shared" si="4"/>
        <v>0</v>
      </c>
      <c r="J105" s="943"/>
      <c r="N105" s="813"/>
    </row>
    <row r="106" spans="2:14" x14ac:dyDescent="0.25">
      <c r="B106" s="941"/>
      <c r="C106" s="991" t="s">
        <v>1224</v>
      </c>
      <c r="D106" s="1982" t="s">
        <v>1236</v>
      </c>
      <c r="E106" s="1983"/>
      <c r="F106" s="1984"/>
      <c r="G106" s="1818" t="str">
        <f t="array" ref="G106">IFERROR(INDEX('ESDS-Lookup-Table'!$B$1:$B$469,MATCH(1,('ESDS-Lookup-Table'!$A$1:$A$469=C106)*('ESDS-Lookup-Table'!$C$1:$C$469=$D$17)*('ESDS-Lookup-Table'!$D$1:$D$469=$D$19),0)),"Select Region and Activity")</f>
        <v>n/a</v>
      </c>
      <c r="H106" s="791"/>
      <c r="I106" s="942">
        <f t="shared" si="4"/>
        <v>0</v>
      </c>
      <c r="J106" s="943"/>
      <c r="N106" s="813"/>
    </row>
    <row r="107" spans="2:14" x14ac:dyDescent="0.25">
      <c r="B107" s="941"/>
      <c r="C107" s="993">
        <v>7.5</v>
      </c>
      <c r="D107" s="1977" t="s">
        <v>1127</v>
      </c>
      <c r="E107" s="1967"/>
      <c r="F107" s="1985"/>
      <c r="G107" s="1818" t="str">
        <f t="array" ref="G107">IFERROR(INDEX('ESDS-Lookup-Table'!$B$1:$B$469,MATCH(1,('ESDS-Lookup-Table'!$A$1:$A$469=C107)*('ESDS-Lookup-Table'!$C$1:$C$469=$D$17)*('ESDS-Lookup-Table'!$D$1:$D$469=$D$19),0)),"Select Region and Activity")</f>
        <v>Mandatory</v>
      </c>
      <c r="H107" s="791" t="s">
        <v>1384</v>
      </c>
      <c r="I107" s="942">
        <f t="shared" si="4"/>
        <v>0</v>
      </c>
      <c r="J107" s="943"/>
    </row>
    <row r="108" spans="2:14" x14ac:dyDescent="0.25">
      <c r="B108" s="941"/>
      <c r="C108" s="993">
        <v>7.6</v>
      </c>
      <c r="D108" s="1977" t="s">
        <v>1126</v>
      </c>
      <c r="E108" s="1967"/>
      <c r="F108" s="1985"/>
      <c r="G108" s="1818" t="str">
        <f t="array" ref="G108">IFERROR(INDEX('ESDS-Lookup-Table'!$B$1:$B$469,MATCH(1,('ESDS-Lookup-Table'!$A$1:$A$469=C108)*('ESDS-Lookup-Table'!$C$1:$C$469=$D$17)*('ESDS-Lookup-Table'!$D$1:$D$469=$D$19),0)),"Select Region and Activity")</f>
        <v>Mandatory</v>
      </c>
      <c r="H108" s="791" t="s">
        <v>1384</v>
      </c>
      <c r="I108" s="942">
        <f t="shared" si="4"/>
        <v>0</v>
      </c>
      <c r="J108" s="943"/>
    </row>
    <row r="109" spans="2:14" x14ac:dyDescent="0.25">
      <c r="B109" s="941"/>
      <c r="C109" s="993">
        <v>7.7</v>
      </c>
      <c r="D109" s="1977" t="s">
        <v>1125</v>
      </c>
      <c r="E109" s="1967"/>
      <c r="F109" s="1985"/>
      <c r="G109" s="1818" t="str">
        <f t="array" ref="G109">IFERROR(INDEX('ESDS-Lookup-Table'!$B$1:$B$469,MATCH(1,('ESDS-Lookup-Table'!$A$1:$A$469=C109)*('ESDS-Lookup-Table'!$C$1:$C$469=$D$17)*('ESDS-Lookup-Table'!$D$1:$D$469=$D$19),0)),"Select Region and Activity")</f>
        <v>Mandatory</v>
      </c>
      <c r="H109" s="791" t="s">
        <v>1384</v>
      </c>
      <c r="I109" s="942">
        <f t="shared" si="4"/>
        <v>0</v>
      </c>
      <c r="J109" s="943"/>
    </row>
    <row r="110" spans="2:14" x14ac:dyDescent="0.25">
      <c r="B110" s="941"/>
      <c r="C110" s="993">
        <v>7.8</v>
      </c>
      <c r="D110" s="1977" t="s">
        <v>1124</v>
      </c>
      <c r="E110" s="1967"/>
      <c r="F110" s="1985"/>
      <c r="G110" s="1818" t="str">
        <f t="array" ref="G110">IFERROR(INDEX('ESDS-Lookup-Table'!$B$1:$B$469,MATCH(1,('ESDS-Lookup-Table'!$A$1:$A$469=C110)*('ESDS-Lookup-Table'!$C$1:$C$469=$D$17)*('ESDS-Lookup-Table'!$D$1:$D$469=$D$19),0)),"Select Region and Activity")</f>
        <v>Mandatory</v>
      </c>
      <c r="H110" s="791" t="s">
        <v>1384</v>
      </c>
      <c r="I110" s="942">
        <f t="shared" si="4"/>
        <v>0</v>
      </c>
      <c r="J110" s="943"/>
    </row>
    <row r="111" spans="2:14" s="1820" customFormat="1" x14ac:dyDescent="0.25">
      <c r="B111" s="1004"/>
      <c r="C111" s="1005" t="s">
        <v>1123</v>
      </c>
      <c r="D111" s="2000" t="s">
        <v>1237</v>
      </c>
      <c r="E111" s="1953"/>
      <c r="F111" s="2001"/>
      <c r="G111" s="1818" t="str">
        <f t="array" ref="G111">IFERROR(INDEX('ESDS-Lookup-Table'!$B$1:$B$469,MATCH(1,('ESDS-Lookup-Table'!$A$1:$A$469=C111)*('ESDS-Lookup-Table'!$C$1:$C$469=$D$17)*('ESDS-Lookup-Table'!$D$1:$D$469=$D$19),0)),"Select Region and Activity")</f>
        <v>Mandatory</v>
      </c>
      <c r="H111" s="791" t="s">
        <v>1384</v>
      </c>
      <c r="I111" s="942">
        <f t="shared" si="4"/>
        <v>0</v>
      </c>
      <c r="J111" s="1006"/>
      <c r="L111" s="948"/>
    </row>
    <row r="112" spans="2:14" x14ac:dyDescent="0.25">
      <c r="B112" s="941"/>
      <c r="C112" s="993" t="s">
        <v>1122</v>
      </c>
      <c r="D112" s="1977" t="s">
        <v>1121</v>
      </c>
      <c r="E112" s="1967"/>
      <c r="F112" s="1985"/>
      <c r="G112" s="1818" t="str">
        <f t="array" ref="G112">IFERROR(INDEX('ESDS-Lookup-Table'!$B$1:$B$469,MATCH(1,('ESDS-Lookup-Table'!$A$1:$A$469=C112)*('ESDS-Lookup-Table'!$C$1:$C$469=$D$17)*('ESDS-Lookup-Table'!$D$1:$D$469=$D$19),0)),"Select Region and Activity")</f>
        <v>Mandatory</v>
      </c>
      <c r="H112" s="791" t="s">
        <v>1384</v>
      </c>
      <c r="I112" s="942">
        <f t="shared" si="4"/>
        <v>0</v>
      </c>
      <c r="J112" s="943"/>
    </row>
    <row r="113" spans="2:10" x14ac:dyDescent="0.25">
      <c r="B113" s="941"/>
      <c r="C113" s="993" t="s">
        <v>1120</v>
      </c>
      <c r="D113" s="1977" t="s">
        <v>1119</v>
      </c>
      <c r="E113" s="1967"/>
      <c r="F113" s="1985"/>
      <c r="G113" s="1818" t="str">
        <f t="array" ref="G113">IFERROR(INDEX('ESDS-Lookup-Table'!$B$1:$B$469,MATCH(1,('ESDS-Lookup-Table'!$A$1:$A$469=C113)*('ESDS-Lookup-Table'!$C$1:$C$469=$D$17)*('ESDS-Lookup-Table'!$D$1:$D$469=$D$19),0)),"Select Region and Activity")</f>
        <v>Mandatory</v>
      </c>
      <c r="H113" s="791" t="s">
        <v>1384</v>
      </c>
      <c r="I113" s="942">
        <f t="shared" si="4"/>
        <v>0</v>
      </c>
      <c r="J113" s="943"/>
    </row>
    <row r="114" spans="2:10" x14ac:dyDescent="0.25">
      <c r="B114" s="941"/>
      <c r="C114" s="993" t="s">
        <v>1118</v>
      </c>
      <c r="D114" s="1977" t="s">
        <v>1117</v>
      </c>
      <c r="E114" s="1967"/>
      <c r="F114" s="1985"/>
      <c r="G114" s="1818" t="str">
        <f t="array" ref="G114">IFERROR(INDEX('ESDS-Lookup-Table'!$B$1:$B$469,MATCH(1,('ESDS-Lookup-Table'!$A$1:$A$469=C114)*('ESDS-Lookup-Table'!$C$1:$C$469=$D$17)*('ESDS-Lookup-Table'!$D$1:$D$469=$D$19),0)),"Select Region and Activity")</f>
        <v>Mandatory</v>
      </c>
      <c r="H114" s="791" t="s">
        <v>1384</v>
      </c>
      <c r="I114" s="942">
        <f t="shared" si="4"/>
        <v>0</v>
      </c>
      <c r="J114" s="943"/>
    </row>
    <row r="115" spans="2:10" x14ac:dyDescent="0.25">
      <c r="B115" s="941"/>
      <c r="C115" s="993">
        <v>7.11</v>
      </c>
      <c r="D115" s="1977" t="s">
        <v>1116</v>
      </c>
      <c r="E115" s="1967"/>
      <c r="F115" s="1985"/>
      <c r="G115" s="1818" t="str">
        <f t="array" ref="G115">IFERROR(INDEX('ESDS-Lookup-Table'!$B$1:$B$469,MATCH(1,('ESDS-Lookup-Table'!$A$1:$A$469=C115)*('ESDS-Lookup-Table'!$C$1:$C$469=$D$17)*('ESDS-Lookup-Table'!$D$1:$D$469=$D$19),0)),"Select Region and Activity")</f>
        <v>Mandatory</v>
      </c>
      <c r="H115" s="791" t="s">
        <v>1384</v>
      </c>
      <c r="I115" s="942">
        <f t="shared" si="4"/>
        <v>0</v>
      </c>
      <c r="J115" s="943"/>
    </row>
    <row r="116" spans="2:10" x14ac:dyDescent="0.25">
      <c r="B116" s="941"/>
      <c r="C116" s="993">
        <v>7.12</v>
      </c>
      <c r="D116" s="1977" t="s">
        <v>1115</v>
      </c>
      <c r="E116" s="1967"/>
      <c r="F116" s="1985"/>
      <c r="G116" s="1818" t="str">
        <f t="array" ref="G116">IFERROR(INDEX('ESDS-Lookup-Table'!$B$1:$B$469,MATCH(1,('ESDS-Lookup-Table'!$A$1:$A$469=C116)*('ESDS-Lookup-Table'!$C$1:$C$469=$D$17)*('ESDS-Lookup-Table'!$D$1:$D$469=$D$19),0)),"Select Region and Activity")</f>
        <v>Mandatory</v>
      </c>
      <c r="H116" s="791" t="s">
        <v>1384</v>
      </c>
      <c r="I116" s="942">
        <f t="shared" si="4"/>
        <v>0</v>
      </c>
      <c r="J116" s="943"/>
    </row>
    <row r="117" spans="2:10" x14ac:dyDescent="0.25">
      <c r="B117" s="941"/>
      <c r="C117" s="993">
        <v>7.13</v>
      </c>
      <c r="D117" s="1977" t="s">
        <v>1114</v>
      </c>
      <c r="E117" s="1967"/>
      <c r="F117" s="1985"/>
      <c r="G117" s="1818" t="str">
        <f t="array" ref="G117">IFERROR(INDEX('ESDS-Lookup-Table'!$B$1:$B$469,MATCH(1,('ESDS-Lookup-Table'!$A$1:$A$469=C117)*('ESDS-Lookup-Table'!$C$1:$C$469=$D$17)*('ESDS-Lookup-Table'!$D$1:$D$469=$D$19),0)),"Select Region and Activity")</f>
        <v>0, 2 to 8</v>
      </c>
      <c r="H117" s="791">
        <v>0</v>
      </c>
      <c r="I117" s="942">
        <f t="shared" si="4"/>
        <v>0</v>
      </c>
      <c r="J117" s="975"/>
    </row>
    <row r="118" spans="2:10" x14ac:dyDescent="0.25">
      <c r="B118" s="941"/>
      <c r="C118" s="993">
        <v>7.14</v>
      </c>
      <c r="D118" s="1977" t="s">
        <v>1113</v>
      </c>
      <c r="E118" s="1967"/>
      <c r="F118" s="1985"/>
      <c r="G118" s="1818" t="str">
        <f t="array" ref="G118">IFERROR(INDEX('ESDS-Lookup-Table'!$B$1:$B$469,MATCH(1,('ESDS-Lookup-Table'!$A$1:$A$469=C118)*('ESDS-Lookup-Table'!$C$1:$C$469=$D$17)*('ESDS-Lookup-Table'!$D$1:$D$469=$D$19),0)),"Select Region and Activity")</f>
        <v>Mandatory</v>
      </c>
      <c r="H118" s="791" t="s">
        <v>1384</v>
      </c>
      <c r="I118" s="942">
        <f t="shared" si="4"/>
        <v>0</v>
      </c>
      <c r="J118" s="943"/>
    </row>
    <row r="119" spans="2:10" x14ac:dyDescent="0.25">
      <c r="B119" s="941"/>
      <c r="C119" s="993">
        <v>7.15</v>
      </c>
      <c r="D119" s="1977" t="s">
        <v>1112</v>
      </c>
      <c r="E119" s="1967"/>
      <c r="F119" s="1985"/>
      <c r="G119" s="1818" t="str">
        <f t="array" ref="G119">IFERROR(INDEX('ESDS-Lookup-Table'!$B$1:$B$469,MATCH(1,('ESDS-Lookup-Table'!$A$1:$A$469=C119)*('ESDS-Lookup-Table'!$C$1:$C$469=$D$17)*('ESDS-Lookup-Table'!$D$1:$D$469=$D$19),0)),"Select Region and Activity")</f>
        <v>Mandatory</v>
      </c>
      <c r="H119" s="791" t="s">
        <v>1384</v>
      </c>
      <c r="I119" s="942">
        <f t="shared" si="4"/>
        <v>0</v>
      </c>
      <c r="J119" s="943"/>
    </row>
    <row r="120" spans="2:10" x14ac:dyDescent="0.25">
      <c r="B120" s="941"/>
      <c r="C120" s="993">
        <v>7.16</v>
      </c>
      <c r="D120" s="1977" t="s">
        <v>1111</v>
      </c>
      <c r="E120" s="1967"/>
      <c r="F120" s="1985"/>
      <c r="G120" s="1818" t="str">
        <f t="array" ref="G120">IFERROR(INDEX('ESDS-Lookup-Table'!$B$1:$B$469,MATCH(1,('ESDS-Lookup-Table'!$A$1:$A$469=C120)*('ESDS-Lookup-Table'!$C$1:$C$469=$D$17)*('ESDS-Lookup-Table'!$D$1:$D$469=$D$19),0)),"Select Region and Activity")</f>
        <v>Mandatory</v>
      </c>
      <c r="H120" s="791" t="s">
        <v>1384</v>
      </c>
      <c r="I120" s="942">
        <f t="shared" si="4"/>
        <v>0</v>
      </c>
      <c r="J120" s="943"/>
    </row>
    <row r="121" spans="2:10" x14ac:dyDescent="0.25">
      <c r="B121" s="941"/>
      <c r="C121" s="995">
        <v>7.17</v>
      </c>
      <c r="D121" s="1978" t="s">
        <v>1110</v>
      </c>
      <c r="E121" s="1972"/>
      <c r="F121" s="1996"/>
      <c r="G121" s="820" t="str">
        <f t="array" ref="G121">IFERROR(INDEX('ESDS-Lookup-Table'!$B$1:$B$469,MATCH(1,('ESDS-Lookup-Table'!$A$1:$A$469=C121)*('ESDS-Lookup-Table'!$C$1:$C$469=$D$17)*('ESDS-Lookup-Table'!$D$1:$D$469=$D$19),0)),"Select Region and Activity")</f>
        <v>0 or 7</v>
      </c>
      <c r="H121" s="791">
        <v>7</v>
      </c>
      <c r="I121" s="942">
        <f t="shared" si="4"/>
        <v>7</v>
      </c>
      <c r="J121" s="943"/>
    </row>
    <row r="122" spans="2:10" x14ac:dyDescent="0.25">
      <c r="B122" s="941"/>
      <c r="C122" s="964"/>
      <c r="D122" s="965"/>
      <c r="E122" s="966"/>
      <c r="F122" s="966"/>
      <c r="G122" s="967" t="s">
        <v>1109</v>
      </c>
      <c r="H122" s="968">
        <f>SUM(I100:I121)</f>
        <v>7</v>
      </c>
      <c r="I122" s="942"/>
      <c r="J122" s="943"/>
    </row>
    <row r="123" spans="2:10" ht="7.5" customHeight="1" x14ac:dyDescent="0.25">
      <c r="B123" s="941"/>
      <c r="C123" s="969"/>
      <c r="D123" s="971"/>
      <c r="E123" s="969"/>
      <c r="F123" s="969"/>
      <c r="G123" s="970"/>
      <c r="H123" s="971"/>
      <c r="I123" s="942"/>
      <c r="J123" s="943"/>
    </row>
    <row r="124" spans="2:10" x14ac:dyDescent="0.25">
      <c r="B124" s="941"/>
      <c r="C124" s="988" t="s">
        <v>1108</v>
      </c>
      <c r="D124" s="942"/>
      <c r="E124" s="988"/>
      <c r="F124" s="988"/>
      <c r="G124" s="970"/>
      <c r="H124" s="942"/>
      <c r="I124" s="942"/>
      <c r="J124" s="943"/>
    </row>
    <row r="125" spans="2:10" x14ac:dyDescent="0.25">
      <c r="B125" s="941"/>
      <c r="C125" s="1610" t="s">
        <v>1238</v>
      </c>
      <c r="D125" s="1611" t="s">
        <v>1239</v>
      </c>
      <c r="E125" s="1612"/>
      <c r="F125" s="1612"/>
      <c r="G125" s="1613" t="s">
        <v>1107</v>
      </c>
      <c r="H125" s="1614" t="s">
        <v>1106</v>
      </c>
      <c r="I125" s="942"/>
      <c r="J125" s="943"/>
    </row>
    <row r="126" spans="2:10" x14ac:dyDescent="0.25">
      <c r="B126" s="941"/>
      <c r="C126" s="989" t="s">
        <v>1105</v>
      </c>
      <c r="D126" s="1970" t="s">
        <v>1104</v>
      </c>
      <c r="E126" s="1964"/>
      <c r="F126" s="1995"/>
      <c r="G126" s="820" t="str">
        <f t="array" ref="G126">IFERROR(INDEX('ESDS-Lookup-Table'!$B$1:$B$469,MATCH(1,('ESDS-Lookup-Table'!$A$1:$A$469=C126)*('ESDS-Lookup-Table'!$C$1:$C$469=$D$17)*('ESDS-Lookup-Table'!$D$1:$D$469=$D$19),0)),"Select Region and Activity")</f>
        <v>Mandatory</v>
      </c>
      <c r="H126" s="791" t="s">
        <v>1384</v>
      </c>
      <c r="I126" s="942">
        <f>N(H126)</f>
        <v>0</v>
      </c>
      <c r="J126" s="943"/>
    </row>
    <row r="127" spans="2:10" x14ac:dyDescent="0.25">
      <c r="B127" s="941"/>
      <c r="C127" s="993" t="s">
        <v>1103</v>
      </c>
      <c r="D127" s="1977" t="s">
        <v>1102</v>
      </c>
      <c r="E127" s="1967"/>
      <c r="F127" s="1985"/>
      <c r="G127" s="1818" t="str">
        <f t="array" ref="G127">IFERROR(INDEX('ESDS-Lookup-Table'!$B$1:$B$469,MATCH(1,('ESDS-Lookup-Table'!$A$1:$A$469=C127)*('ESDS-Lookup-Table'!$C$1:$C$469=$D$17)*('ESDS-Lookup-Table'!$D$1:$D$469=$D$19),0)),"Select Region and Activity")</f>
        <v>Mandatory</v>
      </c>
      <c r="H127" s="791" t="s">
        <v>1384</v>
      </c>
      <c r="I127" s="942">
        <f>N(H127)</f>
        <v>0</v>
      </c>
      <c r="J127" s="943"/>
    </row>
    <row r="128" spans="2:10" x14ac:dyDescent="0.25">
      <c r="B128" s="941"/>
      <c r="C128" s="993" t="s">
        <v>1101</v>
      </c>
      <c r="D128" s="1977" t="s">
        <v>1100</v>
      </c>
      <c r="E128" s="1967"/>
      <c r="F128" s="1985"/>
      <c r="G128" s="1818" t="str">
        <f t="array" ref="G128">IFERROR(INDEX('ESDS-Lookup-Table'!$B$1:$B$469,MATCH(1,('ESDS-Lookup-Table'!$A$1:$A$469=C128)*('ESDS-Lookup-Table'!$C$1:$C$469=$D$17)*('ESDS-Lookup-Table'!$D$1:$D$469=$D$19),0)),"Select Region and Activity")</f>
        <v>Mandatory</v>
      </c>
      <c r="H128" s="791" t="s">
        <v>1384</v>
      </c>
      <c r="I128" s="942">
        <f>N(H128)</f>
        <v>0</v>
      </c>
      <c r="J128" s="943"/>
    </row>
    <row r="129" spans="2:10" x14ac:dyDescent="0.25">
      <c r="B129" s="941"/>
      <c r="C129" s="993" t="s">
        <v>1098</v>
      </c>
      <c r="D129" s="1977" t="s">
        <v>1097</v>
      </c>
      <c r="E129" s="1967"/>
      <c r="F129" s="1985"/>
      <c r="G129" s="1818" t="str">
        <f t="array" ref="G129">IFERROR(INDEX('ESDS-Lookup-Table'!$B$1:$B$469,MATCH(1,('ESDS-Lookup-Table'!$A$1:$A$469=C129)*('ESDS-Lookup-Table'!$C$1:$C$469=$D$17)*('ESDS-Lookup-Table'!$D$1:$D$469=$D$19),0)),"Select Region and Activity")</f>
        <v>0 or 7</v>
      </c>
      <c r="H129" s="791">
        <v>0</v>
      </c>
      <c r="I129" s="942">
        <f>N(H129)</f>
        <v>0</v>
      </c>
      <c r="J129" s="943"/>
    </row>
    <row r="130" spans="2:10" x14ac:dyDescent="0.25">
      <c r="B130" s="941"/>
      <c r="C130" s="995" t="s">
        <v>1096</v>
      </c>
      <c r="D130" s="1978" t="s">
        <v>1095</v>
      </c>
      <c r="E130" s="1972"/>
      <c r="F130" s="1996"/>
      <c r="G130" s="820" t="str">
        <f t="array" ref="G130">IFERROR(INDEX('ESDS-Lookup-Table'!$B$1:$B$469,MATCH(1,('ESDS-Lookup-Table'!$A$1:$A$469=C130)*('ESDS-Lookup-Table'!$C$1:$C$469=$D$17)*('ESDS-Lookup-Table'!$D$1:$D$469=$D$19),0)),"Select Region and Activity")</f>
        <v>0 or 2</v>
      </c>
      <c r="H130" s="791">
        <v>2</v>
      </c>
      <c r="I130" s="942">
        <f>N(H130)</f>
        <v>2</v>
      </c>
      <c r="J130" s="943"/>
    </row>
    <row r="131" spans="2:10" x14ac:dyDescent="0.25">
      <c r="B131" s="941"/>
      <c r="C131" s="964"/>
      <c r="D131" s="965"/>
      <c r="E131" s="966"/>
      <c r="F131" s="966"/>
      <c r="G131" s="967" t="s">
        <v>1094</v>
      </c>
      <c r="H131" s="968">
        <f>SUM(I126:I130)</f>
        <v>2</v>
      </c>
      <c r="I131" s="942"/>
      <c r="J131" s="943"/>
    </row>
    <row r="132" spans="2:10" ht="15.75" thickBot="1" x14ac:dyDescent="0.3">
      <c r="B132" s="941"/>
      <c r="C132" s="942"/>
      <c r="D132" s="942"/>
      <c r="E132" s="942"/>
      <c r="F132" s="942"/>
      <c r="G132" s="942"/>
      <c r="H132" s="942"/>
      <c r="I132" s="942"/>
      <c r="J132" s="943"/>
    </row>
    <row r="133" spans="2:10" x14ac:dyDescent="0.25">
      <c r="B133" s="941"/>
      <c r="C133" s="942"/>
      <c r="D133" s="942"/>
      <c r="E133" s="942"/>
      <c r="F133" s="942"/>
      <c r="G133" s="1007" t="s">
        <v>1093</v>
      </c>
      <c r="H133" s="1008">
        <f>H25</f>
        <v>3</v>
      </c>
      <c r="I133" s="942"/>
      <c r="J133" s="943"/>
    </row>
    <row r="134" spans="2:10" x14ac:dyDescent="0.25">
      <c r="B134" s="941"/>
      <c r="C134" s="942"/>
      <c r="D134" s="942"/>
      <c r="E134" s="942"/>
      <c r="F134" s="942"/>
      <c r="G134" s="1009" t="s">
        <v>1092</v>
      </c>
      <c r="H134" s="1010">
        <f>H40</f>
        <v>20</v>
      </c>
      <c r="I134" s="942"/>
      <c r="J134" s="943"/>
    </row>
    <row r="135" spans="2:10" x14ac:dyDescent="0.25">
      <c r="B135" s="941"/>
      <c r="C135" s="942"/>
      <c r="D135" s="942"/>
      <c r="E135" s="942"/>
      <c r="F135" s="942"/>
      <c r="G135" s="1009" t="s">
        <v>1091</v>
      </c>
      <c r="H135" s="1010">
        <f>H52</f>
        <v>7</v>
      </c>
      <c r="I135" s="942"/>
      <c r="J135" s="943"/>
    </row>
    <row r="136" spans="2:10" x14ac:dyDescent="0.25">
      <c r="B136" s="941"/>
      <c r="C136" s="942"/>
      <c r="D136" s="942"/>
      <c r="E136" s="942"/>
      <c r="F136" s="942"/>
      <c r="G136" s="1009" t="s">
        <v>1090</v>
      </c>
      <c r="H136" s="1010">
        <f>H59</f>
        <v>4</v>
      </c>
      <c r="I136" s="942"/>
      <c r="J136" s="943"/>
    </row>
    <row r="137" spans="2:10" x14ac:dyDescent="0.25">
      <c r="B137" s="941"/>
      <c r="C137" s="942"/>
      <c r="D137" s="942"/>
      <c r="E137" s="942"/>
      <c r="F137" s="942"/>
      <c r="G137" s="1009" t="s">
        <v>1089</v>
      </c>
      <c r="H137" s="1010">
        <f>H82</f>
        <v>9</v>
      </c>
      <c r="I137" s="942"/>
      <c r="J137" s="943"/>
    </row>
    <row r="138" spans="2:10" x14ac:dyDescent="0.25">
      <c r="B138" s="941"/>
      <c r="C138" s="942"/>
      <c r="D138" s="942"/>
      <c r="E138" s="942"/>
      <c r="F138" s="942"/>
      <c r="G138" s="1009" t="s">
        <v>1088</v>
      </c>
      <c r="H138" s="1010">
        <f>H95</f>
        <v>7</v>
      </c>
      <c r="I138" s="942"/>
      <c r="J138" s="943"/>
    </row>
    <row r="139" spans="2:10" x14ac:dyDescent="0.25">
      <c r="B139" s="941"/>
      <c r="C139" s="942"/>
      <c r="D139" s="942"/>
      <c r="E139" s="942"/>
      <c r="F139" s="942"/>
      <c r="G139" s="1009" t="s">
        <v>1087</v>
      </c>
      <c r="H139" s="1010">
        <f>H122</f>
        <v>7</v>
      </c>
      <c r="I139" s="942"/>
      <c r="J139" s="943"/>
    </row>
    <row r="140" spans="2:10" ht="15.75" thickBot="1" x14ac:dyDescent="0.3">
      <c r="B140" s="941"/>
      <c r="C140" s="942"/>
      <c r="D140" s="942"/>
      <c r="E140" s="942"/>
      <c r="F140" s="942"/>
      <c r="G140" s="1011" t="s">
        <v>1086</v>
      </c>
      <c r="H140" s="1012">
        <f>H131</f>
        <v>2</v>
      </c>
      <c r="I140" s="942"/>
      <c r="J140" s="943"/>
    </row>
    <row r="141" spans="2:10" ht="16.5" thickTop="1" thickBot="1" x14ac:dyDescent="0.3">
      <c r="B141" s="941"/>
      <c r="C141" s="942"/>
      <c r="D141" s="942"/>
      <c r="E141" s="942"/>
      <c r="F141" s="942"/>
      <c r="G141" s="1013" t="s">
        <v>1085</v>
      </c>
      <c r="H141" s="1014">
        <f>SUM(H133:H140)</f>
        <v>59</v>
      </c>
      <c r="I141" s="942"/>
      <c r="J141" s="943"/>
    </row>
    <row r="142" spans="2:10" ht="9" customHeight="1" thickBot="1" x14ac:dyDescent="0.3">
      <c r="B142" s="997"/>
      <c r="C142" s="999"/>
      <c r="D142" s="999"/>
      <c r="E142" s="999"/>
      <c r="F142" s="999"/>
      <c r="G142" s="999"/>
      <c r="H142" s="999"/>
      <c r="I142" s="999"/>
      <c r="J142" s="1001"/>
    </row>
  </sheetData>
  <sheetProtection password="9F6B" sheet="1" objects="1" scenarios="1" formatCells="0" formatColumns="0" formatRows="0"/>
  <dataConsolidate/>
  <mergeCells count="80">
    <mergeCell ref="D129:F129"/>
    <mergeCell ref="D130:F130"/>
    <mergeCell ref="D119:F119"/>
    <mergeCell ref="D120:F120"/>
    <mergeCell ref="D121:F121"/>
    <mergeCell ref="D126:F126"/>
    <mergeCell ref="D127:F127"/>
    <mergeCell ref="D128:F128"/>
    <mergeCell ref="D118:F118"/>
    <mergeCell ref="D107:F107"/>
    <mergeCell ref="D108:F108"/>
    <mergeCell ref="D109:F109"/>
    <mergeCell ref="D110:F110"/>
    <mergeCell ref="D111:F111"/>
    <mergeCell ref="D112:F112"/>
    <mergeCell ref="D113:F113"/>
    <mergeCell ref="D114:F114"/>
    <mergeCell ref="D115:F115"/>
    <mergeCell ref="D116:F116"/>
    <mergeCell ref="D117:F117"/>
    <mergeCell ref="D106:F106"/>
    <mergeCell ref="D90:F90"/>
    <mergeCell ref="D91:F91"/>
    <mergeCell ref="D92:F92"/>
    <mergeCell ref="D93:F93"/>
    <mergeCell ref="D94:F94"/>
    <mergeCell ref="D100:F100"/>
    <mergeCell ref="D101:F101"/>
    <mergeCell ref="D102:F102"/>
    <mergeCell ref="D103:F103"/>
    <mergeCell ref="D104:F104"/>
    <mergeCell ref="D105:F105"/>
    <mergeCell ref="D89:F89"/>
    <mergeCell ref="D74:F74"/>
    <mergeCell ref="D75:F75"/>
    <mergeCell ref="D76:F76"/>
    <mergeCell ref="D77:F77"/>
    <mergeCell ref="D78:F78"/>
    <mergeCell ref="D79:F79"/>
    <mergeCell ref="D80:F80"/>
    <mergeCell ref="D81:F81"/>
    <mergeCell ref="D86:F86"/>
    <mergeCell ref="D87:F87"/>
    <mergeCell ref="D88:F88"/>
    <mergeCell ref="D73:F73"/>
    <mergeCell ref="D57:F57"/>
    <mergeCell ref="D58:F58"/>
    <mergeCell ref="D64:F64"/>
    <mergeCell ref="D65:F65"/>
    <mergeCell ref="D66:F66"/>
    <mergeCell ref="D67:F67"/>
    <mergeCell ref="D68:F68"/>
    <mergeCell ref="D69:F69"/>
    <mergeCell ref="D70:F70"/>
    <mergeCell ref="D71:F71"/>
    <mergeCell ref="D72:F72"/>
    <mergeCell ref="D56:F56"/>
    <mergeCell ref="D37:F37"/>
    <mergeCell ref="D38:F38"/>
    <mergeCell ref="D39:F39"/>
    <mergeCell ref="D44:F44"/>
    <mergeCell ref="D45:F45"/>
    <mergeCell ref="D46:F46"/>
    <mergeCell ref="D47:F47"/>
    <mergeCell ref="D48:F48"/>
    <mergeCell ref="D49:F49"/>
    <mergeCell ref="D50:F50"/>
    <mergeCell ref="D51:F51"/>
    <mergeCell ref="D36:F36"/>
    <mergeCell ref="C13:H13"/>
    <mergeCell ref="D15:F15"/>
    <mergeCell ref="D23:F23"/>
    <mergeCell ref="D24:F24"/>
    <mergeCell ref="D29:F29"/>
    <mergeCell ref="D30:F30"/>
    <mergeCell ref="D31:F31"/>
    <mergeCell ref="D32:F32"/>
    <mergeCell ref="D33:F33"/>
    <mergeCell ref="D34:F34"/>
    <mergeCell ref="D35:F35"/>
  </mergeCells>
  <conditionalFormatting sqref="E20">
    <cfRule type="expression" dxfId="23" priority="18">
      <formula>$D$19&lt;&gt;"Rehab"</formula>
    </cfRule>
  </conditionalFormatting>
  <conditionalFormatting sqref="F20">
    <cfRule type="expression" dxfId="22" priority="17">
      <formula>$D$19&lt;&gt;"Rehab"</formula>
    </cfRule>
  </conditionalFormatting>
  <conditionalFormatting sqref="H19">
    <cfRule type="expression" dxfId="21" priority="16">
      <formula>$H$19&lt;&gt;""</formula>
    </cfRule>
  </conditionalFormatting>
  <conditionalFormatting sqref="D17:H17">
    <cfRule type="expression" dxfId="20" priority="14">
      <formula>$D$17="Rural"</formula>
    </cfRule>
    <cfRule type="expression" dxfId="19" priority="15">
      <formula>$D$17="Urban"</formula>
    </cfRule>
  </conditionalFormatting>
  <conditionalFormatting sqref="H23:H24">
    <cfRule type="expression" dxfId="18" priority="13">
      <formula>G23="n/a"</formula>
    </cfRule>
  </conditionalFormatting>
  <conditionalFormatting sqref="H29:H39">
    <cfRule type="expression" dxfId="17" priority="12">
      <formula>G29="n/a"</formula>
    </cfRule>
  </conditionalFormatting>
  <conditionalFormatting sqref="H44:H51">
    <cfRule type="expression" dxfId="16" priority="11">
      <formula>G44="n/a"</formula>
    </cfRule>
  </conditionalFormatting>
  <conditionalFormatting sqref="H56:H58">
    <cfRule type="expression" dxfId="15" priority="10">
      <formula>G56="n/a"</formula>
    </cfRule>
  </conditionalFormatting>
  <conditionalFormatting sqref="H86:H94">
    <cfRule type="expression" dxfId="14" priority="9">
      <formula>G86="n/a"</formula>
    </cfRule>
  </conditionalFormatting>
  <conditionalFormatting sqref="H100:H121">
    <cfRule type="expression" dxfId="13" priority="8">
      <formula>G100="n/a"</formula>
    </cfRule>
  </conditionalFormatting>
  <conditionalFormatting sqref="H126:H130">
    <cfRule type="expression" dxfId="12" priority="7">
      <formula>G126="n/a"</formula>
    </cfRule>
  </conditionalFormatting>
  <conditionalFormatting sqref="H74">
    <cfRule type="expression" dxfId="11" priority="6">
      <formula>$H$66&gt;0</formula>
    </cfRule>
  </conditionalFormatting>
  <conditionalFormatting sqref="H76">
    <cfRule type="expression" dxfId="10" priority="5">
      <formula>$H$66&gt;0</formula>
    </cfRule>
  </conditionalFormatting>
  <conditionalFormatting sqref="H78">
    <cfRule type="expression" dxfId="9" priority="4">
      <formula>$H$66&gt;0</formula>
    </cfRule>
  </conditionalFormatting>
  <conditionalFormatting sqref="H79">
    <cfRule type="expression" dxfId="8" priority="3">
      <formula>$H$67&gt;0</formula>
    </cfRule>
  </conditionalFormatting>
  <conditionalFormatting sqref="H80">
    <cfRule type="expression" dxfId="7" priority="2">
      <formula>$H$67&gt;0</formula>
    </cfRule>
  </conditionalFormatting>
  <conditionalFormatting sqref="H81">
    <cfRule type="expression" dxfId="6" priority="1">
      <formula>$H$67&gt;0</formula>
    </cfRule>
  </conditionalFormatting>
  <dataValidations count="6">
    <dataValidation type="list" allowBlank="1" showInputMessage="1" showErrorMessage="1" sqref="D19">
      <formula1>"Select…,New Construction,Rehab - Mod,Rehab - Subs"</formula1>
    </dataValidation>
    <dataValidation type="list" allowBlank="1" showInputMessage="1" showErrorMessage="1" sqref="H23 H29 H31 H44:H46 H49 H51 H56 H68:H69 H71 H77 H86:H87 H100:H101 H107:H110 H112:H116 H118:H120 H126:H128">
      <formula1>"X,n/a"</formula1>
    </dataValidation>
    <dataValidation type="list" allowBlank="1" showInputMessage="1" showErrorMessage="1" sqref="F20">
      <formula1>"Select…,Moderate,Substantial"</formula1>
    </dataValidation>
    <dataValidation type="list" allowBlank="1" showInputMessage="1" showErrorMessage="1" sqref="D20">
      <formula1>"Select…,New Construction,Rehab"</formula1>
    </dataValidation>
    <dataValidation type="list" allowBlank="1" showInputMessage="1" showErrorMessage="1" sqref="D17:D18">
      <formula1>"Select…,Urban,Rural"</formula1>
    </dataValidation>
    <dataValidation type="date" operator="greaterThan" allowBlank="1" showInputMessage="1" showErrorMessage="1" errorTitle="Incorrect Date/Format" error="Please enter a date in the format mm/dd/yyyy." sqref="F16:G16 C16:D16">
      <formula1>39630</formula1>
    </dataValidation>
  </dataValidations>
  <printOptions horizontalCentered="1"/>
  <pageMargins left="0.7" right="0.7" top="0.75" bottom="0.75" header="0.3" footer="0.3"/>
  <pageSetup scale="67" fitToHeight="2" orientation="portrait" r:id="rId1"/>
  <headerFooter>
    <oddFooter>&amp;LForm 2C
Evergreen Standard Checklist
(ESDS v2.2)&amp;CCFA Forms&amp;REdition: 2015
Version: 1.0</oddFooter>
  </headerFooter>
  <rowBreaks count="1" manualBreakCount="1">
    <brk id="83" min="1" max="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D469"/>
  <sheetViews>
    <sheetView workbookViewId="0">
      <selection activeCell="F30" sqref="F30"/>
    </sheetView>
  </sheetViews>
  <sheetFormatPr defaultRowHeight="15" x14ac:dyDescent="0.25"/>
  <cols>
    <col min="1" max="1" width="8.85546875" style="813" bestFit="1" customWidth="1"/>
    <col min="2" max="2" width="32.28515625" style="813" bestFit="1" customWidth="1"/>
    <col min="3" max="3" width="8.85546875" style="813" customWidth="1"/>
    <col min="4" max="4" width="17" style="813" bestFit="1" customWidth="1"/>
    <col min="5" max="16384" width="9.140625" style="813"/>
  </cols>
  <sheetData>
    <row r="1" spans="1:4" x14ac:dyDescent="0.25">
      <c r="A1" s="813" t="s">
        <v>1363</v>
      </c>
      <c r="B1" s="813" t="s">
        <v>1364</v>
      </c>
      <c r="C1" s="813" t="s">
        <v>1365</v>
      </c>
      <c r="D1" s="813" t="s">
        <v>1366</v>
      </c>
    </row>
    <row r="2" spans="1:4" x14ac:dyDescent="0.25">
      <c r="A2" s="960">
        <v>1.1000000000000001</v>
      </c>
      <c r="B2" s="961" t="s">
        <v>1099</v>
      </c>
      <c r="C2" s="813" t="s">
        <v>1367</v>
      </c>
      <c r="D2" s="813" t="s">
        <v>29</v>
      </c>
    </row>
    <row r="3" spans="1:4" x14ac:dyDescent="0.25">
      <c r="A3" s="962">
        <v>1.2</v>
      </c>
      <c r="B3" s="963" t="s">
        <v>1244</v>
      </c>
      <c r="C3" s="813" t="s">
        <v>1367</v>
      </c>
      <c r="D3" s="813" t="s">
        <v>29</v>
      </c>
    </row>
    <row r="4" spans="1:4" x14ac:dyDescent="0.25">
      <c r="A4" s="972">
        <v>2.1</v>
      </c>
      <c r="B4" s="961" t="s">
        <v>1099</v>
      </c>
      <c r="C4" s="813" t="s">
        <v>1367</v>
      </c>
      <c r="D4" s="813" t="s">
        <v>29</v>
      </c>
    </row>
    <row r="5" spans="1:4" x14ac:dyDescent="0.25">
      <c r="A5" s="973">
        <v>2.2000000000000002</v>
      </c>
      <c r="B5" s="974" t="s">
        <v>1256</v>
      </c>
      <c r="C5" s="813" t="s">
        <v>1367</v>
      </c>
      <c r="D5" s="813" t="s">
        <v>29</v>
      </c>
    </row>
    <row r="6" spans="1:4" x14ac:dyDescent="0.25">
      <c r="A6" s="973">
        <v>2.2999999999999998</v>
      </c>
      <c r="B6" s="974" t="s">
        <v>1099</v>
      </c>
      <c r="C6" s="813" t="s">
        <v>1367</v>
      </c>
      <c r="D6" s="813" t="s">
        <v>29</v>
      </c>
    </row>
    <row r="7" spans="1:4" x14ac:dyDescent="0.25">
      <c r="A7" s="973">
        <v>2.4</v>
      </c>
      <c r="B7" s="974" t="s">
        <v>1245</v>
      </c>
      <c r="C7" s="813" t="s">
        <v>1367</v>
      </c>
      <c r="D7" s="813" t="s">
        <v>29</v>
      </c>
    </row>
    <row r="8" spans="1:4" x14ac:dyDescent="0.25">
      <c r="A8" s="973">
        <v>2.5</v>
      </c>
      <c r="B8" s="974" t="s">
        <v>1368</v>
      </c>
      <c r="C8" s="813" t="s">
        <v>1367</v>
      </c>
      <c r="D8" s="813" t="s">
        <v>29</v>
      </c>
    </row>
    <row r="9" spans="1:4" x14ac:dyDescent="0.25">
      <c r="A9" s="973">
        <v>2.6</v>
      </c>
      <c r="B9" s="974" t="s">
        <v>1246</v>
      </c>
      <c r="C9" s="813" t="s">
        <v>1367</v>
      </c>
      <c r="D9" s="813" t="s">
        <v>29</v>
      </c>
    </row>
    <row r="10" spans="1:4" x14ac:dyDescent="0.25">
      <c r="A10" s="976" t="s">
        <v>1227</v>
      </c>
      <c r="B10" s="974" t="s">
        <v>1369</v>
      </c>
      <c r="C10" s="813" t="s">
        <v>1367</v>
      </c>
      <c r="D10" s="813" t="s">
        <v>29</v>
      </c>
    </row>
    <row r="11" spans="1:4" x14ac:dyDescent="0.25">
      <c r="A11" s="973" t="s">
        <v>1208</v>
      </c>
      <c r="B11" s="974" t="s">
        <v>1370</v>
      </c>
      <c r="C11" s="813" t="s">
        <v>1367</v>
      </c>
      <c r="D11" s="813" t="s">
        <v>29</v>
      </c>
    </row>
    <row r="12" spans="1:4" x14ac:dyDescent="0.25">
      <c r="A12" s="973">
        <v>2.8</v>
      </c>
      <c r="B12" s="974" t="s">
        <v>1249</v>
      </c>
      <c r="C12" s="813" t="s">
        <v>1367</v>
      </c>
      <c r="D12" s="813" t="s">
        <v>29</v>
      </c>
    </row>
    <row r="13" spans="1:4" x14ac:dyDescent="0.25">
      <c r="A13" s="973">
        <v>2.9</v>
      </c>
      <c r="B13" s="974" t="s">
        <v>1247</v>
      </c>
      <c r="C13" s="813" t="s">
        <v>1367</v>
      </c>
      <c r="D13" s="813" t="s">
        <v>29</v>
      </c>
    </row>
    <row r="14" spans="1:4" x14ac:dyDescent="0.25">
      <c r="A14" s="979" t="s">
        <v>1204</v>
      </c>
      <c r="B14" s="963" t="s">
        <v>1246</v>
      </c>
      <c r="C14" s="813" t="s">
        <v>1367</v>
      </c>
      <c r="D14" s="813" t="s">
        <v>29</v>
      </c>
    </row>
    <row r="15" spans="1:4" x14ac:dyDescent="0.25">
      <c r="A15" s="972" t="s">
        <v>1200</v>
      </c>
      <c r="B15" s="961" t="s">
        <v>1099</v>
      </c>
      <c r="C15" s="813" t="s">
        <v>1367</v>
      </c>
      <c r="D15" s="813" t="s">
        <v>29</v>
      </c>
    </row>
    <row r="16" spans="1:4" x14ac:dyDescent="0.25">
      <c r="A16" s="973" t="s">
        <v>1198</v>
      </c>
      <c r="B16" s="974" t="s">
        <v>1099</v>
      </c>
      <c r="C16" s="813" t="s">
        <v>1367</v>
      </c>
      <c r="D16" s="813" t="s">
        <v>29</v>
      </c>
    </row>
    <row r="17" spans="1:4" x14ac:dyDescent="0.25">
      <c r="A17" s="973" t="s">
        <v>1196</v>
      </c>
      <c r="B17" s="980" t="s">
        <v>1195</v>
      </c>
      <c r="C17" s="813" t="s">
        <v>1367</v>
      </c>
      <c r="D17" s="813" t="s">
        <v>29</v>
      </c>
    </row>
    <row r="18" spans="1:4" x14ac:dyDescent="0.25">
      <c r="A18" s="973" t="s">
        <v>1194</v>
      </c>
      <c r="B18" s="974" t="s">
        <v>1245</v>
      </c>
      <c r="C18" s="813" t="s">
        <v>1367</v>
      </c>
      <c r="D18" s="813" t="s">
        <v>29</v>
      </c>
    </row>
    <row r="19" spans="1:4" x14ac:dyDescent="0.25">
      <c r="A19" s="973" t="s">
        <v>1193</v>
      </c>
      <c r="B19" s="974" t="s">
        <v>1242</v>
      </c>
      <c r="C19" s="813" t="s">
        <v>1367</v>
      </c>
      <c r="D19" s="813" t="s">
        <v>29</v>
      </c>
    </row>
    <row r="20" spans="1:4" x14ac:dyDescent="0.25">
      <c r="A20" s="973" t="s">
        <v>1191</v>
      </c>
      <c r="B20" s="980" t="s">
        <v>1189</v>
      </c>
      <c r="C20" s="813" t="s">
        <v>1367</v>
      </c>
      <c r="D20" s="813" t="s">
        <v>29</v>
      </c>
    </row>
    <row r="21" spans="1:4" x14ac:dyDescent="0.25">
      <c r="A21" s="973" t="s">
        <v>1188</v>
      </c>
      <c r="B21" s="974" t="s">
        <v>1248</v>
      </c>
      <c r="C21" s="813" t="s">
        <v>1367</v>
      </c>
      <c r="D21" s="813" t="s">
        <v>29</v>
      </c>
    </row>
    <row r="22" spans="1:4" x14ac:dyDescent="0.25">
      <c r="A22" s="973" t="s">
        <v>1186</v>
      </c>
      <c r="B22" s="963" t="s">
        <v>1099</v>
      </c>
      <c r="C22" s="813" t="s">
        <v>1367</v>
      </c>
      <c r="D22" s="813" t="s">
        <v>29</v>
      </c>
    </row>
    <row r="23" spans="1:4" x14ac:dyDescent="0.25">
      <c r="A23" s="981" t="s">
        <v>1182</v>
      </c>
      <c r="B23" s="982" t="s">
        <v>1099</v>
      </c>
      <c r="C23" s="813" t="s">
        <v>1367</v>
      </c>
      <c r="D23" s="813" t="s">
        <v>29</v>
      </c>
    </row>
    <row r="24" spans="1:4" x14ac:dyDescent="0.25">
      <c r="A24" s="983" t="s">
        <v>1181</v>
      </c>
      <c r="B24" s="984" t="s">
        <v>1248</v>
      </c>
      <c r="C24" s="813" t="s">
        <v>1367</v>
      </c>
      <c r="D24" s="813" t="s">
        <v>29</v>
      </c>
    </row>
    <row r="25" spans="1:4" x14ac:dyDescent="0.25">
      <c r="A25" s="983" t="s">
        <v>1180</v>
      </c>
      <c r="B25" s="985" t="s">
        <v>1250</v>
      </c>
      <c r="C25" s="813" t="s">
        <v>1367</v>
      </c>
      <c r="D25" s="813" t="s">
        <v>29</v>
      </c>
    </row>
    <row r="26" spans="1:4" x14ac:dyDescent="0.25">
      <c r="A26" s="989" t="s">
        <v>1176</v>
      </c>
      <c r="B26" s="990" t="s">
        <v>1099</v>
      </c>
      <c r="C26" s="813" t="s">
        <v>1367</v>
      </c>
      <c r="D26" s="813" t="s">
        <v>29</v>
      </c>
    </row>
    <row r="27" spans="1:4" x14ac:dyDescent="0.25">
      <c r="A27" s="991" t="s">
        <v>1220</v>
      </c>
      <c r="B27" s="992" t="s">
        <v>1369</v>
      </c>
      <c r="C27" s="813" t="s">
        <v>1367</v>
      </c>
      <c r="D27" s="813" t="s">
        <v>29</v>
      </c>
    </row>
    <row r="28" spans="1:4" x14ac:dyDescent="0.25">
      <c r="A28" s="993" t="s">
        <v>1175</v>
      </c>
      <c r="B28" s="992" t="s">
        <v>1371</v>
      </c>
      <c r="C28" s="813" t="s">
        <v>1367</v>
      </c>
      <c r="D28" s="813" t="s">
        <v>29</v>
      </c>
    </row>
    <row r="29" spans="1:4" x14ac:dyDescent="0.25">
      <c r="A29" s="991" t="s">
        <v>1221</v>
      </c>
      <c r="B29" s="992" t="s">
        <v>1369</v>
      </c>
      <c r="C29" s="813" t="s">
        <v>1367</v>
      </c>
      <c r="D29" s="813" t="s">
        <v>29</v>
      </c>
    </row>
    <row r="30" spans="1:4" x14ac:dyDescent="0.25">
      <c r="A30" s="993" t="s">
        <v>1174</v>
      </c>
      <c r="B30" s="992" t="s">
        <v>1099</v>
      </c>
      <c r="C30" s="813" t="s">
        <v>1367</v>
      </c>
      <c r="D30" s="813" t="s">
        <v>29</v>
      </c>
    </row>
    <row r="31" spans="1:4" x14ac:dyDescent="0.25">
      <c r="A31" s="993" t="s">
        <v>1172</v>
      </c>
      <c r="B31" s="994" t="s">
        <v>1170</v>
      </c>
      <c r="C31" s="813" t="s">
        <v>1367</v>
      </c>
      <c r="D31" s="813" t="s">
        <v>29</v>
      </c>
    </row>
    <row r="32" spans="1:4" x14ac:dyDescent="0.25">
      <c r="A32" s="993" t="s">
        <v>1169</v>
      </c>
      <c r="B32" s="992" t="s">
        <v>1246</v>
      </c>
      <c r="C32" s="813" t="s">
        <v>1367</v>
      </c>
      <c r="D32" s="813" t="s">
        <v>29</v>
      </c>
    </row>
    <row r="33" spans="1:4" x14ac:dyDescent="0.25">
      <c r="A33" s="993" t="s">
        <v>1167</v>
      </c>
      <c r="B33" s="992" t="s">
        <v>1099</v>
      </c>
      <c r="C33" s="813" t="s">
        <v>1367</v>
      </c>
      <c r="D33" s="813" t="s">
        <v>29</v>
      </c>
    </row>
    <row r="34" spans="1:4" x14ac:dyDescent="0.25">
      <c r="A34" s="993" t="s">
        <v>1165</v>
      </c>
      <c r="B34" s="992" t="s">
        <v>1099</v>
      </c>
      <c r="C34" s="813" t="s">
        <v>1367</v>
      </c>
      <c r="D34" s="813" t="s">
        <v>29</v>
      </c>
    </row>
    <row r="35" spans="1:4" x14ac:dyDescent="0.25">
      <c r="A35" s="991" t="s">
        <v>1222</v>
      </c>
      <c r="B35" s="992" t="s">
        <v>1369</v>
      </c>
      <c r="C35" s="813" t="s">
        <v>1367</v>
      </c>
      <c r="D35" s="813" t="s">
        <v>29</v>
      </c>
    </row>
    <row r="36" spans="1:4" x14ac:dyDescent="0.25">
      <c r="A36" s="993" t="s">
        <v>1164</v>
      </c>
      <c r="B36" s="992" t="s">
        <v>1240</v>
      </c>
      <c r="C36" s="813" t="s">
        <v>1367</v>
      </c>
      <c r="D36" s="813" t="s">
        <v>29</v>
      </c>
    </row>
    <row r="37" spans="1:4" x14ac:dyDescent="0.25">
      <c r="A37" s="993" t="s">
        <v>1163</v>
      </c>
      <c r="B37" s="992" t="s">
        <v>1251</v>
      </c>
      <c r="C37" s="813" t="s">
        <v>1367</v>
      </c>
      <c r="D37" s="813" t="s">
        <v>29</v>
      </c>
    </row>
    <row r="38" spans="1:4" x14ac:dyDescent="0.25">
      <c r="A38" s="993" t="s">
        <v>1161</v>
      </c>
      <c r="B38" s="992" t="s">
        <v>1241</v>
      </c>
      <c r="C38" s="813" t="s">
        <v>1367</v>
      </c>
      <c r="D38" s="813" t="s">
        <v>29</v>
      </c>
    </row>
    <row r="39" spans="1:4" x14ac:dyDescent="0.25">
      <c r="A39" s="993" t="s">
        <v>1160</v>
      </c>
      <c r="B39" s="992" t="s">
        <v>1099</v>
      </c>
      <c r="C39" s="813" t="s">
        <v>1367</v>
      </c>
      <c r="D39" s="813" t="s">
        <v>29</v>
      </c>
    </row>
    <row r="40" spans="1:4" x14ac:dyDescent="0.25">
      <c r="A40" s="993" t="s">
        <v>1158</v>
      </c>
      <c r="B40" s="992" t="s">
        <v>1252</v>
      </c>
      <c r="C40" s="813" t="s">
        <v>1367</v>
      </c>
      <c r="D40" s="813" t="s">
        <v>29</v>
      </c>
    </row>
    <row r="41" spans="1:4" x14ac:dyDescent="0.25">
      <c r="A41" s="993">
        <v>5.1100000000000003</v>
      </c>
      <c r="B41" s="992" t="s">
        <v>1369</v>
      </c>
      <c r="C41" s="813" t="s">
        <v>1367</v>
      </c>
      <c r="D41" s="813" t="s">
        <v>29</v>
      </c>
    </row>
    <row r="42" spans="1:4" x14ac:dyDescent="0.25">
      <c r="A42" s="993">
        <v>5.12</v>
      </c>
      <c r="B42" s="992" t="s">
        <v>1369</v>
      </c>
      <c r="C42" s="813" t="s">
        <v>1367</v>
      </c>
      <c r="D42" s="813" t="s">
        <v>29</v>
      </c>
    </row>
    <row r="43" spans="1:4" x14ac:dyDescent="0.25">
      <c r="A43" s="995">
        <v>5.13</v>
      </c>
      <c r="B43" s="996" t="s">
        <v>1369</v>
      </c>
      <c r="C43" s="813" t="s">
        <v>1367</v>
      </c>
      <c r="D43" s="813" t="s">
        <v>29</v>
      </c>
    </row>
    <row r="44" spans="1:4" x14ac:dyDescent="0.25">
      <c r="A44" s="989" t="s">
        <v>1155</v>
      </c>
      <c r="B44" s="990" t="s">
        <v>1099</v>
      </c>
      <c r="C44" s="813" t="s">
        <v>1367</v>
      </c>
      <c r="D44" s="813" t="s">
        <v>29</v>
      </c>
    </row>
    <row r="45" spans="1:4" x14ac:dyDescent="0.25">
      <c r="A45" s="993" t="s">
        <v>1153</v>
      </c>
      <c r="B45" s="992" t="s">
        <v>1099</v>
      </c>
      <c r="C45" s="813" t="s">
        <v>1367</v>
      </c>
      <c r="D45" s="813" t="s">
        <v>29</v>
      </c>
    </row>
    <row r="46" spans="1:4" x14ac:dyDescent="0.25">
      <c r="A46" s="993" t="s">
        <v>1151</v>
      </c>
      <c r="B46" s="992" t="s">
        <v>1242</v>
      </c>
      <c r="C46" s="813" t="s">
        <v>1367</v>
      </c>
      <c r="D46" s="813" t="s">
        <v>29</v>
      </c>
    </row>
    <row r="47" spans="1:4" x14ac:dyDescent="0.25">
      <c r="A47" s="993" t="s">
        <v>1149</v>
      </c>
      <c r="B47" s="992" t="s">
        <v>1243</v>
      </c>
      <c r="C47" s="813" t="s">
        <v>1367</v>
      </c>
      <c r="D47" s="813" t="s">
        <v>29</v>
      </c>
    </row>
    <row r="48" spans="1:4" x14ac:dyDescent="0.25">
      <c r="A48" s="993" t="s">
        <v>1147</v>
      </c>
      <c r="B48" s="992" t="s">
        <v>1242</v>
      </c>
      <c r="C48" s="813" t="s">
        <v>1367</v>
      </c>
      <c r="D48" s="813" t="s">
        <v>29</v>
      </c>
    </row>
    <row r="49" spans="1:4" x14ac:dyDescent="0.25">
      <c r="A49" s="993" t="s">
        <v>1145</v>
      </c>
      <c r="B49" s="992" t="s">
        <v>1242</v>
      </c>
      <c r="C49" s="813" t="s">
        <v>1367</v>
      </c>
      <c r="D49" s="813" t="s">
        <v>29</v>
      </c>
    </row>
    <row r="50" spans="1:4" x14ac:dyDescent="0.25">
      <c r="A50" s="993" t="s">
        <v>1143</v>
      </c>
      <c r="B50" s="992" t="s">
        <v>1245</v>
      </c>
      <c r="C50" s="813" t="s">
        <v>1367</v>
      </c>
      <c r="D50" s="813" t="s">
        <v>29</v>
      </c>
    </row>
    <row r="51" spans="1:4" x14ac:dyDescent="0.25">
      <c r="A51" s="993" t="s">
        <v>1141</v>
      </c>
      <c r="B51" s="992" t="s">
        <v>1245</v>
      </c>
      <c r="C51" s="813" t="s">
        <v>1367</v>
      </c>
      <c r="D51" s="813" t="s">
        <v>29</v>
      </c>
    </row>
    <row r="52" spans="1:4" x14ac:dyDescent="0.25">
      <c r="A52" s="995" t="s">
        <v>1139</v>
      </c>
      <c r="B52" s="996" t="s">
        <v>1253</v>
      </c>
      <c r="C52" s="813" t="s">
        <v>1367</v>
      </c>
      <c r="D52" s="813" t="s">
        <v>29</v>
      </c>
    </row>
    <row r="53" spans="1:4" x14ac:dyDescent="0.25">
      <c r="A53" s="989" t="s">
        <v>1135</v>
      </c>
      <c r="B53" s="990" t="s">
        <v>1099</v>
      </c>
      <c r="C53" s="813" t="s">
        <v>1367</v>
      </c>
      <c r="D53" s="813" t="s">
        <v>29</v>
      </c>
    </row>
    <row r="54" spans="1:4" x14ac:dyDescent="0.25">
      <c r="A54" s="993" t="s">
        <v>1133</v>
      </c>
      <c r="B54" s="994" t="s">
        <v>1132</v>
      </c>
      <c r="C54" s="813" t="s">
        <v>1367</v>
      </c>
      <c r="D54" s="813" t="s">
        <v>29</v>
      </c>
    </row>
    <row r="55" spans="1:4" x14ac:dyDescent="0.25">
      <c r="A55" s="993" t="s">
        <v>1131</v>
      </c>
      <c r="B55" s="992" t="s">
        <v>1254</v>
      </c>
      <c r="C55" s="813" t="s">
        <v>1367</v>
      </c>
      <c r="D55" s="813" t="s">
        <v>29</v>
      </c>
    </row>
    <row r="56" spans="1:4" x14ac:dyDescent="0.25">
      <c r="A56" s="993" t="s">
        <v>1129</v>
      </c>
      <c r="B56" s="992" t="s">
        <v>1099</v>
      </c>
      <c r="C56" s="813" t="s">
        <v>1367</v>
      </c>
      <c r="D56" s="813" t="s">
        <v>29</v>
      </c>
    </row>
    <row r="57" spans="1:4" x14ac:dyDescent="0.25">
      <c r="A57" s="991" t="s">
        <v>1223</v>
      </c>
      <c r="B57" s="992" t="s">
        <v>1369</v>
      </c>
      <c r="C57" s="813" t="s">
        <v>1367</v>
      </c>
      <c r="D57" s="813" t="s">
        <v>29</v>
      </c>
    </row>
    <row r="58" spans="1:4" x14ac:dyDescent="0.25">
      <c r="A58" s="993" t="s">
        <v>1128</v>
      </c>
      <c r="B58" s="992" t="s">
        <v>1099</v>
      </c>
      <c r="C58" s="813" t="s">
        <v>1367</v>
      </c>
      <c r="D58" s="813" t="s">
        <v>29</v>
      </c>
    </row>
    <row r="59" spans="1:4" x14ac:dyDescent="0.25">
      <c r="A59" s="991" t="s">
        <v>1224</v>
      </c>
      <c r="B59" s="992" t="s">
        <v>1369</v>
      </c>
      <c r="C59" s="813" t="s">
        <v>1367</v>
      </c>
      <c r="D59" s="813" t="s">
        <v>29</v>
      </c>
    </row>
    <row r="60" spans="1:4" x14ac:dyDescent="0.25">
      <c r="A60" s="993">
        <v>7.5</v>
      </c>
      <c r="B60" s="992" t="s">
        <v>1099</v>
      </c>
      <c r="C60" s="813" t="s">
        <v>1367</v>
      </c>
      <c r="D60" s="813" t="s">
        <v>29</v>
      </c>
    </row>
    <row r="61" spans="1:4" x14ac:dyDescent="0.25">
      <c r="A61" s="993">
        <v>7.6</v>
      </c>
      <c r="B61" s="992" t="s">
        <v>1099</v>
      </c>
      <c r="C61" s="813" t="s">
        <v>1367</v>
      </c>
      <c r="D61" s="813" t="s">
        <v>29</v>
      </c>
    </row>
    <row r="62" spans="1:4" x14ac:dyDescent="0.25">
      <c r="A62" s="993">
        <v>7.7</v>
      </c>
      <c r="B62" s="992" t="s">
        <v>1099</v>
      </c>
      <c r="C62" s="813" t="s">
        <v>1367</v>
      </c>
      <c r="D62" s="813" t="s">
        <v>29</v>
      </c>
    </row>
    <row r="63" spans="1:4" x14ac:dyDescent="0.25">
      <c r="A63" s="993">
        <v>7.8</v>
      </c>
      <c r="B63" s="992" t="s">
        <v>1099</v>
      </c>
      <c r="C63" s="813" t="s">
        <v>1367</v>
      </c>
      <c r="D63" s="813" t="s">
        <v>29</v>
      </c>
    </row>
    <row r="64" spans="1:4" x14ac:dyDescent="0.25">
      <c r="A64" s="1005" t="s">
        <v>1123</v>
      </c>
      <c r="B64" s="992" t="s">
        <v>1099</v>
      </c>
      <c r="C64" s="813" t="s">
        <v>1367</v>
      </c>
      <c r="D64" s="813" t="s">
        <v>29</v>
      </c>
    </row>
    <row r="65" spans="1:4" x14ac:dyDescent="0.25">
      <c r="A65" s="993" t="s">
        <v>1122</v>
      </c>
      <c r="B65" s="992" t="s">
        <v>1099</v>
      </c>
      <c r="C65" s="813" t="s">
        <v>1367</v>
      </c>
      <c r="D65" s="813" t="s">
        <v>29</v>
      </c>
    </row>
    <row r="66" spans="1:4" x14ac:dyDescent="0.25">
      <c r="A66" s="993" t="s">
        <v>1120</v>
      </c>
      <c r="B66" s="992" t="s">
        <v>1099</v>
      </c>
      <c r="C66" s="813" t="s">
        <v>1367</v>
      </c>
      <c r="D66" s="813" t="s">
        <v>29</v>
      </c>
    </row>
    <row r="67" spans="1:4" x14ac:dyDescent="0.25">
      <c r="A67" s="993" t="s">
        <v>1118</v>
      </c>
      <c r="B67" s="992" t="s">
        <v>1099</v>
      </c>
      <c r="C67" s="813" t="s">
        <v>1367</v>
      </c>
      <c r="D67" s="813" t="s">
        <v>29</v>
      </c>
    </row>
    <row r="68" spans="1:4" x14ac:dyDescent="0.25">
      <c r="A68" s="993">
        <v>7.11</v>
      </c>
      <c r="B68" s="992" t="s">
        <v>1099</v>
      </c>
      <c r="C68" s="813" t="s">
        <v>1367</v>
      </c>
      <c r="D68" s="813" t="s">
        <v>29</v>
      </c>
    </row>
    <row r="69" spans="1:4" x14ac:dyDescent="0.25">
      <c r="A69" s="993">
        <v>7.12</v>
      </c>
      <c r="B69" s="992" t="s">
        <v>1099</v>
      </c>
      <c r="C69" s="813" t="s">
        <v>1367</v>
      </c>
      <c r="D69" s="813" t="s">
        <v>29</v>
      </c>
    </row>
    <row r="70" spans="1:4" x14ac:dyDescent="0.25">
      <c r="A70" s="993">
        <v>7.13</v>
      </c>
      <c r="B70" s="992" t="s">
        <v>1372</v>
      </c>
      <c r="C70" s="813" t="s">
        <v>1367</v>
      </c>
      <c r="D70" s="813" t="s">
        <v>29</v>
      </c>
    </row>
    <row r="71" spans="1:4" x14ac:dyDescent="0.25">
      <c r="A71" s="993">
        <v>7.14</v>
      </c>
      <c r="B71" s="992" t="s">
        <v>1099</v>
      </c>
      <c r="C71" s="813" t="s">
        <v>1367</v>
      </c>
      <c r="D71" s="813" t="s">
        <v>29</v>
      </c>
    </row>
    <row r="72" spans="1:4" x14ac:dyDescent="0.25">
      <c r="A72" s="993">
        <v>7.15</v>
      </c>
      <c r="B72" s="992" t="s">
        <v>1099</v>
      </c>
      <c r="C72" s="813" t="s">
        <v>1367</v>
      </c>
      <c r="D72" s="813" t="s">
        <v>29</v>
      </c>
    </row>
    <row r="73" spans="1:4" x14ac:dyDescent="0.25">
      <c r="A73" s="993">
        <v>7.16</v>
      </c>
      <c r="B73" s="992" t="s">
        <v>1099</v>
      </c>
      <c r="C73" s="813" t="s">
        <v>1367</v>
      </c>
      <c r="D73" s="813" t="s">
        <v>29</v>
      </c>
    </row>
    <row r="74" spans="1:4" x14ac:dyDescent="0.25">
      <c r="A74" s="995">
        <v>7.17</v>
      </c>
      <c r="B74" s="996" t="s">
        <v>1255</v>
      </c>
      <c r="C74" s="813" t="s">
        <v>1367</v>
      </c>
      <c r="D74" s="813" t="s">
        <v>29</v>
      </c>
    </row>
    <row r="75" spans="1:4" x14ac:dyDescent="0.25">
      <c r="A75" s="989" t="s">
        <v>1105</v>
      </c>
      <c r="B75" s="990" t="s">
        <v>1099</v>
      </c>
      <c r="C75" s="813" t="s">
        <v>1367</v>
      </c>
      <c r="D75" s="813" t="s">
        <v>29</v>
      </c>
    </row>
    <row r="76" spans="1:4" x14ac:dyDescent="0.25">
      <c r="A76" s="993" t="s">
        <v>1103</v>
      </c>
      <c r="B76" s="992" t="s">
        <v>1099</v>
      </c>
      <c r="C76" s="813" t="s">
        <v>1367</v>
      </c>
      <c r="D76" s="813" t="s">
        <v>29</v>
      </c>
    </row>
    <row r="77" spans="1:4" x14ac:dyDescent="0.25">
      <c r="A77" s="993" t="s">
        <v>1101</v>
      </c>
      <c r="B77" s="992" t="s">
        <v>1099</v>
      </c>
      <c r="C77" s="813" t="s">
        <v>1367</v>
      </c>
      <c r="D77" s="813" t="s">
        <v>29</v>
      </c>
    </row>
    <row r="78" spans="1:4" x14ac:dyDescent="0.25">
      <c r="A78" s="993" t="s">
        <v>1098</v>
      </c>
      <c r="B78" s="992" t="s">
        <v>1255</v>
      </c>
      <c r="C78" s="813" t="s">
        <v>1367</v>
      </c>
      <c r="D78" s="813" t="s">
        <v>29</v>
      </c>
    </row>
    <row r="79" spans="1:4" x14ac:dyDescent="0.25">
      <c r="A79" s="995" t="s">
        <v>1096</v>
      </c>
      <c r="B79" s="996" t="s">
        <v>1256</v>
      </c>
      <c r="C79" s="813" t="s">
        <v>1367</v>
      </c>
      <c r="D79" s="813" t="s">
        <v>29</v>
      </c>
    </row>
    <row r="80" spans="1:4" x14ac:dyDescent="0.25">
      <c r="A80" s="960">
        <v>1.1000000000000001</v>
      </c>
      <c r="B80" s="961" t="s">
        <v>1099</v>
      </c>
      <c r="C80" s="1821" t="s">
        <v>1367</v>
      </c>
      <c r="D80" s="813" t="s">
        <v>1373</v>
      </c>
    </row>
    <row r="81" spans="1:4" x14ac:dyDescent="0.25">
      <c r="A81" s="962">
        <v>1.2</v>
      </c>
      <c r="B81" s="963" t="s">
        <v>1244</v>
      </c>
      <c r="C81" s="1821" t="s">
        <v>1367</v>
      </c>
      <c r="D81" s="813" t="s">
        <v>1373</v>
      </c>
    </row>
    <row r="82" spans="1:4" x14ac:dyDescent="0.25">
      <c r="A82" s="972">
        <v>2.1</v>
      </c>
      <c r="B82" s="961" t="s">
        <v>1099</v>
      </c>
      <c r="C82" s="1821" t="s">
        <v>1367</v>
      </c>
      <c r="D82" s="813" t="s">
        <v>1373</v>
      </c>
    </row>
    <row r="83" spans="1:4" x14ac:dyDescent="0.25">
      <c r="A83" s="973">
        <v>2.2000000000000002</v>
      </c>
      <c r="B83" s="974" t="s">
        <v>1369</v>
      </c>
      <c r="C83" s="1821" t="s">
        <v>1367</v>
      </c>
      <c r="D83" s="813" t="s">
        <v>1373</v>
      </c>
    </row>
    <row r="84" spans="1:4" x14ac:dyDescent="0.25">
      <c r="A84" s="973">
        <v>2.2999999999999998</v>
      </c>
      <c r="B84" s="974" t="s">
        <v>1099</v>
      </c>
      <c r="C84" s="1821" t="s">
        <v>1367</v>
      </c>
      <c r="D84" s="813" t="s">
        <v>1373</v>
      </c>
    </row>
    <row r="85" spans="1:4" x14ac:dyDescent="0.25">
      <c r="A85" s="973">
        <v>2.4</v>
      </c>
      <c r="B85" s="974" t="s">
        <v>1245</v>
      </c>
      <c r="C85" s="1821" t="s">
        <v>1367</v>
      </c>
      <c r="D85" s="813" t="s">
        <v>1373</v>
      </c>
    </row>
    <row r="86" spans="1:4" x14ac:dyDescent="0.25">
      <c r="A86" s="973">
        <v>2.5</v>
      </c>
      <c r="B86" s="974" t="s">
        <v>1368</v>
      </c>
      <c r="C86" s="1821" t="s">
        <v>1367</v>
      </c>
      <c r="D86" s="813" t="s">
        <v>1373</v>
      </c>
    </row>
    <row r="87" spans="1:4" x14ac:dyDescent="0.25">
      <c r="A87" s="973">
        <v>2.6</v>
      </c>
      <c r="B87" s="974" t="s">
        <v>1246</v>
      </c>
      <c r="C87" s="1821" t="s">
        <v>1367</v>
      </c>
      <c r="D87" s="813" t="s">
        <v>1373</v>
      </c>
    </row>
    <row r="88" spans="1:4" x14ac:dyDescent="0.25">
      <c r="A88" s="976" t="s">
        <v>1227</v>
      </c>
      <c r="B88" s="974" t="s">
        <v>1369</v>
      </c>
      <c r="C88" s="1821" t="s">
        <v>1367</v>
      </c>
      <c r="D88" s="813" t="s">
        <v>1373</v>
      </c>
    </row>
    <row r="89" spans="1:4" x14ac:dyDescent="0.25">
      <c r="A89" s="973" t="s">
        <v>1208</v>
      </c>
      <c r="B89" s="974" t="s">
        <v>1370</v>
      </c>
      <c r="C89" s="1821" t="s">
        <v>1367</v>
      </c>
      <c r="D89" s="813" t="s">
        <v>1373</v>
      </c>
    </row>
    <row r="90" spans="1:4" x14ac:dyDescent="0.25">
      <c r="A90" s="973">
        <v>2.8</v>
      </c>
      <c r="B90" s="974" t="s">
        <v>1249</v>
      </c>
      <c r="C90" s="1821" t="s">
        <v>1367</v>
      </c>
      <c r="D90" s="813" t="s">
        <v>1373</v>
      </c>
    </row>
    <row r="91" spans="1:4" x14ac:dyDescent="0.25">
      <c r="A91" s="973">
        <v>2.9</v>
      </c>
      <c r="B91" s="974" t="s">
        <v>1247</v>
      </c>
      <c r="C91" s="1821" t="s">
        <v>1367</v>
      </c>
      <c r="D91" s="813" t="s">
        <v>1373</v>
      </c>
    </row>
    <row r="92" spans="1:4" x14ac:dyDescent="0.25">
      <c r="A92" s="979" t="s">
        <v>1204</v>
      </c>
      <c r="B92" s="963" t="s">
        <v>1246</v>
      </c>
      <c r="C92" s="1821" t="s">
        <v>1367</v>
      </c>
      <c r="D92" s="813" t="s">
        <v>1373</v>
      </c>
    </row>
    <row r="93" spans="1:4" x14ac:dyDescent="0.25">
      <c r="A93" s="972" t="s">
        <v>1200</v>
      </c>
      <c r="B93" s="961" t="s">
        <v>1099</v>
      </c>
      <c r="C93" s="1821" t="s">
        <v>1367</v>
      </c>
      <c r="D93" s="813" t="s">
        <v>1373</v>
      </c>
    </row>
    <row r="94" spans="1:4" x14ac:dyDescent="0.25">
      <c r="A94" s="973" t="s">
        <v>1198</v>
      </c>
      <c r="B94" s="974" t="s">
        <v>1099</v>
      </c>
      <c r="C94" s="1821" t="s">
        <v>1367</v>
      </c>
      <c r="D94" s="813" t="s">
        <v>1373</v>
      </c>
    </row>
    <row r="95" spans="1:4" x14ac:dyDescent="0.25">
      <c r="A95" s="973" t="s">
        <v>1196</v>
      </c>
      <c r="B95" s="980" t="s">
        <v>1195</v>
      </c>
      <c r="C95" s="1821" t="s">
        <v>1367</v>
      </c>
      <c r="D95" s="813" t="s">
        <v>1373</v>
      </c>
    </row>
    <row r="96" spans="1:4" x14ac:dyDescent="0.25">
      <c r="A96" s="973" t="s">
        <v>1194</v>
      </c>
      <c r="B96" s="974" t="s">
        <v>1245</v>
      </c>
      <c r="C96" s="1821" t="s">
        <v>1367</v>
      </c>
      <c r="D96" s="813" t="s">
        <v>1373</v>
      </c>
    </row>
    <row r="97" spans="1:4" x14ac:dyDescent="0.25">
      <c r="A97" s="973" t="s">
        <v>1193</v>
      </c>
      <c r="B97" s="974" t="s">
        <v>1242</v>
      </c>
      <c r="C97" s="1821" t="s">
        <v>1367</v>
      </c>
      <c r="D97" s="813" t="s">
        <v>1373</v>
      </c>
    </row>
    <row r="98" spans="1:4" x14ac:dyDescent="0.25">
      <c r="A98" s="973" t="s">
        <v>1191</v>
      </c>
      <c r="B98" s="980" t="s">
        <v>1189</v>
      </c>
      <c r="C98" s="1821" t="s">
        <v>1367</v>
      </c>
      <c r="D98" s="813" t="s">
        <v>1373</v>
      </c>
    </row>
    <row r="99" spans="1:4" x14ac:dyDescent="0.25">
      <c r="A99" s="973" t="s">
        <v>1188</v>
      </c>
      <c r="B99" s="974" t="s">
        <v>1248</v>
      </c>
      <c r="C99" s="1821" t="s">
        <v>1367</v>
      </c>
      <c r="D99" s="813" t="s">
        <v>1373</v>
      </c>
    </row>
    <row r="100" spans="1:4" x14ac:dyDescent="0.25">
      <c r="A100" s="973" t="s">
        <v>1186</v>
      </c>
      <c r="B100" s="963" t="s">
        <v>1099</v>
      </c>
      <c r="C100" s="1821" t="s">
        <v>1367</v>
      </c>
      <c r="D100" s="813" t="s">
        <v>1373</v>
      </c>
    </row>
    <row r="101" spans="1:4" x14ac:dyDescent="0.25">
      <c r="A101" s="981" t="s">
        <v>1182</v>
      </c>
      <c r="B101" s="982" t="s">
        <v>1099</v>
      </c>
      <c r="C101" s="1821" t="s">
        <v>1367</v>
      </c>
      <c r="D101" s="813" t="s">
        <v>1373</v>
      </c>
    </row>
    <row r="102" spans="1:4" x14ac:dyDescent="0.25">
      <c r="A102" s="983" t="s">
        <v>1181</v>
      </c>
      <c r="B102" s="984" t="s">
        <v>1248</v>
      </c>
      <c r="C102" s="1821" t="s">
        <v>1367</v>
      </c>
      <c r="D102" s="813" t="s">
        <v>1373</v>
      </c>
    </row>
    <row r="103" spans="1:4" x14ac:dyDescent="0.25">
      <c r="A103" s="983" t="s">
        <v>1180</v>
      </c>
      <c r="B103" s="985" t="s">
        <v>1250</v>
      </c>
      <c r="C103" s="1821" t="s">
        <v>1367</v>
      </c>
      <c r="D103" s="813" t="s">
        <v>1373</v>
      </c>
    </row>
    <row r="104" spans="1:4" x14ac:dyDescent="0.25">
      <c r="A104" s="989" t="s">
        <v>1176</v>
      </c>
      <c r="B104" s="990" t="s">
        <v>1369</v>
      </c>
      <c r="C104" s="1821" t="s">
        <v>1367</v>
      </c>
      <c r="D104" s="813" t="s">
        <v>1373</v>
      </c>
    </row>
    <row r="105" spans="1:4" x14ac:dyDescent="0.25">
      <c r="A105" s="991" t="s">
        <v>1220</v>
      </c>
      <c r="B105" s="992" t="s">
        <v>1099</v>
      </c>
      <c r="C105" s="1821" t="s">
        <v>1367</v>
      </c>
      <c r="D105" s="813" t="s">
        <v>1373</v>
      </c>
    </row>
    <row r="106" spans="1:4" x14ac:dyDescent="0.25">
      <c r="A106" s="993" t="s">
        <v>1175</v>
      </c>
      <c r="B106" s="992" t="s">
        <v>1369</v>
      </c>
      <c r="C106" s="1821" t="s">
        <v>1367</v>
      </c>
      <c r="D106" s="813" t="s">
        <v>1373</v>
      </c>
    </row>
    <row r="107" spans="1:4" x14ac:dyDescent="0.25">
      <c r="A107" s="991" t="s">
        <v>1221</v>
      </c>
      <c r="B107" s="992" t="s">
        <v>1245</v>
      </c>
      <c r="C107" s="1821" t="s">
        <v>1367</v>
      </c>
      <c r="D107" s="813" t="s">
        <v>1373</v>
      </c>
    </row>
    <row r="108" spans="1:4" x14ac:dyDescent="0.25">
      <c r="A108" s="993" t="s">
        <v>1174</v>
      </c>
      <c r="B108" s="992" t="s">
        <v>1099</v>
      </c>
      <c r="C108" s="1821" t="s">
        <v>1367</v>
      </c>
      <c r="D108" s="813" t="s">
        <v>1373</v>
      </c>
    </row>
    <row r="109" spans="1:4" x14ac:dyDescent="0.25">
      <c r="A109" s="993" t="s">
        <v>1172</v>
      </c>
      <c r="B109" s="994" t="s">
        <v>1170</v>
      </c>
      <c r="C109" s="1821" t="s">
        <v>1367</v>
      </c>
      <c r="D109" s="813" t="s">
        <v>1373</v>
      </c>
    </row>
    <row r="110" spans="1:4" x14ac:dyDescent="0.25">
      <c r="A110" s="993" t="s">
        <v>1169</v>
      </c>
      <c r="B110" s="992" t="s">
        <v>1246</v>
      </c>
      <c r="C110" s="1821" t="s">
        <v>1367</v>
      </c>
      <c r="D110" s="813" t="s">
        <v>1373</v>
      </c>
    </row>
    <row r="111" spans="1:4" x14ac:dyDescent="0.25">
      <c r="A111" s="993" t="s">
        <v>1167</v>
      </c>
      <c r="B111" s="992" t="s">
        <v>1099</v>
      </c>
      <c r="C111" s="1821" t="s">
        <v>1367</v>
      </c>
      <c r="D111" s="813" t="s">
        <v>1373</v>
      </c>
    </row>
    <row r="112" spans="1:4" x14ac:dyDescent="0.25">
      <c r="A112" s="993" t="s">
        <v>1165</v>
      </c>
      <c r="B112" s="992" t="s">
        <v>1369</v>
      </c>
      <c r="C112" s="1821" t="s">
        <v>1367</v>
      </c>
      <c r="D112" s="813" t="s">
        <v>1373</v>
      </c>
    </row>
    <row r="113" spans="1:4" x14ac:dyDescent="0.25">
      <c r="A113" s="991" t="s">
        <v>1222</v>
      </c>
      <c r="B113" s="992" t="s">
        <v>1256</v>
      </c>
      <c r="C113" s="1821" t="s">
        <v>1367</v>
      </c>
      <c r="D113" s="813" t="s">
        <v>1373</v>
      </c>
    </row>
    <row r="114" spans="1:4" x14ac:dyDescent="0.25">
      <c r="A114" s="993" t="s">
        <v>1164</v>
      </c>
      <c r="B114" s="992" t="s">
        <v>1240</v>
      </c>
      <c r="C114" s="1821" t="s">
        <v>1367</v>
      </c>
      <c r="D114" s="813" t="s">
        <v>1373</v>
      </c>
    </row>
    <row r="115" spans="1:4" x14ac:dyDescent="0.25">
      <c r="A115" s="993" t="s">
        <v>1163</v>
      </c>
      <c r="B115" s="992" t="s">
        <v>1251</v>
      </c>
      <c r="C115" s="1821" t="s">
        <v>1367</v>
      </c>
      <c r="D115" s="813" t="s">
        <v>1373</v>
      </c>
    </row>
    <row r="116" spans="1:4" x14ac:dyDescent="0.25">
      <c r="A116" s="993" t="s">
        <v>1161</v>
      </c>
      <c r="B116" s="992" t="s">
        <v>1241</v>
      </c>
      <c r="C116" s="1821" t="s">
        <v>1367</v>
      </c>
      <c r="D116" s="813" t="s">
        <v>1373</v>
      </c>
    </row>
    <row r="117" spans="1:4" x14ac:dyDescent="0.25">
      <c r="A117" s="993" t="s">
        <v>1160</v>
      </c>
      <c r="B117" s="992" t="s">
        <v>1099</v>
      </c>
      <c r="C117" s="1821" t="s">
        <v>1367</v>
      </c>
      <c r="D117" s="813" t="s">
        <v>1373</v>
      </c>
    </row>
    <row r="118" spans="1:4" x14ac:dyDescent="0.25">
      <c r="A118" s="993" t="s">
        <v>1158</v>
      </c>
      <c r="B118" s="992" t="s">
        <v>1252</v>
      </c>
      <c r="C118" s="1821" t="s">
        <v>1367</v>
      </c>
      <c r="D118" s="813" t="s">
        <v>1373</v>
      </c>
    </row>
    <row r="119" spans="1:4" x14ac:dyDescent="0.25">
      <c r="A119" s="993">
        <v>5.1100000000000003</v>
      </c>
      <c r="B119" s="992" t="s">
        <v>1374</v>
      </c>
      <c r="C119" s="1821" t="s">
        <v>1367</v>
      </c>
      <c r="D119" s="813" t="s">
        <v>1373</v>
      </c>
    </row>
    <row r="120" spans="1:4" x14ac:dyDescent="0.25">
      <c r="A120" s="993">
        <v>5.12</v>
      </c>
      <c r="B120" s="992" t="s">
        <v>1247</v>
      </c>
      <c r="C120" s="1821" t="s">
        <v>1367</v>
      </c>
      <c r="D120" s="813" t="s">
        <v>1373</v>
      </c>
    </row>
    <row r="121" spans="1:4" x14ac:dyDescent="0.25">
      <c r="A121" s="995">
        <v>5.13</v>
      </c>
      <c r="B121" s="996" t="s">
        <v>1375</v>
      </c>
      <c r="C121" s="1821" t="s">
        <v>1367</v>
      </c>
      <c r="D121" s="813" t="s">
        <v>1373</v>
      </c>
    </row>
    <row r="122" spans="1:4" x14ac:dyDescent="0.25">
      <c r="A122" s="989" t="s">
        <v>1155</v>
      </c>
      <c r="B122" s="990" t="s">
        <v>1099</v>
      </c>
      <c r="C122" s="1821" t="s">
        <v>1367</v>
      </c>
      <c r="D122" s="813" t="s">
        <v>1373</v>
      </c>
    </row>
    <row r="123" spans="1:4" x14ac:dyDescent="0.25">
      <c r="A123" s="993" t="s">
        <v>1153</v>
      </c>
      <c r="B123" s="992" t="s">
        <v>1099</v>
      </c>
      <c r="C123" s="1821" t="s">
        <v>1367</v>
      </c>
      <c r="D123" s="813" t="s">
        <v>1373</v>
      </c>
    </row>
    <row r="124" spans="1:4" x14ac:dyDescent="0.25">
      <c r="A124" s="993" t="s">
        <v>1151</v>
      </c>
      <c r="B124" s="992" t="s">
        <v>1242</v>
      </c>
      <c r="C124" s="1821" t="s">
        <v>1367</v>
      </c>
      <c r="D124" s="813" t="s">
        <v>1373</v>
      </c>
    </row>
    <row r="125" spans="1:4" x14ac:dyDescent="0.25">
      <c r="A125" s="993" t="s">
        <v>1149</v>
      </c>
      <c r="B125" s="992" t="s">
        <v>1243</v>
      </c>
      <c r="C125" s="1821" t="s">
        <v>1367</v>
      </c>
      <c r="D125" s="813" t="s">
        <v>1373</v>
      </c>
    </row>
    <row r="126" spans="1:4" x14ac:dyDescent="0.25">
      <c r="A126" s="993" t="s">
        <v>1147</v>
      </c>
      <c r="B126" s="992" t="s">
        <v>1242</v>
      </c>
      <c r="C126" s="1821" t="s">
        <v>1367</v>
      </c>
      <c r="D126" s="813" t="s">
        <v>1373</v>
      </c>
    </row>
    <row r="127" spans="1:4" x14ac:dyDescent="0.25">
      <c r="A127" s="993" t="s">
        <v>1145</v>
      </c>
      <c r="B127" s="992" t="s">
        <v>1242</v>
      </c>
      <c r="C127" s="1821" t="s">
        <v>1367</v>
      </c>
      <c r="D127" s="813" t="s">
        <v>1373</v>
      </c>
    </row>
    <row r="128" spans="1:4" x14ac:dyDescent="0.25">
      <c r="A128" s="993" t="s">
        <v>1143</v>
      </c>
      <c r="B128" s="992" t="s">
        <v>1245</v>
      </c>
      <c r="C128" s="1821" t="s">
        <v>1367</v>
      </c>
      <c r="D128" s="813" t="s">
        <v>1373</v>
      </c>
    </row>
    <row r="129" spans="1:4" x14ac:dyDescent="0.25">
      <c r="A129" s="993" t="s">
        <v>1141</v>
      </c>
      <c r="B129" s="992" t="s">
        <v>1245</v>
      </c>
      <c r="C129" s="1821" t="s">
        <v>1367</v>
      </c>
      <c r="D129" s="813" t="s">
        <v>1373</v>
      </c>
    </row>
    <row r="130" spans="1:4" x14ac:dyDescent="0.25">
      <c r="A130" s="995" t="s">
        <v>1139</v>
      </c>
      <c r="B130" s="996" t="s">
        <v>1253</v>
      </c>
      <c r="C130" s="1821" t="s">
        <v>1367</v>
      </c>
      <c r="D130" s="813" t="s">
        <v>1373</v>
      </c>
    </row>
    <row r="131" spans="1:4" x14ac:dyDescent="0.25">
      <c r="A131" s="989" t="s">
        <v>1135</v>
      </c>
      <c r="B131" s="990" t="s">
        <v>1099</v>
      </c>
      <c r="C131" s="1821" t="s">
        <v>1367</v>
      </c>
      <c r="D131" s="813" t="s">
        <v>1373</v>
      </c>
    </row>
    <row r="132" spans="1:4" x14ac:dyDescent="0.25">
      <c r="A132" s="993" t="s">
        <v>1133</v>
      </c>
      <c r="B132" s="994" t="s">
        <v>1132</v>
      </c>
      <c r="C132" s="1821" t="s">
        <v>1367</v>
      </c>
      <c r="D132" s="813" t="s">
        <v>1373</v>
      </c>
    </row>
    <row r="133" spans="1:4" x14ac:dyDescent="0.25">
      <c r="A133" s="993" t="s">
        <v>1131</v>
      </c>
      <c r="B133" s="992" t="s">
        <v>1254</v>
      </c>
      <c r="C133" s="1821" t="s">
        <v>1367</v>
      </c>
      <c r="D133" s="813" t="s">
        <v>1373</v>
      </c>
    </row>
    <row r="134" spans="1:4" x14ac:dyDescent="0.25">
      <c r="A134" s="993" t="s">
        <v>1129</v>
      </c>
      <c r="B134" s="992" t="s">
        <v>1369</v>
      </c>
      <c r="C134" s="1821" t="s">
        <v>1367</v>
      </c>
      <c r="D134" s="813" t="s">
        <v>1373</v>
      </c>
    </row>
    <row r="135" spans="1:4" x14ac:dyDescent="0.25">
      <c r="A135" s="991" t="s">
        <v>1223</v>
      </c>
      <c r="B135" s="992" t="s">
        <v>1245</v>
      </c>
      <c r="C135" s="1821" t="s">
        <v>1367</v>
      </c>
      <c r="D135" s="813" t="s">
        <v>1373</v>
      </c>
    </row>
    <row r="136" spans="1:4" x14ac:dyDescent="0.25">
      <c r="A136" s="993" t="s">
        <v>1128</v>
      </c>
      <c r="B136" s="992" t="s">
        <v>1369</v>
      </c>
      <c r="C136" s="1821" t="s">
        <v>1367</v>
      </c>
      <c r="D136" s="813" t="s">
        <v>1373</v>
      </c>
    </row>
    <row r="137" spans="1:4" x14ac:dyDescent="0.25">
      <c r="A137" s="991" t="s">
        <v>1224</v>
      </c>
      <c r="B137" s="992" t="s">
        <v>1246</v>
      </c>
      <c r="C137" s="1821" t="s">
        <v>1367</v>
      </c>
      <c r="D137" s="813" t="s">
        <v>1373</v>
      </c>
    </row>
    <row r="138" spans="1:4" x14ac:dyDescent="0.25">
      <c r="A138" s="993">
        <v>7.5</v>
      </c>
      <c r="B138" s="992" t="s">
        <v>1099</v>
      </c>
      <c r="C138" s="1821" t="s">
        <v>1367</v>
      </c>
      <c r="D138" s="813" t="s">
        <v>1373</v>
      </c>
    </row>
    <row r="139" spans="1:4" x14ac:dyDescent="0.25">
      <c r="A139" s="993">
        <v>7.6</v>
      </c>
      <c r="B139" s="992" t="s">
        <v>1099</v>
      </c>
      <c r="C139" s="1821" t="s">
        <v>1367</v>
      </c>
      <c r="D139" s="813" t="s">
        <v>1373</v>
      </c>
    </row>
    <row r="140" spans="1:4" x14ac:dyDescent="0.25">
      <c r="A140" s="993">
        <v>7.7</v>
      </c>
      <c r="B140" s="992" t="s">
        <v>1099</v>
      </c>
      <c r="C140" s="1821" t="s">
        <v>1367</v>
      </c>
      <c r="D140" s="813" t="s">
        <v>1373</v>
      </c>
    </row>
    <row r="141" spans="1:4" x14ac:dyDescent="0.25">
      <c r="A141" s="993">
        <v>7.8</v>
      </c>
      <c r="B141" s="992" t="s">
        <v>1099</v>
      </c>
      <c r="C141" s="1821" t="s">
        <v>1367</v>
      </c>
      <c r="D141" s="813" t="s">
        <v>1373</v>
      </c>
    </row>
    <row r="142" spans="1:4" x14ac:dyDescent="0.25">
      <c r="A142" s="1005" t="s">
        <v>1123</v>
      </c>
      <c r="B142" s="992" t="s">
        <v>1369</v>
      </c>
      <c r="C142" s="1821" t="s">
        <v>1367</v>
      </c>
      <c r="D142" s="813" t="s">
        <v>1373</v>
      </c>
    </row>
    <row r="143" spans="1:4" x14ac:dyDescent="0.25">
      <c r="A143" s="993" t="s">
        <v>1122</v>
      </c>
      <c r="B143" s="992" t="s">
        <v>1099</v>
      </c>
      <c r="C143" s="1821" t="s">
        <v>1367</v>
      </c>
      <c r="D143" s="813" t="s">
        <v>1373</v>
      </c>
    </row>
    <row r="144" spans="1:4" x14ac:dyDescent="0.25">
      <c r="A144" s="993" t="s">
        <v>1120</v>
      </c>
      <c r="B144" s="992" t="s">
        <v>1099</v>
      </c>
      <c r="C144" s="1821" t="s">
        <v>1367</v>
      </c>
      <c r="D144" s="813" t="s">
        <v>1373</v>
      </c>
    </row>
    <row r="145" spans="1:4" x14ac:dyDescent="0.25">
      <c r="A145" s="993" t="s">
        <v>1118</v>
      </c>
      <c r="B145" s="992" t="s">
        <v>1099</v>
      </c>
      <c r="C145" s="1821" t="s">
        <v>1367</v>
      </c>
      <c r="D145" s="813" t="s">
        <v>1373</v>
      </c>
    </row>
    <row r="146" spans="1:4" x14ac:dyDescent="0.25">
      <c r="A146" s="993">
        <v>7.11</v>
      </c>
      <c r="B146" s="992" t="s">
        <v>1099</v>
      </c>
      <c r="C146" s="1821" t="s">
        <v>1367</v>
      </c>
      <c r="D146" s="813" t="s">
        <v>1373</v>
      </c>
    </row>
    <row r="147" spans="1:4" x14ac:dyDescent="0.25">
      <c r="A147" s="993">
        <v>7.12</v>
      </c>
      <c r="B147" s="992" t="s">
        <v>1099</v>
      </c>
      <c r="C147" s="1821" t="s">
        <v>1367</v>
      </c>
      <c r="D147" s="813" t="s">
        <v>1373</v>
      </c>
    </row>
    <row r="148" spans="1:4" x14ac:dyDescent="0.25">
      <c r="A148" s="993">
        <v>7.13</v>
      </c>
      <c r="B148" s="992" t="s">
        <v>1369</v>
      </c>
      <c r="C148" s="1821" t="s">
        <v>1367</v>
      </c>
      <c r="D148" s="813" t="s">
        <v>1373</v>
      </c>
    </row>
    <row r="149" spans="1:4" x14ac:dyDescent="0.25">
      <c r="A149" s="993">
        <v>7.14</v>
      </c>
      <c r="B149" s="992" t="s">
        <v>1099</v>
      </c>
      <c r="C149" s="1821" t="s">
        <v>1367</v>
      </c>
      <c r="D149" s="813" t="s">
        <v>1373</v>
      </c>
    </row>
    <row r="150" spans="1:4" x14ac:dyDescent="0.25">
      <c r="A150" s="993">
        <v>7.15</v>
      </c>
      <c r="B150" s="992" t="s">
        <v>1099</v>
      </c>
      <c r="C150" s="1821" t="s">
        <v>1367</v>
      </c>
      <c r="D150" s="813" t="s">
        <v>1373</v>
      </c>
    </row>
    <row r="151" spans="1:4" x14ac:dyDescent="0.25">
      <c r="A151" s="993">
        <v>7.16</v>
      </c>
      <c r="B151" s="992" t="s">
        <v>1099</v>
      </c>
      <c r="C151" s="1821" t="s">
        <v>1367</v>
      </c>
      <c r="D151" s="813" t="s">
        <v>1373</v>
      </c>
    </row>
    <row r="152" spans="1:4" x14ac:dyDescent="0.25">
      <c r="A152" s="995">
        <v>7.17</v>
      </c>
      <c r="B152" s="996" t="s">
        <v>1255</v>
      </c>
      <c r="C152" s="1821" t="s">
        <v>1367</v>
      </c>
      <c r="D152" s="813" t="s">
        <v>1373</v>
      </c>
    </row>
    <row r="153" spans="1:4" x14ac:dyDescent="0.25">
      <c r="A153" s="989" t="s">
        <v>1105</v>
      </c>
      <c r="B153" s="990" t="s">
        <v>1099</v>
      </c>
      <c r="C153" s="1821" t="s">
        <v>1367</v>
      </c>
      <c r="D153" s="813" t="s">
        <v>1373</v>
      </c>
    </row>
    <row r="154" spans="1:4" x14ac:dyDescent="0.25">
      <c r="A154" s="993" t="s">
        <v>1103</v>
      </c>
      <c r="B154" s="992" t="s">
        <v>1099</v>
      </c>
      <c r="C154" s="1821" t="s">
        <v>1367</v>
      </c>
      <c r="D154" s="813" t="s">
        <v>1373</v>
      </c>
    </row>
    <row r="155" spans="1:4" x14ac:dyDescent="0.25">
      <c r="A155" s="993" t="s">
        <v>1101</v>
      </c>
      <c r="B155" s="992" t="s">
        <v>1099</v>
      </c>
      <c r="C155" s="1821" t="s">
        <v>1367</v>
      </c>
      <c r="D155" s="813" t="s">
        <v>1373</v>
      </c>
    </row>
    <row r="156" spans="1:4" x14ac:dyDescent="0.25">
      <c r="A156" s="993" t="s">
        <v>1098</v>
      </c>
      <c r="B156" s="992" t="s">
        <v>1255</v>
      </c>
      <c r="C156" s="1821" t="s">
        <v>1367</v>
      </c>
      <c r="D156" s="813" t="s">
        <v>1373</v>
      </c>
    </row>
    <row r="157" spans="1:4" x14ac:dyDescent="0.25">
      <c r="A157" s="995" t="s">
        <v>1096</v>
      </c>
      <c r="B157" s="996" t="s">
        <v>1256</v>
      </c>
      <c r="C157" s="1821" t="s">
        <v>1367</v>
      </c>
      <c r="D157" s="813" t="s">
        <v>1373</v>
      </c>
    </row>
    <row r="158" spans="1:4" x14ac:dyDescent="0.25">
      <c r="A158" s="960">
        <v>1.1000000000000001</v>
      </c>
      <c r="B158" s="961" t="s">
        <v>1099</v>
      </c>
      <c r="C158" s="1821" t="s">
        <v>1367</v>
      </c>
      <c r="D158" s="813" t="s">
        <v>1376</v>
      </c>
    </row>
    <row r="159" spans="1:4" x14ac:dyDescent="0.25">
      <c r="A159" s="962">
        <v>1.2</v>
      </c>
      <c r="B159" s="963" t="s">
        <v>1244</v>
      </c>
      <c r="C159" s="1821" t="s">
        <v>1367</v>
      </c>
      <c r="D159" s="813" t="s">
        <v>1376</v>
      </c>
    </row>
    <row r="160" spans="1:4" x14ac:dyDescent="0.25">
      <c r="A160" s="972">
        <v>2.1</v>
      </c>
      <c r="B160" s="961" t="s">
        <v>1099</v>
      </c>
      <c r="C160" s="1821" t="s">
        <v>1367</v>
      </c>
      <c r="D160" s="813" t="s">
        <v>1376</v>
      </c>
    </row>
    <row r="161" spans="1:4" x14ac:dyDescent="0.25">
      <c r="A161" s="973">
        <v>2.2000000000000002</v>
      </c>
      <c r="B161" s="974" t="s">
        <v>1369</v>
      </c>
      <c r="C161" s="1821" t="s">
        <v>1367</v>
      </c>
      <c r="D161" s="813" t="s">
        <v>1376</v>
      </c>
    </row>
    <row r="162" spans="1:4" x14ac:dyDescent="0.25">
      <c r="A162" s="973">
        <v>2.2999999999999998</v>
      </c>
      <c r="B162" s="974" t="s">
        <v>1099</v>
      </c>
      <c r="C162" s="1821" t="s">
        <v>1367</v>
      </c>
      <c r="D162" s="813" t="s">
        <v>1376</v>
      </c>
    </row>
    <row r="163" spans="1:4" x14ac:dyDescent="0.25">
      <c r="A163" s="973">
        <v>2.4</v>
      </c>
      <c r="B163" s="974" t="s">
        <v>1245</v>
      </c>
      <c r="C163" s="1821" t="s">
        <v>1367</v>
      </c>
      <c r="D163" s="813" t="s">
        <v>1376</v>
      </c>
    </row>
    <row r="164" spans="1:4" x14ac:dyDescent="0.25">
      <c r="A164" s="973">
        <v>2.5</v>
      </c>
      <c r="B164" s="974" t="s">
        <v>1368</v>
      </c>
      <c r="C164" s="1821" t="s">
        <v>1367</v>
      </c>
      <c r="D164" s="813" t="s">
        <v>1376</v>
      </c>
    </row>
    <row r="165" spans="1:4" x14ac:dyDescent="0.25">
      <c r="A165" s="973">
        <v>2.6</v>
      </c>
      <c r="B165" s="974" t="s">
        <v>1246</v>
      </c>
      <c r="C165" s="1821" t="s">
        <v>1367</v>
      </c>
      <c r="D165" s="813" t="s">
        <v>1376</v>
      </c>
    </row>
    <row r="166" spans="1:4" x14ac:dyDescent="0.25">
      <c r="A166" s="976" t="s">
        <v>1227</v>
      </c>
      <c r="B166" s="974" t="s">
        <v>1369</v>
      </c>
      <c r="C166" s="1821" t="s">
        <v>1367</v>
      </c>
      <c r="D166" s="813" t="s">
        <v>1376</v>
      </c>
    </row>
    <row r="167" spans="1:4" x14ac:dyDescent="0.25">
      <c r="A167" s="973" t="s">
        <v>1208</v>
      </c>
      <c r="B167" s="974" t="s">
        <v>1370</v>
      </c>
      <c r="C167" s="1821" t="s">
        <v>1367</v>
      </c>
      <c r="D167" s="813" t="s">
        <v>1376</v>
      </c>
    </row>
    <row r="168" spans="1:4" x14ac:dyDescent="0.25">
      <c r="A168" s="973">
        <v>2.8</v>
      </c>
      <c r="B168" s="974" t="s">
        <v>1249</v>
      </c>
      <c r="C168" s="1821" t="s">
        <v>1367</v>
      </c>
      <c r="D168" s="813" t="s">
        <v>1376</v>
      </c>
    </row>
    <row r="169" spans="1:4" x14ac:dyDescent="0.25">
      <c r="A169" s="973">
        <v>2.9</v>
      </c>
      <c r="B169" s="974" t="s">
        <v>1247</v>
      </c>
      <c r="C169" s="1821" t="s">
        <v>1367</v>
      </c>
      <c r="D169" s="813" t="s">
        <v>1376</v>
      </c>
    </row>
    <row r="170" spans="1:4" x14ac:dyDescent="0.25">
      <c r="A170" s="979" t="s">
        <v>1204</v>
      </c>
      <c r="B170" s="963" t="s">
        <v>1246</v>
      </c>
      <c r="C170" s="1821" t="s">
        <v>1367</v>
      </c>
      <c r="D170" s="813" t="s">
        <v>1376</v>
      </c>
    </row>
    <row r="171" spans="1:4" x14ac:dyDescent="0.25">
      <c r="A171" s="972" t="s">
        <v>1200</v>
      </c>
      <c r="B171" s="961" t="s">
        <v>1099</v>
      </c>
      <c r="C171" s="1821" t="s">
        <v>1367</v>
      </c>
      <c r="D171" s="813" t="s">
        <v>1376</v>
      </c>
    </row>
    <row r="172" spans="1:4" x14ac:dyDescent="0.25">
      <c r="A172" s="973" t="s">
        <v>1198</v>
      </c>
      <c r="B172" s="974" t="s">
        <v>1099</v>
      </c>
      <c r="C172" s="1821" t="s">
        <v>1367</v>
      </c>
      <c r="D172" s="813" t="s">
        <v>1376</v>
      </c>
    </row>
    <row r="173" spans="1:4" x14ac:dyDescent="0.25">
      <c r="A173" s="973" t="s">
        <v>1196</v>
      </c>
      <c r="B173" s="980" t="s">
        <v>1195</v>
      </c>
      <c r="C173" s="1821" t="s">
        <v>1367</v>
      </c>
      <c r="D173" s="813" t="s">
        <v>1376</v>
      </c>
    </row>
    <row r="174" spans="1:4" x14ac:dyDescent="0.25">
      <c r="A174" s="973" t="s">
        <v>1194</v>
      </c>
      <c r="B174" s="974" t="s">
        <v>1245</v>
      </c>
      <c r="C174" s="1821" t="s">
        <v>1367</v>
      </c>
      <c r="D174" s="813" t="s">
        <v>1376</v>
      </c>
    </row>
    <row r="175" spans="1:4" x14ac:dyDescent="0.25">
      <c r="A175" s="973" t="s">
        <v>1193</v>
      </c>
      <c r="B175" s="974" t="s">
        <v>1242</v>
      </c>
      <c r="C175" s="1821" t="s">
        <v>1367</v>
      </c>
      <c r="D175" s="813" t="s">
        <v>1376</v>
      </c>
    </row>
    <row r="176" spans="1:4" x14ac:dyDescent="0.25">
      <c r="A176" s="973" t="s">
        <v>1191</v>
      </c>
      <c r="B176" s="980" t="s">
        <v>1189</v>
      </c>
      <c r="C176" s="1821" t="s">
        <v>1367</v>
      </c>
      <c r="D176" s="813" t="s">
        <v>1376</v>
      </c>
    </row>
    <row r="177" spans="1:4" x14ac:dyDescent="0.25">
      <c r="A177" s="973" t="s">
        <v>1188</v>
      </c>
      <c r="B177" s="974" t="s">
        <v>1248</v>
      </c>
      <c r="C177" s="1821" t="s">
        <v>1367</v>
      </c>
      <c r="D177" s="813" t="s">
        <v>1376</v>
      </c>
    </row>
    <row r="178" spans="1:4" x14ac:dyDescent="0.25">
      <c r="A178" s="973" t="s">
        <v>1186</v>
      </c>
      <c r="B178" s="963" t="s">
        <v>1099</v>
      </c>
      <c r="C178" s="1821" t="s">
        <v>1367</v>
      </c>
      <c r="D178" s="813" t="s">
        <v>1376</v>
      </c>
    </row>
    <row r="179" spans="1:4" x14ac:dyDescent="0.25">
      <c r="A179" s="981" t="s">
        <v>1182</v>
      </c>
      <c r="B179" s="982" t="s">
        <v>1099</v>
      </c>
      <c r="C179" s="1821" t="s">
        <v>1367</v>
      </c>
      <c r="D179" s="813" t="s">
        <v>1376</v>
      </c>
    </row>
    <row r="180" spans="1:4" x14ac:dyDescent="0.25">
      <c r="A180" s="983" t="s">
        <v>1181</v>
      </c>
      <c r="B180" s="984" t="s">
        <v>1248</v>
      </c>
      <c r="C180" s="1821" t="s">
        <v>1367</v>
      </c>
      <c r="D180" s="813" t="s">
        <v>1376</v>
      </c>
    </row>
    <row r="181" spans="1:4" x14ac:dyDescent="0.25">
      <c r="A181" s="983" t="s">
        <v>1180</v>
      </c>
      <c r="B181" s="985" t="s">
        <v>1250</v>
      </c>
      <c r="C181" s="1821" t="s">
        <v>1367</v>
      </c>
      <c r="D181" s="813" t="s">
        <v>1376</v>
      </c>
    </row>
    <row r="182" spans="1:4" x14ac:dyDescent="0.25">
      <c r="A182" s="989" t="s">
        <v>1176</v>
      </c>
      <c r="B182" s="990" t="s">
        <v>1369</v>
      </c>
      <c r="C182" s="1821" t="s">
        <v>1367</v>
      </c>
      <c r="D182" s="813" t="s">
        <v>1376</v>
      </c>
    </row>
    <row r="183" spans="1:4" x14ac:dyDescent="0.25">
      <c r="A183" s="991" t="s">
        <v>1220</v>
      </c>
      <c r="B183" s="992" t="s">
        <v>1099</v>
      </c>
      <c r="C183" s="1821" t="s">
        <v>1367</v>
      </c>
      <c r="D183" s="813" t="s">
        <v>1376</v>
      </c>
    </row>
    <row r="184" spans="1:4" x14ac:dyDescent="0.25">
      <c r="A184" s="993" t="s">
        <v>1175</v>
      </c>
      <c r="B184" s="992" t="s">
        <v>1369</v>
      </c>
      <c r="C184" s="1821" t="s">
        <v>1367</v>
      </c>
      <c r="D184" s="813" t="s">
        <v>1376</v>
      </c>
    </row>
    <row r="185" spans="1:4" x14ac:dyDescent="0.25">
      <c r="A185" s="991" t="s">
        <v>1221</v>
      </c>
      <c r="B185" s="992" t="s">
        <v>1245</v>
      </c>
      <c r="C185" s="1821" t="s">
        <v>1367</v>
      </c>
      <c r="D185" s="813" t="s">
        <v>1376</v>
      </c>
    </row>
    <row r="186" spans="1:4" x14ac:dyDescent="0.25">
      <c r="A186" s="993" t="s">
        <v>1174</v>
      </c>
      <c r="B186" s="992" t="s">
        <v>1099</v>
      </c>
      <c r="C186" s="1821" t="s">
        <v>1367</v>
      </c>
      <c r="D186" s="813" t="s">
        <v>1376</v>
      </c>
    </row>
    <row r="187" spans="1:4" x14ac:dyDescent="0.25">
      <c r="A187" s="993" t="s">
        <v>1172</v>
      </c>
      <c r="B187" s="994" t="s">
        <v>1170</v>
      </c>
      <c r="C187" s="1821" t="s">
        <v>1367</v>
      </c>
      <c r="D187" s="813" t="s">
        <v>1376</v>
      </c>
    </row>
    <row r="188" spans="1:4" x14ac:dyDescent="0.25">
      <c r="A188" s="993" t="s">
        <v>1169</v>
      </c>
      <c r="B188" s="992" t="s">
        <v>1246</v>
      </c>
      <c r="C188" s="1821" t="s">
        <v>1367</v>
      </c>
      <c r="D188" s="813" t="s">
        <v>1376</v>
      </c>
    </row>
    <row r="189" spans="1:4" x14ac:dyDescent="0.25">
      <c r="A189" s="993" t="s">
        <v>1167</v>
      </c>
      <c r="B189" s="992" t="s">
        <v>1099</v>
      </c>
      <c r="C189" s="1821" t="s">
        <v>1367</v>
      </c>
      <c r="D189" s="813" t="s">
        <v>1376</v>
      </c>
    </row>
    <row r="190" spans="1:4" x14ac:dyDescent="0.25">
      <c r="A190" s="993" t="s">
        <v>1165</v>
      </c>
      <c r="B190" s="992" t="s">
        <v>1369</v>
      </c>
      <c r="C190" s="1821" t="s">
        <v>1367</v>
      </c>
      <c r="D190" s="813" t="s">
        <v>1376</v>
      </c>
    </row>
    <row r="191" spans="1:4" x14ac:dyDescent="0.25">
      <c r="A191" s="991" t="s">
        <v>1222</v>
      </c>
      <c r="B191" s="992" t="s">
        <v>1256</v>
      </c>
      <c r="C191" s="1821" t="s">
        <v>1367</v>
      </c>
      <c r="D191" s="813" t="s">
        <v>1376</v>
      </c>
    </row>
    <row r="192" spans="1:4" x14ac:dyDescent="0.25">
      <c r="A192" s="993" t="s">
        <v>1164</v>
      </c>
      <c r="B192" s="992" t="s">
        <v>1240</v>
      </c>
      <c r="C192" s="1821" t="s">
        <v>1367</v>
      </c>
      <c r="D192" s="813" t="s">
        <v>1376</v>
      </c>
    </row>
    <row r="193" spans="1:4" x14ac:dyDescent="0.25">
      <c r="A193" s="993" t="s">
        <v>1163</v>
      </c>
      <c r="B193" s="992" t="s">
        <v>1251</v>
      </c>
      <c r="C193" s="1821" t="s">
        <v>1367</v>
      </c>
      <c r="D193" s="813" t="s">
        <v>1376</v>
      </c>
    </row>
    <row r="194" spans="1:4" x14ac:dyDescent="0.25">
      <c r="A194" s="993" t="s">
        <v>1161</v>
      </c>
      <c r="B194" s="992" t="s">
        <v>1241</v>
      </c>
      <c r="C194" s="1821" t="s">
        <v>1367</v>
      </c>
      <c r="D194" s="813" t="s">
        <v>1376</v>
      </c>
    </row>
    <row r="195" spans="1:4" x14ac:dyDescent="0.25">
      <c r="A195" s="993" t="s">
        <v>1160</v>
      </c>
      <c r="B195" s="992" t="s">
        <v>1099</v>
      </c>
      <c r="C195" s="1821" t="s">
        <v>1367</v>
      </c>
      <c r="D195" s="813" t="s">
        <v>1376</v>
      </c>
    </row>
    <row r="196" spans="1:4" x14ac:dyDescent="0.25">
      <c r="A196" s="993" t="s">
        <v>1158</v>
      </c>
      <c r="B196" s="992" t="s">
        <v>1252</v>
      </c>
      <c r="C196" s="1821" t="s">
        <v>1367</v>
      </c>
      <c r="D196" s="813" t="s">
        <v>1376</v>
      </c>
    </row>
    <row r="197" spans="1:4" x14ac:dyDescent="0.25">
      <c r="A197" s="993">
        <v>5.1100000000000003</v>
      </c>
      <c r="B197" s="992" t="s">
        <v>1374</v>
      </c>
      <c r="C197" s="1821" t="s">
        <v>1367</v>
      </c>
      <c r="D197" s="813" t="s">
        <v>1376</v>
      </c>
    </row>
    <row r="198" spans="1:4" x14ac:dyDescent="0.25">
      <c r="A198" s="993">
        <v>5.12</v>
      </c>
      <c r="B198" s="992" t="s">
        <v>1247</v>
      </c>
      <c r="C198" s="1821" t="s">
        <v>1367</v>
      </c>
      <c r="D198" s="813" t="s">
        <v>1376</v>
      </c>
    </row>
    <row r="199" spans="1:4" x14ac:dyDescent="0.25">
      <c r="A199" s="995">
        <v>5.13</v>
      </c>
      <c r="B199" s="996" t="s">
        <v>1375</v>
      </c>
      <c r="C199" s="1821" t="s">
        <v>1367</v>
      </c>
      <c r="D199" s="813" t="s">
        <v>1376</v>
      </c>
    </row>
    <row r="200" spans="1:4" x14ac:dyDescent="0.25">
      <c r="A200" s="989" t="s">
        <v>1155</v>
      </c>
      <c r="B200" s="990" t="s">
        <v>1099</v>
      </c>
      <c r="C200" s="1821" t="s">
        <v>1367</v>
      </c>
      <c r="D200" s="813" t="s">
        <v>1376</v>
      </c>
    </row>
    <row r="201" spans="1:4" x14ac:dyDescent="0.25">
      <c r="A201" s="993" t="s">
        <v>1153</v>
      </c>
      <c r="B201" s="992" t="s">
        <v>1099</v>
      </c>
      <c r="C201" s="1821" t="s">
        <v>1367</v>
      </c>
      <c r="D201" s="813" t="s">
        <v>1376</v>
      </c>
    </row>
    <row r="202" spans="1:4" x14ac:dyDescent="0.25">
      <c r="A202" s="993" t="s">
        <v>1151</v>
      </c>
      <c r="B202" s="992" t="s">
        <v>1242</v>
      </c>
      <c r="C202" s="1821" t="s">
        <v>1367</v>
      </c>
      <c r="D202" s="813" t="s">
        <v>1376</v>
      </c>
    </row>
    <row r="203" spans="1:4" x14ac:dyDescent="0.25">
      <c r="A203" s="993" t="s">
        <v>1149</v>
      </c>
      <c r="B203" s="992" t="s">
        <v>1243</v>
      </c>
      <c r="C203" s="1821" t="s">
        <v>1367</v>
      </c>
      <c r="D203" s="813" t="s">
        <v>1376</v>
      </c>
    </row>
    <row r="204" spans="1:4" x14ac:dyDescent="0.25">
      <c r="A204" s="993" t="s">
        <v>1147</v>
      </c>
      <c r="B204" s="992" t="s">
        <v>1242</v>
      </c>
      <c r="C204" s="1821" t="s">
        <v>1367</v>
      </c>
      <c r="D204" s="813" t="s">
        <v>1376</v>
      </c>
    </row>
    <row r="205" spans="1:4" x14ac:dyDescent="0.25">
      <c r="A205" s="993" t="s">
        <v>1145</v>
      </c>
      <c r="B205" s="992" t="s">
        <v>1242</v>
      </c>
      <c r="C205" s="1821" t="s">
        <v>1367</v>
      </c>
      <c r="D205" s="813" t="s">
        <v>1376</v>
      </c>
    </row>
    <row r="206" spans="1:4" x14ac:dyDescent="0.25">
      <c r="A206" s="993" t="s">
        <v>1143</v>
      </c>
      <c r="B206" s="992" t="s">
        <v>1245</v>
      </c>
      <c r="C206" s="1821" t="s">
        <v>1367</v>
      </c>
      <c r="D206" s="813" t="s">
        <v>1376</v>
      </c>
    </row>
    <row r="207" spans="1:4" x14ac:dyDescent="0.25">
      <c r="A207" s="993" t="s">
        <v>1141</v>
      </c>
      <c r="B207" s="992" t="s">
        <v>1245</v>
      </c>
      <c r="C207" s="1821" t="s">
        <v>1367</v>
      </c>
      <c r="D207" s="813" t="s">
        <v>1376</v>
      </c>
    </row>
    <row r="208" spans="1:4" x14ac:dyDescent="0.25">
      <c r="A208" s="995" t="s">
        <v>1139</v>
      </c>
      <c r="B208" s="996" t="s">
        <v>1253</v>
      </c>
      <c r="C208" s="1821" t="s">
        <v>1367</v>
      </c>
      <c r="D208" s="813" t="s">
        <v>1376</v>
      </c>
    </row>
    <row r="209" spans="1:4" x14ac:dyDescent="0.25">
      <c r="A209" s="989" t="s">
        <v>1135</v>
      </c>
      <c r="B209" s="990" t="s">
        <v>1099</v>
      </c>
      <c r="C209" s="1821" t="s">
        <v>1367</v>
      </c>
      <c r="D209" s="813" t="s">
        <v>1376</v>
      </c>
    </row>
    <row r="210" spans="1:4" x14ac:dyDescent="0.25">
      <c r="A210" s="993" t="s">
        <v>1133</v>
      </c>
      <c r="B210" s="994" t="s">
        <v>1132</v>
      </c>
      <c r="C210" s="1821" t="s">
        <v>1367</v>
      </c>
      <c r="D210" s="813" t="s">
        <v>1376</v>
      </c>
    </row>
    <row r="211" spans="1:4" x14ac:dyDescent="0.25">
      <c r="A211" s="993" t="s">
        <v>1131</v>
      </c>
      <c r="B211" s="992" t="s">
        <v>1254</v>
      </c>
      <c r="C211" s="1821" t="s">
        <v>1367</v>
      </c>
      <c r="D211" s="813" t="s">
        <v>1376</v>
      </c>
    </row>
    <row r="212" spans="1:4" x14ac:dyDescent="0.25">
      <c r="A212" s="993" t="s">
        <v>1129</v>
      </c>
      <c r="B212" s="992" t="s">
        <v>1099</v>
      </c>
      <c r="C212" s="1821" t="s">
        <v>1367</v>
      </c>
      <c r="D212" s="813" t="s">
        <v>1376</v>
      </c>
    </row>
    <row r="213" spans="1:4" x14ac:dyDescent="0.25">
      <c r="A213" s="991" t="s">
        <v>1223</v>
      </c>
      <c r="B213" s="992" t="s">
        <v>1369</v>
      </c>
      <c r="C213" s="1821" t="s">
        <v>1367</v>
      </c>
      <c r="D213" s="813" t="s">
        <v>1376</v>
      </c>
    </row>
    <row r="214" spans="1:4" x14ac:dyDescent="0.25">
      <c r="A214" s="993" t="s">
        <v>1128</v>
      </c>
      <c r="B214" s="992" t="s">
        <v>1369</v>
      </c>
      <c r="C214" s="1821" t="s">
        <v>1367</v>
      </c>
      <c r="D214" s="813" t="s">
        <v>1376</v>
      </c>
    </row>
    <row r="215" spans="1:4" x14ac:dyDescent="0.25">
      <c r="A215" s="991" t="s">
        <v>1224</v>
      </c>
      <c r="B215" s="992" t="s">
        <v>1246</v>
      </c>
      <c r="C215" s="1821" t="s">
        <v>1367</v>
      </c>
      <c r="D215" s="813" t="s">
        <v>1376</v>
      </c>
    </row>
    <row r="216" spans="1:4" x14ac:dyDescent="0.25">
      <c r="A216" s="993">
        <v>7.5</v>
      </c>
      <c r="B216" s="992" t="s">
        <v>1099</v>
      </c>
      <c r="C216" s="1821" t="s">
        <v>1367</v>
      </c>
      <c r="D216" s="813" t="s">
        <v>1376</v>
      </c>
    </row>
    <row r="217" spans="1:4" x14ac:dyDescent="0.25">
      <c r="A217" s="993">
        <v>7.6</v>
      </c>
      <c r="B217" s="992" t="s">
        <v>1099</v>
      </c>
      <c r="C217" s="1821" t="s">
        <v>1367</v>
      </c>
      <c r="D217" s="813" t="s">
        <v>1376</v>
      </c>
    </row>
    <row r="218" spans="1:4" x14ac:dyDescent="0.25">
      <c r="A218" s="993">
        <v>7.7</v>
      </c>
      <c r="B218" s="992" t="s">
        <v>1099</v>
      </c>
      <c r="C218" s="1821" t="s">
        <v>1367</v>
      </c>
      <c r="D218" s="813" t="s">
        <v>1376</v>
      </c>
    </row>
    <row r="219" spans="1:4" x14ac:dyDescent="0.25">
      <c r="A219" s="993">
        <v>7.8</v>
      </c>
      <c r="B219" s="992" t="s">
        <v>1099</v>
      </c>
      <c r="C219" s="1821" t="s">
        <v>1367</v>
      </c>
      <c r="D219" s="813" t="s">
        <v>1376</v>
      </c>
    </row>
    <row r="220" spans="1:4" x14ac:dyDescent="0.25">
      <c r="A220" s="1005" t="s">
        <v>1123</v>
      </c>
      <c r="B220" s="992" t="s">
        <v>1369</v>
      </c>
      <c r="C220" s="1821" t="s">
        <v>1367</v>
      </c>
      <c r="D220" s="813" t="s">
        <v>1376</v>
      </c>
    </row>
    <row r="221" spans="1:4" x14ac:dyDescent="0.25">
      <c r="A221" s="993" t="s">
        <v>1122</v>
      </c>
      <c r="B221" s="992" t="s">
        <v>1099</v>
      </c>
      <c r="C221" s="1821" t="s">
        <v>1367</v>
      </c>
      <c r="D221" s="813" t="s">
        <v>1376</v>
      </c>
    </row>
    <row r="222" spans="1:4" x14ac:dyDescent="0.25">
      <c r="A222" s="993" t="s">
        <v>1120</v>
      </c>
      <c r="B222" s="992" t="s">
        <v>1099</v>
      </c>
      <c r="C222" s="1821" t="s">
        <v>1367</v>
      </c>
      <c r="D222" s="813" t="s">
        <v>1376</v>
      </c>
    </row>
    <row r="223" spans="1:4" x14ac:dyDescent="0.25">
      <c r="A223" s="993" t="s">
        <v>1118</v>
      </c>
      <c r="B223" s="992" t="s">
        <v>1099</v>
      </c>
      <c r="C223" s="1821" t="s">
        <v>1367</v>
      </c>
      <c r="D223" s="813" t="s">
        <v>1376</v>
      </c>
    </row>
    <row r="224" spans="1:4" x14ac:dyDescent="0.25">
      <c r="A224" s="993">
        <v>7.11</v>
      </c>
      <c r="B224" s="992" t="s">
        <v>1099</v>
      </c>
      <c r="C224" s="1821" t="s">
        <v>1367</v>
      </c>
      <c r="D224" s="813" t="s">
        <v>1376</v>
      </c>
    </row>
    <row r="225" spans="1:4" x14ac:dyDescent="0.25">
      <c r="A225" s="993">
        <v>7.12</v>
      </c>
      <c r="B225" s="992" t="s">
        <v>1099</v>
      </c>
      <c r="C225" s="1821" t="s">
        <v>1367</v>
      </c>
      <c r="D225" s="813" t="s">
        <v>1376</v>
      </c>
    </row>
    <row r="226" spans="1:4" x14ac:dyDescent="0.25">
      <c r="A226" s="993">
        <v>7.13</v>
      </c>
      <c r="B226" s="992" t="s">
        <v>1372</v>
      </c>
      <c r="C226" s="1821" t="s">
        <v>1367</v>
      </c>
      <c r="D226" s="813" t="s">
        <v>1376</v>
      </c>
    </row>
    <row r="227" spans="1:4" x14ac:dyDescent="0.25">
      <c r="A227" s="993">
        <v>7.14</v>
      </c>
      <c r="B227" s="992" t="s">
        <v>1099</v>
      </c>
      <c r="C227" s="1821" t="s">
        <v>1367</v>
      </c>
      <c r="D227" s="813" t="s">
        <v>1376</v>
      </c>
    </row>
    <row r="228" spans="1:4" x14ac:dyDescent="0.25">
      <c r="A228" s="993">
        <v>7.15</v>
      </c>
      <c r="B228" s="992" t="s">
        <v>1099</v>
      </c>
      <c r="C228" s="1821" t="s">
        <v>1367</v>
      </c>
      <c r="D228" s="813" t="s">
        <v>1376</v>
      </c>
    </row>
    <row r="229" spans="1:4" x14ac:dyDescent="0.25">
      <c r="A229" s="993">
        <v>7.16</v>
      </c>
      <c r="B229" s="992" t="s">
        <v>1099</v>
      </c>
      <c r="C229" s="1821" t="s">
        <v>1367</v>
      </c>
      <c r="D229" s="813" t="s">
        <v>1376</v>
      </c>
    </row>
    <row r="230" spans="1:4" x14ac:dyDescent="0.25">
      <c r="A230" s="995">
        <v>7.17</v>
      </c>
      <c r="B230" s="996" t="s">
        <v>1255</v>
      </c>
      <c r="C230" s="1821" t="s">
        <v>1367</v>
      </c>
      <c r="D230" s="813" t="s">
        <v>1376</v>
      </c>
    </row>
    <row r="231" spans="1:4" x14ac:dyDescent="0.25">
      <c r="A231" s="989" t="s">
        <v>1105</v>
      </c>
      <c r="B231" s="990" t="s">
        <v>1099</v>
      </c>
      <c r="C231" s="1821" t="s">
        <v>1367</v>
      </c>
      <c r="D231" s="813" t="s">
        <v>1376</v>
      </c>
    </row>
    <row r="232" spans="1:4" x14ac:dyDescent="0.25">
      <c r="A232" s="993" t="s">
        <v>1103</v>
      </c>
      <c r="B232" s="992" t="s">
        <v>1099</v>
      </c>
      <c r="C232" s="1821" t="s">
        <v>1367</v>
      </c>
      <c r="D232" s="813" t="s">
        <v>1376</v>
      </c>
    </row>
    <row r="233" spans="1:4" x14ac:dyDescent="0.25">
      <c r="A233" s="993" t="s">
        <v>1101</v>
      </c>
      <c r="B233" s="992" t="s">
        <v>1099</v>
      </c>
      <c r="C233" s="1821" t="s">
        <v>1367</v>
      </c>
      <c r="D233" s="813" t="s">
        <v>1376</v>
      </c>
    </row>
    <row r="234" spans="1:4" x14ac:dyDescent="0.25">
      <c r="A234" s="993" t="s">
        <v>1098</v>
      </c>
      <c r="B234" s="992" t="s">
        <v>1255</v>
      </c>
      <c r="C234" s="1821" t="s">
        <v>1367</v>
      </c>
      <c r="D234" s="813" t="s">
        <v>1376</v>
      </c>
    </row>
    <row r="235" spans="1:4" x14ac:dyDescent="0.25">
      <c r="A235" s="995" t="s">
        <v>1096</v>
      </c>
      <c r="B235" s="996" t="s">
        <v>1256</v>
      </c>
      <c r="C235" s="1821" t="s">
        <v>1367</v>
      </c>
      <c r="D235" s="813" t="s">
        <v>1376</v>
      </c>
    </row>
    <row r="236" spans="1:4" x14ac:dyDescent="0.25">
      <c r="A236" s="960">
        <v>1.1000000000000001</v>
      </c>
      <c r="B236" s="961" t="s">
        <v>1099</v>
      </c>
      <c r="C236" s="1822" t="s">
        <v>1362</v>
      </c>
      <c r="D236" s="813" t="s">
        <v>29</v>
      </c>
    </row>
    <row r="237" spans="1:4" x14ac:dyDescent="0.25">
      <c r="A237" s="962">
        <v>1.2</v>
      </c>
      <c r="B237" s="963" t="s">
        <v>1244</v>
      </c>
      <c r="C237" s="1822" t="s">
        <v>1362</v>
      </c>
      <c r="D237" s="813" t="s">
        <v>29</v>
      </c>
    </row>
    <row r="238" spans="1:4" x14ac:dyDescent="0.25">
      <c r="A238" s="972">
        <v>2.1</v>
      </c>
      <c r="B238" s="961" t="s">
        <v>1099</v>
      </c>
      <c r="C238" s="1822" t="s">
        <v>1362</v>
      </c>
      <c r="D238" s="813" t="s">
        <v>29</v>
      </c>
    </row>
    <row r="239" spans="1:4" x14ac:dyDescent="0.25">
      <c r="A239" s="973">
        <v>2.2000000000000002</v>
      </c>
      <c r="B239" s="974" t="s">
        <v>1099</v>
      </c>
      <c r="C239" s="1822" t="s">
        <v>1362</v>
      </c>
      <c r="D239" s="813" t="s">
        <v>29</v>
      </c>
    </row>
    <row r="240" spans="1:4" x14ac:dyDescent="0.25">
      <c r="A240" s="973">
        <v>2.2999999999999998</v>
      </c>
      <c r="B240" s="974" t="s">
        <v>1099</v>
      </c>
      <c r="C240" s="1822" t="s">
        <v>1362</v>
      </c>
      <c r="D240" s="813" t="s">
        <v>29</v>
      </c>
    </row>
    <row r="241" spans="1:4" x14ac:dyDescent="0.25">
      <c r="A241" s="973">
        <v>2.4</v>
      </c>
      <c r="B241" s="974" t="s">
        <v>1245</v>
      </c>
      <c r="C241" s="1822" t="s">
        <v>1362</v>
      </c>
      <c r="D241" s="813" t="s">
        <v>29</v>
      </c>
    </row>
    <row r="242" spans="1:4" x14ac:dyDescent="0.25">
      <c r="A242" s="973">
        <v>2.5</v>
      </c>
      <c r="B242" s="974" t="s">
        <v>1368</v>
      </c>
      <c r="C242" s="1822" t="s">
        <v>1362</v>
      </c>
      <c r="D242" s="813" t="s">
        <v>29</v>
      </c>
    </row>
    <row r="243" spans="1:4" x14ac:dyDescent="0.25">
      <c r="A243" s="973">
        <v>2.6</v>
      </c>
      <c r="B243" s="974" t="s">
        <v>1246</v>
      </c>
      <c r="C243" s="1822" t="s">
        <v>1362</v>
      </c>
      <c r="D243" s="813" t="s">
        <v>29</v>
      </c>
    </row>
    <row r="244" spans="1:4" x14ac:dyDescent="0.25">
      <c r="A244" s="976" t="s">
        <v>1227</v>
      </c>
      <c r="B244" s="974" t="s">
        <v>1099</v>
      </c>
      <c r="C244" s="1822" t="s">
        <v>1362</v>
      </c>
      <c r="D244" s="813" t="s">
        <v>29</v>
      </c>
    </row>
    <row r="245" spans="1:4" x14ac:dyDescent="0.25">
      <c r="A245" s="973" t="s">
        <v>1208</v>
      </c>
      <c r="B245" s="974" t="s">
        <v>1377</v>
      </c>
      <c r="C245" s="1822" t="s">
        <v>1362</v>
      </c>
      <c r="D245" s="813" t="s">
        <v>29</v>
      </c>
    </row>
    <row r="246" spans="1:4" x14ac:dyDescent="0.25">
      <c r="A246" s="973">
        <v>2.8</v>
      </c>
      <c r="B246" s="974" t="s">
        <v>1249</v>
      </c>
      <c r="C246" s="1822" t="s">
        <v>1362</v>
      </c>
      <c r="D246" s="813" t="s">
        <v>29</v>
      </c>
    </row>
    <row r="247" spans="1:4" x14ac:dyDescent="0.25">
      <c r="A247" s="973">
        <v>2.9</v>
      </c>
      <c r="B247" s="974" t="s">
        <v>1247</v>
      </c>
      <c r="C247" s="1822" t="s">
        <v>1362</v>
      </c>
      <c r="D247" s="813" t="s">
        <v>29</v>
      </c>
    </row>
    <row r="248" spans="1:4" x14ac:dyDescent="0.25">
      <c r="A248" s="979" t="s">
        <v>1204</v>
      </c>
      <c r="B248" s="963" t="s">
        <v>1246</v>
      </c>
      <c r="C248" s="1822" t="s">
        <v>1362</v>
      </c>
      <c r="D248" s="813" t="s">
        <v>29</v>
      </c>
    </row>
    <row r="249" spans="1:4" x14ac:dyDescent="0.25">
      <c r="A249" s="972" t="s">
        <v>1200</v>
      </c>
      <c r="B249" s="961" t="s">
        <v>1099</v>
      </c>
      <c r="C249" s="1822" t="s">
        <v>1362</v>
      </c>
      <c r="D249" s="813" t="s">
        <v>29</v>
      </c>
    </row>
    <row r="250" spans="1:4" x14ac:dyDescent="0.25">
      <c r="A250" s="973" t="s">
        <v>1198</v>
      </c>
      <c r="B250" s="974" t="s">
        <v>1099</v>
      </c>
      <c r="C250" s="1822" t="s">
        <v>1362</v>
      </c>
      <c r="D250" s="813" t="s">
        <v>29</v>
      </c>
    </row>
    <row r="251" spans="1:4" x14ac:dyDescent="0.25">
      <c r="A251" s="973" t="s">
        <v>1196</v>
      </c>
      <c r="B251" s="980" t="s">
        <v>1195</v>
      </c>
      <c r="C251" s="1822" t="s">
        <v>1362</v>
      </c>
      <c r="D251" s="813" t="s">
        <v>29</v>
      </c>
    </row>
    <row r="252" spans="1:4" x14ac:dyDescent="0.25">
      <c r="A252" s="973" t="s">
        <v>1194</v>
      </c>
      <c r="B252" s="974" t="s">
        <v>1245</v>
      </c>
      <c r="C252" s="1822" t="s">
        <v>1362</v>
      </c>
      <c r="D252" s="813" t="s">
        <v>29</v>
      </c>
    </row>
    <row r="253" spans="1:4" x14ac:dyDescent="0.25">
      <c r="A253" s="973" t="s">
        <v>1193</v>
      </c>
      <c r="B253" s="974" t="s">
        <v>1242</v>
      </c>
      <c r="C253" s="1822" t="s">
        <v>1362</v>
      </c>
      <c r="D253" s="813" t="s">
        <v>29</v>
      </c>
    </row>
    <row r="254" spans="1:4" x14ac:dyDescent="0.25">
      <c r="A254" s="973" t="s">
        <v>1191</v>
      </c>
      <c r="B254" s="980" t="s">
        <v>1189</v>
      </c>
      <c r="C254" s="1822" t="s">
        <v>1362</v>
      </c>
      <c r="D254" s="813" t="s">
        <v>29</v>
      </c>
    </row>
    <row r="255" spans="1:4" x14ac:dyDescent="0.25">
      <c r="A255" s="973" t="s">
        <v>1188</v>
      </c>
      <c r="B255" s="974" t="s">
        <v>1248</v>
      </c>
      <c r="C255" s="1822" t="s">
        <v>1362</v>
      </c>
      <c r="D255" s="813" t="s">
        <v>29</v>
      </c>
    </row>
    <row r="256" spans="1:4" x14ac:dyDescent="0.25">
      <c r="A256" s="973" t="s">
        <v>1186</v>
      </c>
      <c r="B256" s="963" t="s">
        <v>1099</v>
      </c>
      <c r="C256" s="1822" t="s">
        <v>1362</v>
      </c>
      <c r="D256" s="813" t="s">
        <v>29</v>
      </c>
    </row>
    <row r="257" spans="1:4" x14ac:dyDescent="0.25">
      <c r="A257" s="981" t="s">
        <v>1182</v>
      </c>
      <c r="B257" s="982" t="s">
        <v>1099</v>
      </c>
      <c r="C257" s="1822" t="s">
        <v>1362</v>
      </c>
      <c r="D257" s="813" t="s">
        <v>29</v>
      </c>
    </row>
    <row r="258" spans="1:4" x14ac:dyDescent="0.25">
      <c r="A258" s="983" t="s">
        <v>1181</v>
      </c>
      <c r="B258" s="984" t="s">
        <v>1248</v>
      </c>
      <c r="C258" s="1822" t="s">
        <v>1362</v>
      </c>
      <c r="D258" s="813" t="s">
        <v>29</v>
      </c>
    </row>
    <row r="259" spans="1:4" x14ac:dyDescent="0.25">
      <c r="A259" s="983" t="s">
        <v>1180</v>
      </c>
      <c r="B259" s="985" t="s">
        <v>1250</v>
      </c>
      <c r="C259" s="1822" t="s">
        <v>1362</v>
      </c>
      <c r="D259" s="813" t="s">
        <v>29</v>
      </c>
    </row>
    <row r="260" spans="1:4" x14ac:dyDescent="0.25">
      <c r="A260" s="989" t="s">
        <v>1176</v>
      </c>
      <c r="B260" s="990" t="s">
        <v>1099</v>
      </c>
      <c r="C260" s="1822" t="s">
        <v>1362</v>
      </c>
      <c r="D260" s="813" t="s">
        <v>29</v>
      </c>
    </row>
    <row r="261" spans="1:4" x14ac:dyDescent="0.25">
      <c r="A261" s="991" t="s">
        <v>1220</v>
      </c>
      <c r="B261" s="992" t="s">
        <v>1369</v>
      </c>
      <c r="C261" s="1822" t="s">
        <v>1362</v>
      </c>
      <c r="D261" s="813" t="s">
        <v>29</v>
      </c>
    </row>
    <row r="262" spans="1:4" x14ac:dyDescent="0.25">
      <c r="A262" s="993" t="s">
        <v>1175</v>
      </c>
      <c r="B262" s="992" t="s">
        <v>1371</v>
      </c>
      <c r="C262" s="1822" t="s">
        <v>1362</v>
      </c>
      <c r="D262" s="813" t="s">
        <v>29</v>
      </c>
    </row>
    <row r="263" spans="1:4" x14ac:dyDescent="0.25">
      <c r="A263" s="991" t="s">
        <v>1221</v>
      </c>
      <c r="B263" s="992" t="s">
        <v>1369</v>
      </c>
      <c r="C263" s="1822" t="s">
        <v>1362</v>
      </c>
      <c r="D263" s="813" t="s">
        <v>29</v>
      </c>
    </row>
    <row r="264" spans="1:4" x14ac:dyDescent="0.25">
      <c r="A264" s="993" t="s">
        <v>1174</v>
      </c>
      <c r="B264" s="992" t="s">
        <v>1099</v>
      </c>
      <c r="C264" s="1822" t="s">
        <v>1362</v>
      </c>
      <c r="D264" s="813" t="s">
        <v>29</v>
      </c>
    </row>
    <row r="265" spans="1:4" x14ac:dyDescent="0.25">
      <c r="A265" s="993" t="s">
        <v>1172</v>
      </c>
      <c r="B265" s="994" t="s">
        <v>1170</v>
      </c>
      <c r="C265" s="1822" t="s">
        <v>1362</v>
      </c>
      <c r="D265" s="813" t="s">
        <v>29</v>
      </c>
    </row>
    <row r="266" spans="1:4" x14ac:dyDescent="0.25">
      <c r="A266" s="993" t="s">
        <v>1169</v>
      </c>
      <c r="B266" s="992" t="s">
        <v>1246</v>
      </c>
      <c r="C266" s="1822" t="s">
        <v>1362</v>
      </c>
      <c r="D266" s="813" t="s">
        <v>29</v>
      </c>
    </row>
    <row r="267" spans="1:4" x14ac:dyDescent="0.25">
      <c r="A267" s="993" t="s">
        <v>1167</v>
      </c>
      <c r="B267" s="992" t="s">
        <v>1099</v>
      </c>
      <c r="C267" s="1822" t="s">
        <v>1362</v>
      </c>
      <c r="D267" s="813" t="s">
        <v>29</v>
      </c>
    </row>
    <row r="268" spans="1:4" x14ac:dyDescent="0.25">
      <c r="A268" s="993" t="s">
        <v>1165</v>
      </c>
      <c r="B268" s="992" t="s">
        <v>1099</v>
      </c>
      <c r="C268" s="1822" t="s">
        <v>1362</v>
      </c>
      <c r="D268" s="813" t="s">
        <v>29</v>
      </c>
    </row>
    <row r="269" spans="1:4" x14ac:dyDescent="0.25">
      <c r="A269" s="991" t="s">
        <v>1222</v>
      </c>
      <c r="B269" s="992" t="s">
        <v>1369</v>
      </c>
      <c r="C269" s="1822" t="s">
        <v>1362</v>
      </c>
      <c r="D269" s="813" t="s">
        <v>29</v>
      </c>
    </row>
    <row r="270" spans="1:4" x14ac:dyDescent="0.25">
      <c r="A270" s="993" t="s">
        <v>1164</v>
      </c>
      <c r="B270" s="992" t="s">
        <v>1240</v>
      </c>
      <c r="C270" s="1822" t="s">
        <v>1362</v>
      </c>
      <c r="D270" s="813" t="s">
        <v>29</v>
      </c>
    </row>
    <row r="271" spans="1:4" x14ac:dyDescent="0.25">
      <c r="A271" s="993" t="s">
        <v>1163</v>
      </c>
      <c r="B271" s="992" t="s">
        <v>1251</v>
      </c>
      <c r="C271" s="1822" t="s">
        <v>1362</v>
      </c>
      <c r="D271" s="813" t="s">
        <v>29</v>
      </c>
    </row>
    <row r="272" spans="1:4" x14ac:dyDescent="0.25">
      <c r="A272" s="993" t="s">
        <v>1161</v>
      </c>
      <c r="B272" s="992" t="s">
        <v>1241</v>
      </c>
      <c r="C272" s="1822" t="s">
        <v>1362</v>
      </c>
      <c r="D272" s="813" t="s">
        <v>29</v>
      </c>
    </row>
    <row r="273" spans="1:4" x14ac:dyDescent="0.25">
      <c r="A273" s="993" t="s">
        <v>1160</v>
      </c>
      <c r="B273" s="992" t="s">
        <v>1099</v>
      </c>
      <c r="C273" s="1822" t="s">
        <v>1362</v>
      </c>
      <c r="D273" s="813" t="s">
        <v>29</v>
      </c>
    </row>
    <row r="274" spans="1:4" x14ac:dyDescent="0.25">
      <c r="A274" s="993" t="s">
        <v>1158</v>
      </c>
      <c r="B274" s="992" t="s">
        <v>1252</v>
      </c>
      <c r="C274" s="1822" t="s">
        <v>1362</v>
      </c>
      <c r="D274" s="813" t="s">
        <v>29</v>
      </c>
    </row>
    <row r="275" spans="1:4" x14ac:dyDescent="0.25">
      <c r="A275" s="993">
        <v>5.1100000000000003</v>
      </c>
      <c r="B275" s="992" t="s">
        <v>1369</v>
      </c>
      <c r="C275" s="1822" t="s">
        <v>1362</v>
      </c>
      <c r="D275" s="813" t="s">
        <v>29</v>
      </c>
    </row>
    <row r="276" spans="1:4" x14ac:dyDescent="0.25">
      <c r="A276" s="993">
        <v>5.12</v>
      </c>
      <c r="B276" s="992" t="s">
        <v>1369</v>
      </c>
      <c r="C276" s="1822" t="s">
        <v>1362</v>
      </c>
      <c r="D276" s="813" t="s">
        <v>29</v>
      </c>
    </row>
    <row r="277" spans="1:4" x14ac:dyDescent="0.25">
      <c r="A277" s="995">
        <v>5.13</v>
      </c>
      <c r="B277" s="996" t="s">
        <v>1369</v>
      </c>
      <c r="C277" s="1822" t="s">
        <v>1362</v>
      </c>
      <c r="D277" s="813" t="s">
        <v>29</v>
      </c>
    </row>
    <row r="278" spans="1:4" x14ac:dyDescent="0.25">
      <c r="A278" s="989" t="s">
        <v>1155</v>
      </c>
      <c r="B278" s="990" t="s">
        <v>1099</v>
      </c>
      <c r="C278" s="1822" t="s">
        <v>1362</v>
      </c>
      <c r="D278" s="813" t="s">
        <v>29</v>
      </c>
    </row>
    <row r="279" spans="1:4" x14ac:dyDescent="0.25">
      <c r="A279" s="993" t="s">
        <v>1153</v>
      </c>
      <c r="B279" s="992" t="s">
        <v>1099</v>
      </c>
      <c r="C279" s="1822" t="s">
        <v>1362</v>
      </c>
      <c r="D279" s="813" t="s">
        <v>29</v>
      </c>
    </row>
    <row r="280" spans="1:4" x14ac:dyDescent="0.25">
      <c r="A280" s="993" t="s">
        <v>1151</v>
      </c>
      <c r="B280" s="992" t="s">
        <v>1242</v>
      </c>
      <c r="C280" s="1822" t="s">
        <v>1362</v>
      </c>
      <c r="D280" s="813" t="s">
        <v>29</v>
      </c>
    </row>
    <row r="281" spans="1:4" x14ac:dyDescent="0.25">
      <c r="A281" s="993" t="s">
        <v>1149</v>
      </c>
      <c r="B281" s="992" t="s">
        <v>1243</v>
      </c>
      <c r="C281" s="1822" t="s">
        <v>1362</v>
      </c>
      <c r="D281" s="813" t="s">
        <v>29</v>
      </c>
    </row>
    <row r="282" spans="1:4" x14ac:dyDescent="0.25">
      <c r="A282" s="993" t="s">
        <v>1147</v>
      </c>
      <c r="B282" s="992" t="s">
        <v>1242</v>
      </c>
      <c r="C282" s="1822" t="s">
        <v>1362</v>
      </c>
      <c r="D282" s="813" t="s">
        <v>29</v>
      </c>
    </row>
    <row r="283" spans="1:4" x14ac:dyDescent="0.25">
      <c r="A283" s="993" t="s">
        <v>1145</v>
      </c>
      <c r="B283" s="992" t="s">
        <v>1242</v>
      </c>
      <c r="C283" s="1822" t="s">
        <v>1362</v>
      </c>
      <c r="D283" s="813" t="s">
        <v>29</v>
      </c>
    </row>
    <row r="284" spans="1:4" x14ac:dyDescent="0.25">
      <c r="A284" s="993" t="s">
        <v>1143</v>
      </c>
      <c r="B284" s="992" t="s">
        <v>1245</v>
      </c>
      <c r="C284" s="1822" t="s">
        <v>1362</v>
      </c>
      <c r="D284" s="813" t="s">
        <v>29</v>
      </c>
    </row>
    <row r="285" spans="1:4" x14ac:dyDescent="0.25">
      <c r="A285" s="993" t="s">
        <v>1141</v>
      </c>
      <c r="B285" s="992" t="s">
        <v>1245</v>
      </c>
      <c r="C285" s="1822" t="s">
        <v>1362</v>
      </c>
      <c r="D285" s="813" t="s">
        <v>29</v>
      </c>
    </row>
    <row r="286" spans="1:4" x14ac:dyDescent="0.25">
      <c r="A286" s="995" t="s">
        <v>1139</v>
      </c>
      <c r="B286" s="996" t="s">
        <v>1253</v>
      </c>
      <c r="C286" s="1822" t="s">
        <v>1362</v>
      </c>
      <c r="D286" s="813" t="s">
        <v>29</v>
      </c>
    </row>
    <row r="287" spans="1:4" x14ac:dyDescent="0.25">
      <c r="A287" s="989" t="s">
        <v>1135</v>
      </c>
      <c r="B287" s="990" t="s">
        <v>1099</v>
      </c>
      <c r="C287" s="1822" t="s">
        <v>1362</v>
      </c>
      <c r="D287" s="813" t="s">
        <v>29</v>
      </c>
    </row>
    <row r="288" spans="1:4" x14ac:dyDescent="0.25">
      <c r="A288" s="993" t="s">
        <v>1133</v>
      </c>
      <c r="B288" s="994" t="s">
        <v>1132</v>
      </c>
      <c r="C288" s="1822" t="s">
        <v>1362</v>
      </c>
      <c r="D288" s="813" t="s">
        <v>29</v>
      </c>
    </row>
    <row r="289" spans="1:4" x14ac:dyDescent="0.25">
      <c r="A289" s="993" t="s">
        <v>1131</v>
      </c>
      <c r="B289" s="992" t="s">
        <v>1254</v>
      </c>
      <c r="C289" s="1822" t="s">
        <v>1362</v>
      </c>
      <c r="D289" s="813" t="s">
        <v>29</v>
      </c>
    </row>
    <row r="290" spans="1:4" x14ac:dyDescent="0.25">
      <c r="A290" s="993" t="s">
        <v>1129</v>
      </c>
      <c r="B290" s="992" t="s">
        <v>1099</v>
      </c>
      <c r="C290" s="1822" t="s">
        <v>1362</v>
      </c>
      <c r="D290" s="813" t="s">
        <v>29</v>
      </c>
    </row>
    <row r="291" spans="1:4" x14ac:dyDescent="0.25">
      <c r="A291" s="991" t="s">
        <v>1223</v>
      </c>
      <c r="B291" s="992" t="s">
        <v>1369</v>
      </c>
      <c r="C291" s="1822" t="s">
        <v>1362</v>
      </c>
      <c r="D291" s="813" t="s">
        <v>29</v>
      </c>
    </row>
    <row r="292" spans="1:4" x14ac:dyDescent="0.25">
      <c r="A292" s="993" t="s">
        <v>1128</v>
      </c>
      <c r="B292" s="992" t="s">
        <v>1099</v>
      </c>
      <c r="C292" s="1822" t="s">
        <v>1362</v>
      </c>
      <c r="D292" s="813" t="s">
        <v>29</v>
      </c>
    </row>
    <row r="293" spans="1:4" x14ac:dyDescent="0.25">
      <c r="A293" s="991" t="s">
        <v>1224</v>
      </c>
      <c r="B293" s="992" t="s">
        <v>1369</v>
      </c>
      <c r="C293" s="1822" t="s">
        <v>1362</v>
      </c>
      <c r="D293" s="813" t="s">
        <v>29</v>
      </c>
    </row>
    <row r="294" spans="1:4" x14ac:dyDescent="0.25">
      <c r="A294" s="993">
        <v>7.5</v>
      </c>
      <c r="B294" s="992" t="s">
        <v>1099</v>
      </c>
      <c r="C294" s="1822" t="s">
        <v>1362</v>
      </c>
      <c r="D294" s="813" t="s">
        <v>29</v>
      </c>
    </row>
    <row r="295" spans="1:4" x14ac:dyDescent="0.25">
      <c r="A295" s="993">
        <v>7.6</v>
      </c>
      <c r="B295" s="992" t="s">
        <v>1099</v>
      </c>
      <c r="C295" s="1822" t="s">
        <v>1362</v>
      </c>
      <c r="D295" s="813" t="s">
        <v>29</v>
      </c>
    </row>
    <row r="296" spans="1:4" x14ac:dyDescent="0.25">
      <c r="A296" s="993">
        <v>7.7</v>
      </c>
      <c r="B296" s="992" t="s">
        <v>1099</v>
      </c>
      <c r="C296" s="1822" t="s">
        <v>1362</v>
      </c>
      <c r="D296" s="813" t="s">
        <v>29</v>
      </c>
    </row>
    <row r="297" spans="1:4" x14ac:dyDescent="0.25">
      <c r="A297" s="993">
        <v>7.8</v>
      </c>
      <c r="B297" s="992" t="s">
        <v>1099</v>
      </c>
      <c r="C297" s="1822" t="s">
        <v>1362</v>
      </c>
      <c r="D297" s="813" t="s">
        <v>29</v>
      </c>
    </row>
    <row r="298" spans="1:4" x14ac:dyDescent="0.25">
      <c r="A298" s="1005" t="s">
        <v>1123</v>
      </c>
      <c r="B298" s="992" t="s">
        <v>1099</v>
      </c>
      <c r="C298" s="1822" t="s">
        <v>1362</v>
      </c>
      <c r="D298" s="813" t="s">
        <v>29</v>
      </c>
    </row>
    <row r="299" spans="1:4" x14ac:dyDescent="0.25">
      <c r="A299" s="993" t="s">
        <v>1122</v>
      </c>
      <c r="B299" s="992" t="s">
        <v>1099</v>
      </c>
      <c r="C299" s="1822" t="s">
        <v>1362</v>
      </c>
      <c r="D299" s="813" t="s">
        <v>29</v>
      </c>
    </row>
    <row r="300" spans="1:4" x14ac:dyDescent="0.25">
      <c r="A300" s="993" t="s">
        <v>1120</v>
      </c>
      <c r="B300" s="992" t="s">
        <v>1099</v>
      </c>
      <c r="C300" s="1822" t="s">
        <v>1362</v>
      </c>
      <c r="D300" s="813" t="s">
        <v>29</v>
      </c>
    </row>
    <row r="301" spans="1:4" x14ac:dyDescent="0.25">
      <c r="A301" s="993" t="s">
        <v>1118</v>
      </c>
      <c r="B301" s="992" t="s">
        <v>1099</v>
      </c>
      <c r="C301" s="1822" t="s">
        <v>1362</v>
      </c>
      <c r="D301" s="813" t="s">
        <v>29</v>
      </c>
    </row>
    <row r="302" spans="1:4" x14ac:dyDescent="0.25">
      <c r="A302" s="993">
        <v>7.11</v>
      </c>
      <c r="B302" s="992" t="s">
        <v>1099</v>
      </c>
      <c r="C302" s="1822" t="s">
        <v>1362</v>
      </c>
      <c r="D302" s="813" t="s">
        <v>29</v>
      </c>
    </row>
    <row r="303" spans="1:4" x14ac:dyDescent="0.25">
      <c r="A303" s="993">
        <v>7.12</v>
      </c>
      <c r="B303" s="992" t="s">
        <v>1099</v>
      </c>
      <c r="C303" s="1822" t="s">
        <v>1362</v>
      </c>
      <c r="D303" s="813" t="s">
        <v>29</v>
      </c>
    </row>
    <row r="304" spans="1:4" x14ac:dyDescent="0.25">
      <c r="A304" s="993">
        <v>7.13</v>
      </c>
      <c r="B304" s="992" t="s">
        <v>1372</v>
      </c>
      <c r="C304" s="1822" t="s">
        <v>1362</v>
      </c>
      <c r="D304" s="813" t="s">
        <v>29</v>
      </c>
    </row>
    <row r="305" spans="1:4" x14ac:dyDescent="0.25">
      <c r="A305" s="993">
        <v>7.14</v>
      </c>
      <c r="B305" s="992" t="s">
        <v>1099</v>
      </c>
      <c r="C305" s="1822" t="s">
        <v>1362</v>
      </c>
      <c r="D305" s="813" t="s">
        <v>29</v>
      </c>
    </row>
    <row r="306" spans="1:4" x14ac:dyDescent="0.25">
      <c r="A306" s="993">
        <v>7.15</v>
      </c>
      <c r="B306" s="992" t="s">
        <v>1099</v>
      </c>
      <c r="C306" s="1822" t="s">
        <v>1362</v>
      </c>
      <c r="D306" s="813" t="s">
        <v>29</v>
      </c>
    </row>
    <row r="307" spans="1:4" x14ac:dyDescent="0.25">
      <c r="A307" s="993">
        <v>7.16</v>
      </c>
      <c r="B307" s="992" t="s">
        <v>1099</v>
      </c>
      <c r="C307" s="1822" t="s">
        <v>1362</v>
      </c>
      <c r="D307" s="813" t="s">
        <v>29</v>
      </c>
    </row>
    <row r="308" spans="1:4" x14ac:dyDescent="0.25">
      <c r="A308" s="995">
        <v>7.17</v>
      </c>
      <c r="B308" s="996" t="s">
        <v>1255</v>
      </c>
      <c r="C308" s="1822" t="s">
        <v>1362</v>
      </c>
      <c r="D308" s="813" t="s">
        <v>29</v>
      </c>
    </row>
    <row r="309" spans="1:4" x14ac:dyDescent="0.25">
      <c r="A309" s="989" t="s">
        <v>1105</v>
      </c>
      <c r="B309" s="990" t="s">
        <v>1099</v>
      </c>
      <c r="C309" s="1822" t="s">
        <v>1362</v>
      </c>
      <c r="D309" s="813" t="s">
        <v>29</v>
      </c>
    </row>
    <row r="310" spans="1:4" x14ac:dyDescent="0.25">
      <c r="A310" s="993" t="s">
        <v>1103</v>
      </c>
      <c r="B310" s="992" t="s">
        <v>1099</v>
      </c>
      <c r="C310" s="1822" t="s">
        <v>1362</v>
      </c>
      <c r="D310" s="813" t="s">
        <v>29</v>
      </c>
    </row>
    <row r="311" spans="1:4" x14ac:dyDescent="0.25">
      <c r="A311" s="993" t="s">
        <v>1101</v>
      </c>
      <c r="B311" s="992" t="s">
        <v>1099</v>
      </c>
      <c r="C311" s="1822" t="s">
        <v>1362</v>
      </c>
      <c r="D311" s="813" t="s">
        <v>29</v>
      </c>
    </row>
    <row r="312" spans="1:4" x14ac:dyDescent="0.25">
      <c r="A312" s="993" t="s">
        <v>1098</v>
      </c>
      <c r="B312" s="992" t="s">
        <v>1255</v>
      </c>
      <c r="C312" s="1822" t="s">
        <v>1362</v>
      </c>
      <c r="D312" s="813" t="s">
        <v>29</v>
      </c>
    </row>
    <row r="313" spans="1:4" x14ac:dyDescent="0.25">
      <c r="A313" s="995" t="s">
        <v>1096</v>
      </c>
      <c r="B313" s="996" t="s">
        <v>1256</v>
      </c>
      <c r="C313" s="1822" t="s">
        <v>1362</v>
      </c>
      <c r="D313" s="813" t="s">
        <v>29</v>
      </c>
    </row>
    <row r="314" spans="1:4" x14ac:dyDescent="0.25">
      <c r="A314" s="960">
        <v>1.1000000000000001</v>
      </c>
      <c r="B314" s="961" t="s">
        <v>1099</v>
      </c>
      <c r="C314" s="1822" t="s">
        <v>1362</v>
      </c>
      <c r="D314" s="813" t="s">
        <v>1373</v>
      </c>
    </row>
    <row r="315" spans="1:4" x14ac:dyDescent="0.25">
      <c r="A315" s="962">
        <v>1.2</v>
      </c>
      <c r="B315" s="963" t="s">
        <v>1244</v>
      </c>
      <c r="C315" s="1822" t="s">
        <v>1362</v>
      </c>
      <c r="D315" s="813" t="s">
        <v>1373</v>
      </c>
    </row>
    <row r="316" spans="1:4" x14ac:dyDescent="0.25">
      <c r="A316" s="972">
        <v>2.1</v>
      </c>
      <c r="B316" s="961" t="s">
        <v>1099</v>
      </c>
      <c r="C316" s="1822" t="s">
        <v>1362</v>
      </c>
      <c r="D316" s="813" t="s">
        <v>1373</v>
      </c>
    </row>
    <row r="317" spans="1:4" x14ac:dyDescent="0.25">
      <c r="A317" s="973">
        <v>2.2000000000000002</v>
      </c>
      <c r="B317" s="974" t="s">
        <v>1369</v>
      </c>
      <c r="C317" s="1822" t="s">
        <v>1362</v>
      </c>
      <c r="D317" s="813" t="s">
        <v>1373</v>
      </c>
    </row>
    <row r="318" spans="1:4" x14ac:dyDescent="0.25">
      <c r="A318" s="973">
        <v>2.2999999999999998</v>
      </c>
      <c r="B318" s="974" t="s">
        <v>1099</v>
      </c>
      <c r="C318" s="1822" t="s">
        <v>1362</v>
      </c>
      <c r="D318" s="813" t="s">
        <v>1373</v>
      </c>
    </row>
    <row r="319" spans="1:4" x14ac:dyDescent="0.25">
      <c r="A319" s="973">
        <v>2.4</v>
      </c>
      <c r="B319" s="974" t="s">
        <v>1245</v>
      </c>
      <c r="C319" s="1822" t="s">
        <v>1362</v>
      </c>
      <c r="D319" s="813" t="s">
        <v>1373</v>
      </c>
    </row>
    <row r="320" spans="1:4" x14ac:dyDescent="0.25">
      <c r="A320" s="973">
        <v>2.5</v>
      </c>
      <c r="B320" s="974" t="s">
        <v>1255</v>
      </c>
      <c r="C320" s="1822" t="s">
        <v>1362</v>
      </c>
      <c r="D320" s="813" t="s">
        <v>1373</v>
      </c>
    </row>
    <row r="321" spans="1:4" x14ac:dyDescent="0.25">
      <c r="A321" s="973">
        <v>2.6</v>
      </c>
      <c r="B321" s="974" t="s">
        <v>1246</v>
      </c>
      <c r="C321" s="1822" t="s">
        <v>1362</v>
      </c>
      <c r="D321" s="813" t="s">
        <v>1373</v>
      </c>
    </row>
    <row r="322" spans="1:4" x14ac:dyDescent="0.25">
      <c r="A322" s="976" t="s">
        <v>1227</v>
      </c>
      <c r="B322" s="974" t="s">
        <v>1099</v>
      </c>
      <c r="C322" s="1822" t="s">
        <v>1362</v>
      </c>
      <c r="D322" s="813" t="s">
        <v>1373</v>
      </c>
    </row>
    <row r="323" spans="1:4" x14ac:dyDescent="0.25">
      <c r="A323" s="973" t="s">
        <v>1208</v>
      </c>
      <c r="B323" s="974" t="s">
        <v>1377</v>
      </c>
      <c r="C323" s="1822" t="s">
        <v>1362</v>
      </c>
      <c r="D323" s="813" t="s">
        <v>1373</v>
      </c>
    </row>
    <row r="324" spans="1:4" x14ac:dyDescent="0.25">
      <c r="A324" s="973">
        <v>2.8</v>
      </c>
      <c r="B324" s="974" t="s">
        <v>1249</v>
      </c>
      <c r="C324" s="1822" t="s">
        <v>1362</v>
      </c>
      <c r="D324" s="813" t="s">
        <v>1373</v>
      </c>
    </row>
    <row r="325" spans="1:4" x14ac:dyDescent="0.25">
      <c r="A325" s="973">
        <v>2.9</v>
      </c>
      <c r="B325" s="974" t="s">
        <v>1247</v>
      </c>
      <c r="C325" s="1822" t="s">
        <v>1362</v>
      </c>
      <c r="D325" s="813" t="s">
        <v>1373</v>
      </c>
    </row>
    <row r="326" spans="1:4" x14ac:dyDescent="0.25">
      <c r="A326" s="979" t="s">
        <v>1204</v>
      </c>
      <c r="B326" s="963" t="s">
        <v>1246</v>
      </c>
      <c r="C326" s="1822" t="s">
        <v>1362</v>
      </c>
      <c r="D326" s="813" t="s">
        <v>1373</v>
      </c>
    </row>
    <row r="327" spans="1:4" x14ac:dyDescent="0.25">
      <c r="A327" s="972" t="s">
        <v>1200</v>
      </c>
      <c r="B327" s="961" t="s">
        <v>1099</v>
      </c>
      <c r="C327" s="1822" t="s">
        <v>1362</v>
      </c>
      <c r="D327" s="813" t="s">
        <v>1373</v>
      </c>
    </row>
    <row r="328" spans="1:4" x14ac:dyDescent="0.25">
      <c r="A328" s="973" t="s">
        <v>1198</v>
      </c>
      <c r="B328" s="974" t="s">
        <v>1099</v>
      </c>
      <c r="C328" s="1822" t="s">
        <v>1362</v>
      </c>
      <c r="D328" s="813" t="s">
        <v>1373</v>
      </c>
    </row>
    <row r="329" spans="1:4" x14ac:dyDescent="0.25">
      <c r="A329" s="973" t="s">
        <v>1196</v>
      </c>
      <c r="B329" s="980" t="s">
        <v>1195</v>
      </c>
      <c r="C329" s="1822" t="s">
        <v>1362</v>
      </c>
      <c r="D329" s="813" t="s">
        <v>1373</v>
      </c>
    </row>
    <row r="330" spans="1:4" x14ac:dyDescent="0.25">
      <c r="A330" s="973" t="s">
        <v>1194</v>
      </c>
      <c r="B330" s="974" t="s">
        <v>1245</v>
      </c>
      <c r="C330" s="1822" t="s">
        <v>1362</v>
      </c>
      <c r="D330" s="813" t="s">
        <v>1373</v>
      </c>
    </row>
    <row r="331" spans="1:4" x14ac:dyDescent="0.25">
      <c r="A331" s="973" t="s">
        <v>1193</v>
      </c>
      <c r="B331" s="974" t="s">
        <v>1242</v>
      </c>
      <c r="C331" s="1822" t="s">
        <v>1362</v>
      </c>
      <c r="D331" s="813" t="s">
        <v>1373</v>
      </c>
    </row>
    <row r="332" spans="1:4" x14ac:dyDescent="0.25">
      <c r="A332" s="973" t="s">
        <v>1191</v>
      </c>
      <c r="B332" s="980" t="s">
        <v>1189</v>
      </c>
      <c r="C332" s="1822" t="s">
        <v>1362</v>
      </c>
      <c r="D332" s="813" t="s">
        <v>1373</v>
      </c>
    </row>
    <row r="333" spans="1:4" x14ac:dyDescent="0.25">
      <c r="A333" s="973" t="s">
        <v>1188</v>
      </c>
      <c r="B333" s="974" t="s">
        <v>1248</v>
      </c>
      <c r="C333" s="1822" t="s">
        <v>1362</v>
      </c>
      <c r="D333" s="813" t="s">
        <v>1373</v>
      </c>
    </row>
    <row r="334" spans="1:4" x14ac:dyDescent="0.25">
      <c r="A334" s="973" t="s">
        <v>1186</v>
      </c>
      <c r="B334" s="963" t="s">
        <v>1099</v>
      </c>
      <c r="C334" s="1822" t="s">
        <v>1362</v>
      </c>
      <c r="D334" s="813" t="s">
        <v>1373</v>
      </c>
    </row>
    <row r="335" spans="1:4" x14ac:dyDescent="0.25">
      <c r="A335" s="981" t="s">
        <v>1182</v>
      </c>
      <c r="B335" s="982" t="s">
        <v>1099</v>
      </c>
      <c r="C335" s="1822" t="s">
        <v>1362</v>
      </c>
      <c r="D335" s="813" t="s">
        <v>1373</v>
      </c>
    </row>
    <row r="336" spans="1:4" x14ac:dyDescent="0.25">
      <c r="A336" s="983" t="s">
        <v>1181</v>
      </c>
      <c r="B336" s="984" t="s">
        <v>1248</v>
      </c>
      <c r="C336" s="1822" t="s">
        <v>1362</v>
      </c>
      <c r="D336" s="813" t="s">
        <v>1373</v>
      </c>
    </row>
    <row r="337" spans="1:4" x14ac:dyDescent="0.25">
      <c r="A337" s="983" t="s">
        <v>1180</v>
      </c>
      <c r="B337" s="985" t="s">
        <v>1250</v>
      </c>
      <c r="C337" s="1822" t="s">
        <v>1362</v>
      </c>
      <c r="D337" s="813" t="s">
        <v>1373</v>
      </c>
    </row>
    <row r="338" spans="1:4" x14ac:dyDescent="0.25">
      <c r="A338" s="989" t="s">
        <v>1176</v>
      </c>
      <c r="B338" s="990" t="s">
        <v>1369</v>
      </c>
      <c r="C338" s="1822" t="s">
        <v>1362</v>
      </c>
      <c r="D338" s="813" t="s">
        <v>1373</v>
      </c>
    </row>
    <row r="339" spans="1:4" x14ac:dyDescent="0.25">
      <c r="A339" s="991" t="s">
        <v>1220</v>
      </c>
      <c r="B339" s="992" t="s">
        <v>1099</v>
      </c>
      <c r="C339" s="1822" t="s">
        <v>1362</v>
      </c>
      <c r="D339" s="813" t="s">
        <v>1373</v>
      </c>
    </row>
    <row r="340" spans="1:4" x14ac:dyDescent="0.25">
      <c r="A340" s="993" t="s">
        <v>1175</v>
      </c>
      <c r="B340" s="992" t="s">
        <v>1369</v>
      </c>
      <c r="C340" s="1822" t="s">
        <v>1362</v>
      </c>
      <c r="D340" s="813" t="s">
        <v>1373</v>
      </c>
    </row>
    <row r="341" spans="1:4" x14ac:dyDescent="0.25">
      <c r="A341" s="991" t="s">
        <v>1221</v>
      </c>
      <c r="B341" s="992" t="s">
        <v>1245</v>
      </c>
      <c r="C341" s="1822" t="s">
        <v>1362</v>
      </c>
      <c r="D341" s="813" t="s">
        <v>1373</v>
      </c>
    </row>
    <row r="342" spans="1:4" x14ac:dyDescent="0.25">
      <c r="A342" s="993" t="s">
        <v>1174</v>
      </c>
      <c r="B342" s="992" t="s">
        <v>1099</v>
      </c>
      <c r="C342" s="1822" t="s">
        <v>1362</v>
      </c>
      <c r="D342" s="813" t="s">
        <v>1373</v>
      </c>
    </row>
    <row r="343" spans="1:4" x14ac:dyDescent="0.25">
      <c r="A343" s="993" t="s">
        <v>1172</v>
      </c>
      <c r="B343" s="994" t="s">
        <v>1170</v>
      </c>
      <c r="C343" s="1822" t="s">
        <v>1362</v>
      </c>
      <c r="D343" s="813" t="s">
        <v>1373</v>
      </c>
    </row>
    <row r="344" spans="1:4" x14ac:dyDescent="0.25">
      <c r="A344" s="993" t="s">
        <v>1169</v>
      </c>
      <c r="B344" s="992" t="s">
        <v>1246</v>
      </c>
      <c r="C344" s="1822" t="s">
        <v>1362</v>
      </c>
      <c r="D344" s="813" t="s">
        <v>1373</v>
      </c>
    </row>
    <row r="345" spans="1:4" x14ac:dyDescent="0.25">
      <c r="A345" s="993" t="s">
        <v>1167</v>
      </c>
      <c r="B345" s="992" t="s">
        <v>1099</v>
      </c>
      <c r="C345" s="1822" t="s">
        <v>1362</v>
      </c>
      <c r="D345" s="813" t="s">
        <v>1373</v>
      </c>
    </row>
    <row r="346" spans="1:4" x14ac:dyDescent="0.25">
      <c r="A346" s="993" t="s">
        <v>1165</v>
      </c>
      <c r="B346" s="992" t="s">
        <v>1369</v>
      </c>
      <c r="C346" s="1822" t="s">
        <v>1362</v>
      </c>
      <c r="D346" s="813" t="s">
        <v>1373</v>
      </c>
    </row>
    <row r="347" spans="1:4" x14ac:dyDescent="0.25">
      <c r="A347" s="991" t="s">
        <v>1222</v>
      </c>
      <c r="B347" s="992" t="s">
        <v>1256</v>
      </c>
      <c r="C347" s="1822" t="s">
        <v>1362</v>
      </c>
      <c r="D347" s="813" t="s">
        <v>1373</v>
      </c>
    </row>
    <row r="348" spans="1:4" x14ac:dyDescent="0.25">
      <c r="A348" s="993" t="s">
        <v>1164</v>
      </c>
      <c r="B348" s="992" t="s">
        <v>1240</v>
      </c>
      <c r="C348" s="1822" t="s">
        <v>1362</v>
      </c>
      <c r="D348" s="813" t="s">
        <v>1373</v>
      </c>
    </row>
    <row r="349" spans="1:4" x14ac:dyDescent="0.25">
      <c r="A349" s="993" t="s">
        <v>1163</v>
      </c>
      <c r="B349" s="992" t="s">
        <v>1251</v>
      </c>
      <c r="C349" s="1822" t="s">
        <v>1362</v>
      </c>
      <c r="D349" s="813" t="s">
        <v>1373</v>
      </c>
    </row>
    <row r="350" spans="1:4" x14ac:dyDescent="0.25">
      <c r="A350" s="993" t="s">
        <v>1161</v>
      </c>
      <c r="B350" s="992" t="s">
        <v>1241</v>
      </c>
      <c r="C350" s="1822" t="s">
        <v>1362</v>
      </c>
      <c r="D350" s="813" t="s">
        <v>1373</v>
      </c>
    </row>
    <row r="351" spans="1:4" x14ac:dyDescent="0.25">
      <c r="A351" s="993" t="s">
        <v>1160</v>
      </c>
      <c r="B351" s="992" t="s">
        <v>1099</v>
      </c>
      <c r="C351" s="1822" t="s">
        <v>1362</v>
      </c>
      <c r="D351" s="813" t="s">
        <v>1373</v>
      </c>
    </row>
    <row r="352" spans="1:4" x14ac:dyDescent="0.25">
      <c r="A352" s="993" t="s">
        <v>1158</v>
      </c>
      <c r="B352" s="992" t="s">
        <v>1252</v>
      </c>
      <c r="C352" s="1822" t="s">
        <v>1362</v>
      </c>
      <c r="D352" s="813" t="s">
        <v>1373</v>
      </c>
    </row>
    <row r="353" spans="1:4" x14ac:dyDescent="0.25">
      <c r="A353" s="993">
        <v>5.1100000000000003</v>
      </c>
      <c r="B353" s="992" t="s">
        <v>1374</v>
      </c>
      <c r="C353" s="1822" t="s">
        <v>1362</v>
      </c>
      <c r="D353" s="813" t="s">
        <v>1373</v>
      </c>
    </row>
    <row r="354" spans="1:4" x14ac:dyDescent="0.25">
      <c r="A354" s="993">
        <v>5.12</v>
      </c>
      <c r="B354" s="992" t="s">
        <v>1247</v>
      </c>
      <c r="C354" s="1822" t="s">
        <v>1362</v>
      </c>
      <c r="D354" s="813" t="s">
        <v>1373</v>
      </c>
    </row>
    <row r="355" spans="1:4" x14ac:dyDescent="0.25">
      <c r="A355" s="995">
        <v>5.13</v>
      </c>
      <c r="B355" s="996" t="s">
        <v>1375</v>
      </c>
      <c r="C355" s="1822" t="s">
        <v>1362</v>
      </c>
      <c r="D355" s="813" t="s">
        <v>1373</v>
      </c>
    </row>
    <row r="356" spans="1:4" x14ac:dyDescent="0.25">
      <c r="A356" s="989" t="s">
        <v>1155</v>
      </c>
      <c r="B356" s="990" t="s">
        <v>1099</v>
      </c>
      <c r="C356" s="1822" t="s">
        <v>1362</v>
      </c>
      <c r="D356" s="813" t="s">
        <v>1373</v>
      </c>
    </row>
    <row r="357" spans="1:4" x14ac:dyDescent="0.25">
      <c r="A357" s="993" t="s">
        <v>1153</v>
      </c>
      <c r="B357" s="992" t="s">
        <v>1099</v>
      </c>
      <c r="C357" s="1822" t="s">
        <v>1362</v>
      </c>
      <c r="D357" s="813" t="s">
        <v>1373</v>
      </c>
    </row>
    <row r="358" spans="1:4" x14ac:dyDescent="0.25">
      <c r="A358" s="993" t="s">
        <v>1151</v>
      </c>
      <c r="B358" s="992" t="s">
        <v>1242</v>
      </c>
      <c r="C358" s="1822" t="s">
        <v>1362</v>
      </c>
      <c r="D358" s="813" t="s">
        <v>1373</v>
      </c>
    </row>
    <row r="359" spans="1:4" x14ac:dyDescent="0.25">
      <c r="A359" s="993" t="s">
        <v>1149</v>
      </c>
      <c r="B359" s="992" t="s">
        <v>1243</v>
      </c>
      <c r="C359" s="1822" t="s">
        <v>1362</v>
      </c>
      <c r="D359" s="813" t="s">
        <v>1373</v>
      </c>
    </row>
    <row r="360" spans="1:4" x14ac:dyDescent="0.25">
      <c r="A360" s="993" t="s">
        <v>1147</v>
      </c>
      <c r="B360" s="992" t="s">
        <v>1242</v>
      </c>
      <c r="C360" s="1822" t="s">
        <v>1362</v>
      </c>
      <c r="D360" s="813" t="s">
        <v>1373</v>
      </c>
    </row>
    <row r="361" spans="1:4" x14ac:dyDescent="0.25">
      <c r="A361" s="993" t="s">
        <v>1145</v>
      </c>
      <c r="B361" s="992" t="s">
        <v>1242</v>
      </c>
      <c r="C361" s="1822" t="s">
        <v>1362</v>
      </c>
      <c r="D361" s="813" t="s">
        <v>1373</v>
      </c>
    </row>
    <row r="362" spans="1:4" x14ac:dyDescent="0.25">
      <c r="A362" s="993" t="s">
        <v>1143</v>
      </c>
      <c r="B362" s="992" t="s">
        <v>1245</v>
      </c>
      <c r="C362" s="1822" t="s">
        <v>1362</v>
      </c>
      <c r="D362" s="813" t="s">
        <v>1373</v>
      </c>
    </row>
    <row r="363" spans="1:4" x14ac:dyDescent="0.25">
      <c r="A363" s="993" t="s">
        <v>1141</v>
      </c>
      <c r="B363" s="992" t="s">
        <v>1245</v>
      </c>
      <c r="C363" s="1822" t="s">
        <v>1362</v>
      </c>
      <c r="D363" s="813" t="s">
        <v>1373</v>
      </c>
    </row>
    <row r="364" spans="1:4" x14ac:dyDescent="0.25">
      <c r="A364" s="995" t="s">
        <v>1139</v>
      </c>
      <c r="B364" s="996" t="s">
        <v>1253</v>
      </c>
      <c r="C364" s="1822" t="s">
        <v>1362</v>
      </c>
      <c r="D364" s="813" t="s">
        <v>1373</v>
      </c>
    </row>
    <row r="365" spans="1:4" x14ac:dyDescent="0.25">
      <c r="A365" s="989" t="s">
        <v>1135</v>
      </c>
      <c r="B365" s="990" t="s">
        <v>1099</v>
      </c>
      <c r="C365" s="1822" t="s">
        <v>1362</v>
      </c>
      <c r="D365" s="813" t="s">
        <v>1373</v>
      </c>
    </row>
    <row r="366" spans="1:4" x14ac:dyDescent="0.25">
      <c r="A366" s="993" t="s">
        <v>1133</v>
      </c>
      <c r="B366" s="994" t="s">
        <v>1132</v>
      </c>
      <c r="C366" s="1822" t="s">
        <v>1362</v>
      </c>
      <c r="D366" s="813" t="s">
        <v>1373</v>
      </c>
    </row>
    <row r="367" spans="1:4" x14ac:dyDescent="0.25">
      <c r="A367" s="993" t="s">
        <v>1131</v>
      </c>
      <c r="B367" s="992" t="s">
        <v>1254</v>
      </c>
      <c r="C367" s="1822" t="s">
        <v>1362</v>
      </c>
      <c r="D367" s="813" t="s">
        <v>1373</v>
      </c>
    </row>
    <row r="368" spans="1:4" x14ac:dyDescent="0.25">
      <c r="A368" s="993" t="s">
        <v>1129</v>
      </c>
      <c r="B368" s="992" t="s">
        <v>1369</v>
      </c>
      <c r="C368" s="1822" t="s">
        <v>1362</v>
      </c>
      <c r="D368" s="813" t="s">
        <v>1373</v>
      </c>
    </row>
    <row r="369" spans="1:4" x14ac:dyDescent="0.25">
      <c r="A369" s="991" t="s">
        <v>1223</v>
      </c>
      <c r="B369" s="992" t="s">
        <v>1245</v>
      </c>
      <c r="C369" s="1822" t="s">
        <v>1362</v>
      </c>
      <c r="D369" s="813" t="s">
        <v>1373</v>
      </c>
    </row>
    <row r="370" spans="1:4" x14ac:dyDescent="0.25">
      <c r="A370" s="993" t="s">
        <v>1128</v>
      </c>
      <c r="B370" s="992" t="s">
        <v>1369</v>
      </c>
      <c r="C370" s="1822" t="s">
        <v>1362</v>
      </c>
      <c r="D370" s="813" t="s">
        <v>1373</v>
      </c>
    </row>
    <row r="371" spans="1:4" x14ac:dyDescent="0.25">
      <c r="A371" s="991" t="s">
        <v>1224</v>
      </c>
      <c r="B371" s="992" t="s">
        <v>1246</v>
      </c>
      <c r="C371" s="1822" t="s">
        <v>1362</v>
      </c>
      <c r="D371" s="813" t="s">
        <v>1373</v>
      </c>
    </row>
    <row r="372" spans="1:4" x14ac:dyDescent="0.25">
      <c r="A372" s="993">
        <v>7.5</v>
      </c>
      <c r="B372" s="992" t="s">
        <v>1099</v>
      </c>
      <c r="C372" s="1822" t="s">
        <v>1362</v>
      </c>
      <c r="D372" s="813" t="s">
        <v>1373</v>
      </c>
    </row>
    <row r="373" spans="1:4" x14ac:dyDescent="0.25">
      <c r="A373" s="993">
        <v>7.6</v>
      </c>
      <c r="B373" s="992" t="s">
        <v>1099</v>
      </c>
      <c r="C373" s="1822" t="s">
        <v>1362</v>
      </c>
      <c r="D373" s="813" t="s">
        <v>1373</v>
      </c>
    </row>
    <row r="374" spans="1:4" x14ac:dyDescent="0.25">
      <c r="A374" s="993">
        <v>7.7</v>
      </c>
      <c r="B374" s="992" t="s">
        <v>1099</v>
      </c>
      <c r="C374" s="1822" t="s">
        <v>1362</v>
      </c>
      <c r="D374" s="813" t="s">
        <v>1373</v>
      </c>
    </row>
    <row r="375" spans="1:4" x14ac:dyDescent="0.25">
      <c r="A375" s="993">
        <v>7.8</v>
      </c>
      <c r="B375" s="992" t="s">
        <v>1099</v>
      </c>
      <c r="C375" s="1822" t="s">
        <v>1362</v>
      </c>
      <c r="D375" s="813" t="s">
        <v>1373</v>
      </c>
    </row>
    <row r="376" spans="1:4" x14ac:dyDescent="0.25">
      <c r="A376" s="1005" t="s">
        <v>1123</v>
      </c>
      <c r="B376" s="992" t="s">
        <v>1369</v>
      </c>
      <c r="C376" s="1822" t="s">
        <v>1362</v>
      </c>
      <c r="D376" s="813" t="s">
        <v>1373</v>
      </c>
    </row>
    <row r="377" spans="1:4" x14ac:dyDescent="0.25">
      <c r="A377" s="993" t="s">
        <v>1122</v>
      </c>
      <c r="B377" s="992" t="s">
        <v>1099</v>
      </c>
      <c r="C377" s="1822" t="s">
        <v>1362</v>
      </c>
      <c r="D377" s="813" t="s">
        <v>1373</v>
      </c>
    </row>
    <row r="378" spans="1:4" x14ac:dyDescent="0.25">
      <c r="A378" s="993" t="s">
        <v>1120</v>
      </c>
      <c r="B378" s="992" t="s">
        <v>1099</v>
      </c>
      <c r="C378" s="1822" t="s">
        <v>1362</v>
      </c>
      <c r="D378" s="813" t="s">
        <v>1373</v>
      </c>
    </row>
    <row r="379" spans="1:4" x14ac:dyDescent="0.25">
      <c r="A379" s="993" t="s">
        <v>1118</v>
      </c>
      <c r="B379" s="992" t="s">
        <v>1099</v>
      </c>
      <c r="C379" s="1822" t="s">
        <v>1362</v>
      </c>
      <c r="D379" s="813" t="s">
        <v>1373</v>
      </c>
    </row>
    <row r="380" spans="1:4" x14ac:dyDescent="0.25">
      <c r="A380" s="993">
        <v>7.11</v>
      </c>
      <c r="B380" s="992" t="s">
        <v>1099</v>
      </c>
      <c r="C380" s="1822" t="s">
        <v>1362</v>
      </c>
      <c r="D380" s="813" t="s">
        <v>1373</v>
      </c>
    </row>
    <row r="381" spans="1:4" x14ac:dyDescent="0.25">
      <c r="A381" s="993">
        <v>7.12</v>
      </c>
      <c r="B381" s="992" t="s">
        <v>1099</v>
      </c>
      <c r="C381" s="1822" t="s">
        <v>1362</v>
      </c>
      <c r="D381" s="813" t="s">
        <v>1373</v>
      </c>
    </row>
    <row r="382" spans="1:4" x14ac:dyDescent="0.25">
      <c r="A382" s="993">
        <v>7.13</v>
      </c>
      <c r="B382" s="992" t="s">
        <v>1369</v>
      </c>
      <c r="C382" s="1822" t="s">
        <v>1362</v>
      </c>
      <c r="D382" s="813" t="s">
        <v>1373</v>
      </c>
    </row>
    <row r="383" spans="1:4" x14ac:dyDescent="0.25">
      <c r="A383" s="993">
        <v>7.14</v>
      </c>
      <c r="B383" s="992" t="s">
        <v>1099</v>
      </c>
      <c r="C383" s="1822" t="s">
        <v>1362</v>
      </c>
      <c r="D383" s="813" t="s">
        <v>1373</v>
      </c>
    </row>
    <row r="384" spans="1:4" x14ac:dyDescent="0.25">
      <c r="A384" s="993">
        <v>7.15</v>
      </c>
      <c r="B384" s="992" t="s">
        <v>1099</v>
      </c>
      <c r="C384" s="1822" t="s">
        <v>1362</v>
      </c>
      <c r="D384" s="813" t="s">
        <v>1373</v>
      </c>
    </row>
    <row r="385" spans="1:4" x14ac:dyDescent="0.25">
      <c r="A385" s="993">
        <v>7.16</v>
      </c>
      <c r="B385" s="992" t="s">
        <v>1099</v>
      </c>
      <c r="C385" s="1822" t="s">
        <v>1362</v>
      </c>
      <c r="D385" s="813" t="s">
        <v>1373</v>
      </c>
    </row>
    <row r="386" spans="1:4" x14ac:dyDescent="0.25">
      <c r="A386" s="995">
        <v>7.17</v>
      </c>
      <c r="B386" s="996" t="s">
        <v>1255</v>
      </c>
      <c r="C386" s="1822" t="s">
        <v>1362</v>
      </c>
      <c r="D386" s="813" t="s">
        <v>1373</v>
      </c>
    </row>
    <row r="387" spans="1:4" x14ac:dyDescent="0.25">
      <c r="A387" s="989" t="s">
        <v>1105</v>
      </c>
      <c r="B387" s="990" t="s">
        <v>1099</v>
      </c>
      <c r="C387" s="1822" t="s">
        <v>1362</v>
      </c>
      <c r="D387" s="813" t="s">
        <v>1373</v>
      </c>
    </row>
    <row r="388" spans="1:4" x14ac:dyDescent="0.25">
      <c r="A388" s="993" t="s">
        <v>1103</v>
      </c>
      <c r="B388" s="992" t="s">
        <v>1099</v>
      </c>
      <c r="C388" s="1822" t="s">
        <v>1362</v>
      </c>
      <c r="D388" s="813" t="s">
        <v>1373</v>
      </c>
    </row>
    <row r="389" spans="1:4" x14ac:dyDescent="0.25">
      <c r="A389" s="993" t="s">
        <v>1101</v>
      </c>
      <c r="B389" s="992" t="s">
        <v>1099</v>
      </c>
      <c r="C389" s="1822" t="s">
        <v>1362</v>
      </c>
      <c r="D389" s="813" t="s">
        <v>1373</v>
      </c>
    </row>
    <row r="390" spans="1:4" x14ac:dyDescent="0.25">
      <c r="A390" s="993" t="s">
        <v>1098</v>
      </c>
      <c r="B390" s="992" t="s">
        <v>1255</v>
      </c>
      <c r="C390" s="1822" t="s">
        <v>1362</v>
      </c>
      <c r="D390" s="813" t="s">
        <v>1373</v>
      </c>
    </row>
    <row r="391" spans="1:4" x14ac:dyDescent="0.25">
      <c r="A391" s="995" t="s">
        <v>1096</v>
      </c>
      <c r="B391" s="996" t="s">
        <v>1256</v>
      </c>
      <c r="C391" s="1822" t="s">
        <v>1362</v>
      </c>
      <c r="D391" s="813" t="s">
        <v>1373</v>
      </c>
    </row>
    <row r="392" spans="1:4" x14ac:dyDescent="0.25">
      <c r="A392" s="960">
        <v>1.1000000000000001</v>
      </c>
      <c r="B392" s="961" t="s">
        <v>1099</v>
      </c>
      <c r="C392" s="1822" t="s">
        <v>1362</v>
      </c>
      <c r="D392" s="813" t="s">
        <v>1376</v>
      </c>
    </row>
    <row r="393" spans="1:4" x14ac:dyDescent="0.25">
      <c r="A393" s="962">
        <v>1.2</v>
      </c>
      <c r="B393" s="963" t="s">
        <v>1244</v>
      </c>
      <c r="C393" s="1822" t="s">
        <v>1362</v>
      </c>
      <c r="D393" s="813" t="s">
        <v>1376</v>
      </c>
    </row>
    <row r="394" spans="1:4" x14ac:dyDescent="0.25">
      <c r="A394" s="972">
        <v>2.1</v>
      </c>
      <c r="B394" s="961" t="s">
        <v>1099</v>
      </c>
      <c r="C394" s="1822" t="s">
        <v>1362</v>
      </c>
      <c r="D394" s="813" t="s">
        <v>1376</v>
      </c>
    </row>
    <row r="395" spans="1:4" x14ac:dyDescent="0.25">
      <c r="A395" s="973">
        <v>2.2000000000000002</v>
      </c>
      <c r="B395" s="974" t="s">
        <v>1369</v>
      </c>
      <c r="C395" s="1822" t="s">
        <v>1362</v>
      </c>
      <c r="D395" s="813" t="s">
        <v>1376</v>
      </c>
    </row>
    <row r="396" spans="1:4" x14ac:dyDescent="0.25">
      <c r="A396" s="973">
        <v>2.2999999999999998</v>
      </c>
      <c r="B396" s="974" t="s">
        <v>1099</v>
      </c>
      <c r="C396" s="1822" t="s">
        <v>1362</v>
      </c>
      <c r="D396" s="813" t="s">
        <v>1376</v>
      </c>
    </row>
    <row r="397" spans="1:4" x14ac:dyDescent="0.25">
      <c r="A397" s="973">
        <v>2.4</v>
      </c>
      <c r="B397" s="974" t="s">
        <v>1245</v>
      </c>
      <c r="C397" s="1822" t="s">
        <v>1362</v>
      </c>
      <c r="D397" s="813" t="s">
        <v>1376</v>
      </c>
    </row>
    <row r="398" spans="1:4" x14ac:dyDescent="0.25">
      <c r="A398" s="973">
        <v>2.5</v>
      </c>
      <c r="B398" s="974" t="s">
        <v>1255</v>
      </c>
      <c r="C398" s="1822" t="s">
        <v>1362</v>
      </c>
      <c r="D398" s="813" t="s">
        <v>1376</v>
      </c>
    </row>
    <row r="399" spans="1:4" x14ac:dyDescent="0.25">
      <c r="A399" s="973">
        <v>2.6</v>
      </c>
      <c r="B399" s="974" t="s">
        <v>1246</v>
      </c>
      <c r="C399" s="1822" t="s">
        <v>1362</v>
      </c>
      <c r="D399" s="813" t="s">
        <v>1376</v>
      </c>
    </row>
    <row r="400" spans="1:4" x14ac:dyDescent="0.25">
      <c r="A400" s="976" t="s">
        <v>1227</v>
      </c>
      <c r="B400" s="974" t="s">
        <v>1099</v>
      </c>
      <c r="C400" s="1822" t="s">
        <v>1362</v>
      </c>
      <c r="D400" s="813" t="s">
        <v>1376</v>
      </c>
    </row>
    <row r="401" spans="1:4" x14ac:dyDescent="0.25">
      <c r="A401" s="973" t="s">
        <v>1208</v>
      </c>
      <c r="B401" s="974" t="s">
        <v>1377</v>
      </c>
      <c r="C401" s="1822" t="s">
        <v>1362</v>
      </c>
      <c r="D401" s="813" t="s">
        <v>1376</v>
      </c>
    </row>
    <row r="402" spans="1:4" x14ac:dyDescent="0.25">
      <c r="A402" s="973">
        <v>2.8</v>
      </c>
      <c r="B402" s="974" t="s">
        <v>1249</v>
      </c>
      <c r="C402" s="1822" t="s">
        <v>1362</v>
      </c>
      <c r="D402" s="813" t="s">
        <v>1376</v>
      </c>
    </row>
    <row r="403" spans="1:4" x14ac:dyDescent="0.25">
      <c r="A403" s="973">
        <v>2.9</v>
      </c>
      <c r="B403" s="974" t="s">
        <v>1247</v>
      </c>
      <c r="C403" s="1822" t="s">
        <v>1362</v>
      </c>
      <c r="D403" s="813" t="s">
        <v>1376</v>
      </c>
    </row>
    <row r="404" spans="1:4" x14ac:dyDescent="0.25">
      <c r="A404" s="979" t="s">
        <v>1204</v>
      </c>
      <c r="B404" s="963" t="s">
        <v>1246</v>
      </c>
      <c r="C404" s="1822" t="s">
        <v>1362</v>
      </c>
      <c r="D404" s="813" t="s">
        <v>1376</v>
      </c>
    </row>
    <row r="405" spans="1:4" x14ac:dyDescent="0.25">
      <c r="A405" s="972" t="s">
        <v>1200</v>
      </c>
      <c r="B405" s="961" t="s">
        <v>1099</v>
      </c>
      <c r="C405" s="1822" t="s">
        <v>1362</v>
      </c>
      <c r="D405" s="813" t="s">
        <v>1376</v>
      </c>
    </row>
    <row r="406" spans="1:4" x14ac:dyDescent="0.25">
      <c r="A406" s="973" t="s">
        <v>1198</v>
      </c>
      <c r="B406" s="974" t="s">
        <v>1099</v>
      </c>
      <c r="C406" s="1822" t="s">
        <v>1362</v>
      </c>
      <c r="D406" s="813" t="s">
        <v>1376</v>
      </c>
    </row>
    <row r="407" spans="1:4" x14ac:dyDescent="0.25">
      <c r="A407" s="973" t="s">
        <v>1196</v>
      </c>
      <c r="B407" s="980" t="s">
        <v>1195</v>
      </c>
      <c r="C407" s="1822" t="s">
        <v>1362</v>
      </c>
      <c r="D407" s="813" t="s">
        <v>1376</v>
      </c>
    </row>
    <row r="408" spans="1:4" x14ac:dyDescent="0.25">
      <c r="A408" s="973" t="s">
        <v>1194</v>
      </c>
      <c r="B408" s="974" t="s">
        <v>1245</v>
      </c>
      <c r="C408" s="1822" t="s">
        <v>1362</v>
      </c>
      <c r="D408" s="813" t="s">
        <v>1376</v>
      </c>
    </row>
    <row r="409" spans="1:4" x14ac:dyDescent="0.25">
      <c r="A409" s="973" t="s">
        <v>1193</v>
      </c>
      <c r="B409" s="974" t="s">
        <v>1242</v>
      </c>
      <c r="C409" s="1822" t="s">
        <v>1362</v>
      </c>
      <c r="D409" s="813" t="s">
        <v>1376</v>
      </c>
    </row>
    <row r="410" spans="1:4" x14ac:dyDescent="0.25">
      <c r="A410" s="973" t="s">
        <v>1191</v>
      </c>
      <c r="B410" s="980" t="s">
        <v>1189</v>
      </c>
      <c r="C410" s="1822" t="s">
        <v>1362</v>
      </c>
      <c r="D410" s="813" t="s">
        <v>1376</v>
      </c>
    </row>
    <row r="411" spans="1:4" x14ac:dyDescent="0.25">
      <c r="A411" s="973" t="s">
        <v>1188</v>
      </c>
      <c r="B411" s="974" t="s">
        <v>1248</v>
      </c>
      <c r="C411" s="1822" t="s">
        <v>1362</v>
      </c>
      <c r="D411" s="813" t="s">
        <v>1376</v>
      </c>
    </row>
    <row r="412" spans="1:4" x14ac:dyDescent="0.25">
      <c r="A412" s="973" t="s">
        <v>1186</v>
      </c>
      <c r="B412" s="963" t="s">
        <v>1099</v>
      </c>
      <c r="C412" s="1822" t="s">
        <v>1362</v>
      </c>
      <c r="D412" s="813" t="s">
        <v>1376</v>
      </c>
    </row>
    <row r="413" spans="1:4" x14ac:dyDescent="0.25">
      <c r="A413" s="981" t="s">
        <v>1182</v>
      </c>
      <c r="B413" s="982" t="s">
        <v>1099</v>
      </c>
      <c r="C413" s="1822" t="s">
        <v>1362</v>
      </c>
      <c r="D413" s="813" t="s">
        <v>1376</v>
      </c>
    </row>
    <row r="414" spans="1:4" x14ac:dyDescent="0.25">
      <c r="A414" s="983" t="s">
        <v>1181</v>
      </c>
      <c r="B414" s="984" t="s">
        <v>1248</v>
      </c>
      <c r="C414" s="1822" t="s">
        <v>1362</v>
      </c>
      <c r="D414" s="813" t="s">
        <v>1376</v>
      </c>
    </row>
    <row r="415" spans="1:4" x14ac:dyDescent="0.25">
      <c r="A415" s="983" t="s">
        <v>1180</v>
      </c>
      <c r="B415" s="985" t="s">
        <v>1250</v>
      </c>
      <c r="C415" s="1822" t="s">
        <v>1362</v>
      </c>
      <c r="D415" s="813" t="s">
        <v>1376</v>
      </c>
    </row>
    <row r="416" spans="1:4" x14ac:dyDescent="0.25">
      <c r="A416" s="989" t="s">
        <v>1176</v>
      </c>
      <c r="B416" s="990" t="s">
        <v>1369</v>
      </c>
      <c r="C416" s="1822" t="s">
        <v>1362</v>
      </c>
      <c r="D416" s="813" t="s">
        <v>1376</v>
      </c>
    </row>
    <row r="417" spans="1:4" x14ac:dyDescent="0.25">
      <c r="A417" s="991" t="s">
        <v>1220</v>
      </c>
      <c r="B417" s="992" t="s">
        <v>1099</v>
      </c>
      <c r="C417" s="1822" t="s">
        <v>1362</v>
      </c>
      <c r="D417" s="813" t="s">
        <v>1376</v>
      </c>
    </row>
    <row r="418" spans="1:4" x14ac:dyDescent="0.25">
      <c r="A418" s="993" t="s">
        <v>1175</v>
      </c>
      <c r="B418" s="992" t="s">
        <v>1369</v>
      </c>
      <c r="C418" s="1822" t="s">
        <v>1362</v>
      </c>
      <c r="D418" s="813" t="s">
        <v>1376</v>
      </c>
    </row>
    <row r="419" spans="1:4" x14ac:dyDescent="0.25">
      <c r="A419" s="991" t="s">
        <v>1221</v>
      </c>
      <c r="B419" s="992" t="s">
        <v>1245</v>
      </c>
      <c r="C419" s="1822" t="s">
        <v>1362</v>
      </c>
      <c r="D419" s="813" t="s">
        <v>1376</v>
      </c>
    </row>
    <row r="420" spans="1:4" x14ac:dyDescent="0.25">
      <c r="A420" s="993" t="s">
        <v>1174</v>
      </c>
      <c r="B420" s="992" t="s">
        <v>1099</v>
      </c>
      <c r="C420" s="1822" t="s">
        <v>1362</v>
      </c>
      <c r="D420" s="813" t="s">
        <v>1376</v>
      </c>
    </row>
    <row r="421" spans="1:4" x14ac:dyDescent="0.25">
      <c r="A421" s="993" t="s">
        <v>1172</v>
      </c>
      <c r="B421" s="994" t="s">
        <v>1170</v>
      </c>
      <c r="C421" s="1822" t="s">
        <v>1362</v>
      </c>
      <c r="D421" s="813" t="s">
        <v>1376</v>
      </c>
    </row>
    <row r="422" spans="1:4" x14ac:dyDescent="0.25">
      <c r="A422" s="993" t="s">
        <v>1169</v>
      </c>
      <c r="B422" s="992" t="s">
        <v>1246</v>
      </c>
      <c r="C422" s="1822" t="s">
        <v>1362</v>
      </c>
      <c r="D422" s="813" t="s">
        <v>1376</v>
      </c>
    </row>
    <row r="423" spans="1:4" x14ac:dyDescent="0.25">
      <c r="A423" s="993" t="s">
        <v>1167</v>
      </c>
      <c r="B423" s="992" t="s">
        <v>1099</v>
      </c>
      <c r="C423" s="1822" t="s">
        <v>1362</v>
      </c>
      <c r="D423" s="813" t="s">
        <v>1376</v>
      </c>
    </row>
    <row r="424" spans="1:4" x14ac:dyDescent="0.25">
      <c r="A424" s="993" t="s">
        <v>1165</v>
      </c>
      <c r="B424" s="992" t="s">
        <v>1369</v>
      </c>
      <c r="C424" s="1822" t="s">
        <v>1362</v>
      </c>
      <c r="D424" s="813" t="s">
        <v>1376</v>
      </c>
    </row>
    <row r="425" spans="1:4" x14ac:dyDescent="0.25">
      <c r="A425" s="991" t="s">
        <v>1222</v>
      </c>
      <c r="B425" s="992" t="s">
        <v>1256</v>
      </c>
      <c r="C425" s="1822" t="s">
        <v>1362</v>
      </c>
      <c r="D425" s="813" t="s">
        <v>1376</v>
      </c>
    </row>
    <row r="426" spans="1:4" x14ac:dyDescent="0.25">
      <c r="A426" s="993" t="s">
        <v>1164</v>
      </c>
      <c r="B426" s="992" t="s">
        <v>1240</v>
      </c>
      <c r="C426" s="1822" t="s">
        <v>1362</v>
      </c>
      <c r="D426" s="813" t="s">
        <v>1376</v>
      </c>
    </row>
    <row r="427" spans="1:4" x14ac:dyDescent="0.25">
      <c r="A427" s="993" t="s">
        <v>1163</v>
      </c>
      <c r="B427" s="992" t="s">
        <v>1251</v>
      </c>
      <c r="C427" s="1822" t="s">
        <v>1362</v>
      </c>
      <c r="D427" s="813" t="s">
        <v>1376</v>
      </c>
    </row>
    <row r="428" spans="1:4" x14ac:dyDescent="0.25">
      <c r="A428" s="993" t="s">
        <v>1161</v>
      </c>
      <c r="B428" s="992" t="s">
        <v>1241</v>
      </c>
      <c r="C428" s="1822" t="s">
        <v>1362</v>
      </c>
      <c r="D428" s="813" t="s">
        <v>1376</v>
      </c>
    </row>
    <row r="429" spans="1:4" x14ac:dyDescent="0.25">
      <c r="A429" s="993" t="s">
        <v>1160</v>
      </c>
      <c r="B429" s="992" t="s">
        <v>1099</v>
      </c>
      <c r="C429" s="1822" t="s">
        <v>1362</v>
      </c>
      <c r="D429" s="813" t="s">
        <v>1376</v>
      </c>
    </row>
    <row r="430" spans="1:4" x14ac:dyDescent="0.25">
      <c r="A430" s="993" t="s">
        <v>1158</v>
      </c>
      <c r="B430" s="992" t="s">
        <v>1252</v>
      </c>
      <c r="C430" s="1822" t="s">
        <v>1362</v>
      </c>
      <c r="D430" s="813" t="s">
        <v>1376</v>
      </c>
    </row>
    <row r="431" spans="1:4" x14ac:dyDescent="0.25">
      <c r="A431" s="993">
        <v>5.1100000000000003</v>
      </c>
      <c r="B431" s="992" t="s">
        <v>1374</v>
      </c>
      <c r="C431" s="1822" t="s">
        <v>1362</v>
      </c>
      <c r="D431" s="813" t="s">
        <v>1376</v>
      </c>
    </row>
    <row r="432" spans="1:4" x14ac:dyDescent="0.25">
      <c r="A432" s="993">
        <v>5.12</v>
      </c>
      <c r="B432" s="992" t="s">
        <v>1247</v>
      </c>
      <c r="C432" s="1822" t="s">
        <v>1362</v>
      </c>
      <c r="D432" s="813" t="s">
        <v>1376</v>
      </c>
    </row>
    <row r="433" spans="1:4" x14ac:dyDescent="0.25">
      <c r="A433" s="995">
        <v>5.13</v>
      </c>
      <c r="B433" s="996" t="s">
        <v>1375</v>
      </c>
      <c r="C433" s="1822" t="s">
        <v>1362</v>
      </c>
      <c r="D433" s="813" t="s">
        <v>1376</v>
      </c>
    </row>
    <row r="434" spans="1:4" x14ac:dyDescent="0.25">
      <c r="A434" s="989" t="s">
        <v>1155</v>
      </c>
      <c r="B434" s="990" t="s">
        <v>1099</v>
      </c>
      <c r="C434" s="1822" t="s">
        <v>1362</v>
      </c>
      <c r="D434" s="813" t="s">
        <v>1376</v>
      </c>
    </row>
    <row r="435" spans="1:4" x14ac:dyDescent="0.25">
      <c r="A435" s="993" t="s">
        <v>1153</v>
      </c>
      <c r="B435" s="992" t="s">
        <v>1099</v>
      </c>
      <c r="C435" s="1822" t="s">
        <v>1362</v>
      </c>
      <c r="D435" s="813" t="s">
        <v>1376</v>
      </c>
    </row>
    <row r="436" spans="1:4" x14ac:dyDescent="0.25">
      <c r="A436" s="993" t="s">
        <v>1151</v>
      </c>
      <c r="B436" s="992" t="s">
        <v>1242</v>
      </c>
      <c r="C436" s="1822" t="s">
        <v>1362</v>
      </c>
      <c r="D436" s="813" t="s">
        <v>1376</v>
      </c>
    </row>
    <row r="437" spans="1:4" x14ac:dyDescent="0.25">
      <c r="A437" s="993" t="s">
        <v>1149</v>
      </c>
      <c r="B437" s="992" t="s">
        <v>1243</v>
      </c>
      <c r="C437" s="1822" t="s">
        <v>1362</v>
      </c>
      <c r="D437" s="813" t="s">
        <v>1376</v>
      </c>
    </row>
    <row r="438" spans="1:4" x14ac:dyDescent="0.25">
      <c r="A438" s="993" t="s">
        <v>1147</v>
      </c>
      <c r="B438" s="992" t="s">
        <v>1242</v>
      </c>
      <c r="C438" s="1822" t="s">
        <v>1362</v>
      </c>
      <c r="D438" s="813" t="s">
        <v>1376</v>
      </c>
    </row>
    <row r="439" spans="1:4" x14ac:dyDescent="0.25">
      <c r="A439" s="993" t="s">
        <v>1145</v>
      </c>
      <c r="B439" s="992" t="s">
        <v>1242</v>
      </c>
      <c r="C439" s="1822" t="s">
        <v>1362</v>
      </c>
      <c r="D439" s="813" t="s">
        <v>1376</v>
      </c>
    </row>
    <row r="440" spans="1:4" x14ac:dyDescent="0.25">
      <c r="A440" s="993" t="s">
        <v>1143</v>
      </c>
      <c r="B440" s="992" t="s">
        <v>1245</v>
      </c>
      <c r="C440" s="1822" t="s">
        <v>1362</v>
      </c>
      <c r="D440" s="813" t="s">
        <v>1376</v>
      </c>
    </row>
    <row r="441" spans="1:4" x14ac:dyDescent="0.25">
      <c r="A441" s="993" t="s">
        <v>1141</v>
      </c>
      <c r="B441" s="992" t="s">
        <v>1245</v>
      </c>
      <c r="C441" s="1822" t="s">
        <v>1362</v>
      </c>
      <c r="D441" s="813" t="s">
        <v>1376</v>
      </c>
    </row>
    <row r="442" spans="1:4" x14ac:dyDescent="0.25">
      <c r="A442" s="995" t="s">
        <v>1139</v>
      </c>
      <c r="B442" s="996" t="s">
        <v>1253</v>
      </c>
      <c r="C442" s="1822" t="s">
        <v>1362</v>
      </c>
      <c r="D442" s="813" t="s">
        <v>1376</v>
      </c>
    </row>
    <row r="443" spans="1:4" x14ac:dyDescent="0.25">
      <c r="A443" s="989" t="s">
        <v>1135</v>
      </c>
      <c r="B443" s="990" t="s">
        <v>1099</v>
      </c>
      <c r="C443" s="1822" t="s">
        <v>1362</v>
      </c>
      <c r="D443" s="813" t="s">
        <v>1376</v>
      </c>
    </row>
    <row r="444" spans="1:4" x14ac:dyDescent="0.25">
      <c r="A444" s="993" t="s">
        <v>1133</v>
      </c>
      <c r="B444" s="994" t="s">
        <v>1132</v>
      </c>
      <c r="C444" s="1822" t="s">
        <v>1362</v>
      </c>
      <c r="D444" s="813" t="s">
        <v>1376</v>
      </c>
    </row>
    <row r="445" spans="1:4" x14ac:dyDescent="0.25">
      <c r="A445" s="993" t="s">
        <v>1131</v>
      </c>
      <c r="B445" s="992" t="s">
        <v>1254</v>
      </c>
      <c r="C445" s="1822" t="s">
        <v>1362</v>
      </c>
      <c r="D445" s="813" t="s">
        <v>1376</v>
      </c>
    </row>
    <row r="446" spans="1:4" x14ac:dyDescent="0.25">
      <c r="A446" s="993" t="s">
        <v>1129</v>
      </c>
      <c r="B446" s="992" t="s">
        <v>1099</v>
      </c>
      <c r="C446" s="1822" t="s">
        <v>1362</v>
      </c>
      <c r="D446" s="813" t="s">
        <v>1376</v>
      </c>
    </row>
    <row r="447" spans="1:4" x14ac:dyDescent="0.25">
      <c r="A447" s="991" t="s">
        <v>1223</v>
      </c>
      <c r="B447" s="992" t="s">
        <v>1369</v>
      </c>
      <c r="C447" s="1822" t="s">
        <v>1362</v>
      </c>
      <c r="D447" s="813" t="s">
        <v>1376</v>
      </c>
    </row>
    <row r="448" spans="1:4" x14ac:dyDescent="0.25">
      <c r="A448" s="993" t="s">
        <v>1128</v>
      </c>
      <c r="B448" s="992" t="s">
        <v>1369</v>
      </c>
      <c r="C448" s="1822" t="s">
        <v>1362</v>
      </c>
      <c r="D448" s="813" t="s">
        <v>1376</v>
      </c>
    </row>
    <row r="449" spans="1:4" x14ac:dyDescent="0.25">
      <c r="A449" s="991" t="s">
        <v>1224</v>
      </c>
      <c r="B449" s="992" t="s">
        <v>1246</v>
      </c>
      <c r="C449" s="1822" t="s">
        <v>1362</v>
      </c>
      <c r="D449" s="813" t="s">
        <v>1376</v>
      </c>
    </row>
    <row r="450" spans="1:4" x14ac:dyDescent="0.25">
      <c r="A450" s="993">
        <v>7.5</v>
      </c>
      <c r="B450" s="992" t="s">
        <v>1099</v>
      </c>
      <c r="C450" s="1822" t="s">
        <v>1362</v>
      </c>
      <c r="D450" s="813" t="s">
        <v>1376</v>
      </c>
    </row>
    <row r="451" spans="1:4" x14ac:dyDescent="0.25">
      <c r="A451" s="993">
        <v>7.6</v>
      </c>
      <c r="B451" s="992" t="s">
        <v>1099</v>
      </c>
      <c r="C451" s="1822" t="s">
        <v>1362</v>
      </c>
      <c r="D451" s="813" t="s">
        <v>1376</v>
      </c>
    </row>
    <row r="452" spans="1:4" x14ac:dyDescent="0.25">
      <c r="A452" s="993">
        <v>7.7</v>
      </c>
      <c r="B452" s="992" t="s">
        <v>1099</v>
      </c>
      <c r="C452" s="1822" t="s">
        <v>1362</v>
      </c>
      <c r="D452" s="813" t="s">
        <v>1376</v>
      </c>
    </row>
    <row r="453" spans="1:4" x14ac:dyDescent="0.25">
      <c r="A453" s="993">
        <v>7.8</v>
      </c>
      <c r="B453" s="992" t="s">
        <v>1099</v>
      </c>
      <c r="C453" s="1822" t="s">
        <v>1362</v>
      </c>
      <c r="D453" s="813" t="s">
        <v>1376</v>
      </c>
    </row>
    <row r="454" spans="1:4" x14ac:dyDescent="0.25">
      <c r="A454" s="1005" t="s">
        <v>1123</v>
      </c>
      <c r="B454" s="992" t="s">
        <v>1369</v>
      </c>
      <c r="C454" s="1822" t="s">
        <v>1362</v>
      </c>
      <c r="D454" s="813" t="s">
        <v>1376</v>
      </c>
    </row>
    <row r="455" spans="1:4" x14ac:dyDescent="0.25">
      <c r="A455" s="993" t="s">
        <v>1122</v>
      </c>
      <c r="B455" s="992" t="s">
        <v>1099</v>
      </c>
      <c r="C455" s="1822" t="s">
        <v>1362</v>
      </c>
      <c r="D455" s="813" t="s">
        <v>1376</v>
      </c>
    </row>
    <row r="456" spans="1:4" x14ac:dyDescent="0.25">
      <c r="A456" s="993" t="s">
        <v>1120</v>
      </c>
      <c r="B456" s="992" t="s">
        <v>1099</v>
      </c>
      <c r="C456" s="1822" t="s">
        <v>1362</v>
      </c>
      <c r="D456" s="813" t="s">
        <v>1376</v>
      </c>
    </row>
    <row r="457" spans="1:4" x14ac:dyDescent="0.25">
      <c r="A457" s="993" t="s">
        <v>1118</v>
      </c>
      <c r="B457" s="992" t="s">
        <v>1099</v>
      </c>
      <c r="C457" s="1822" t="s">
        <v>1362</v>
      </c>
      <c r="D457" s="813" t="s">
        <v>1376</v>
      </c>
    </row>
    <row r="458" spans="1:4" x14ac:dyDescent="0.25">
      <c r="A458" s="993">
        <v>7.11</v>
      </c>
      <c r="B458" s="992" t="s">
        <v>1099</v>
      </c>
      <c r="C458" s="1822" t="s">
        <v>1362</v>
      </c>
      <c r="D458" s="813" t="s">
        <v>1376</v>
      </c>
    </row>
    <row r="459" spans="1:4" x14ac:dyDescent="0.25">
      <c r="A459" s="993">
        <v>7.12</v>
      </c>
      <c r="B459" s="992" t="s">
        <v>1099</v>
      </c>
      <c r="C459" s="1822" t="s">
        <v>1362</v>
      </c>
      <c r="D459" s="813" t="s">
        <v>1376</v>
      </c>
    </row>
    <row r="460" spans="1:4" x14ac:dyDescent="0.25">
      <c r="A460" s="993">
        <v>7.13</v>
      </c>
      <c r="B460" s="992" t="s">
        <v>1372</v>
      </c>
      <c r="C460" s="1822" t="s">
        <v>1362</v>
      </c>
      <c r="D460" s="813" t="s">
        <v>1376</v>
      </c>
    </row>
    <row r="461" spans="1:4" x14ac:dyDescent="0.25">
      <c r="A461" s="993">
        <v>7.14</v>
      </c>
      <c r="B461" s="992" t="s">
        <v>1099</v>
      </c>
      <c r="C461" s="1822" t="s">
        <v>1362</v>
      </c>
      <c r="D461" s="813" t="s">
        <v>1376</v>
      </c>
    </row>
    <row r="462" spans="1:4" x14ac:dyDescent="0.25">
      <c r="A462" s="993">
        <v>7.15</v>
      </c>
      <c r="B462" s="992" t="s">
        <v>1099</v>
      </c>
      <c r="C462" s="1822" t="s">
        <v>1362</v>
      </c>
      <c r="D462" s="813" t="s">
        <v>1376</v>
      </c>
    </row>
    <row r="463" spans="1:4" x14ac:dyDescent="0.25">
      <c r="A463" s="993">
        <v>7.16</v>
      </c>
      <c r="B463" s="992" t="s">
        <v>1099</v>
      </c>
      <c r="C463" s="1822" t="s">
        <v>1362</v>
      </c>
      <c r="D463" s="813" t="s">
        <v>1376</v>
      </c>
    </row>
    <row r="464" spans="1:4" x14ac:dyDescent="0.25">
      <c r="A464" s="995">
        <v>7.17</v>
      </c>
      <c r="B464" s="996" t="s">
        <v>1255</v>
      </c>
      <c r="C464" s="1822" t="s">
        <v>1362</v>
      </c>
      <c r="D464" s="813" t="s">
        <v>1376</v>
      </c>
    </row>
    <row r="465" spans="1:4" x14ac:dyDescent="0.25">
      <c r="A465" s="989" t="s">
        <v>1105</v>
      </c>
      <c r="B465" s="990" t="s">
        <v>1099</v>
      </c>
      <c r="C465" s="1822" t="s">
        <v>1362</v>
      </c>
      <c r="D465" s="813" t="s">
        <v>1376</v>
      </c>
    </row>
    <row r="466" spans="1:4" x14ac:dyDescent="0.25">
      <c r="A466" s="993" t="s">
        <v>1103</v>
      </c>
      <c r="B466" s="992" t="s">
        <v>1099</v>
      </c>
      <c r="C466" s="1822" t="s">
        <v>1362</v>
      </c>
      <c r="D466" s="813" t="s">
        <v>1376</v>
      </c>
    </row>
    <row r="467" spans="1:4" x14ac:dyDescent="0.25">
      <c r="A467" s="993" t="s">
        <v>1101</v>
      </c>
      <c r="B467" s="992" t="s">
        <v>1099</v>
      </c>
      <c r="C467" s="1822" t="s">
        <v>1362</v>
      </c>
      <c r="D467" s="813" t="s">
        <v>1376</v>
      </c>
    </row>
    <row r="468" spans="1:4" x14ac:dyDescent="0.25">
      <c r="A468" s="993" t="s">
        <v>1098</v>
      </c>
      <c r="B468" s="992" t="s">
        <v>1255</v>
      </c>
      <c r="C468" s="1822" t="s">
        <v>1362</v>
      </c>
      <c r="D468" s="813" t="s">
        <v>1376</v>
      </c>
    </row>
    <row r="469" spans="1:4" x14ac:dyDescent="0.25">
      <c r="A469" s="995" t="s">
        <v>1096</v>
      </c>
      <c r="B469" s="996" t="s">
        <v>1256</v>
      </c>
      <c r="C469" s="1822" t="s">
        <v>1362</v>
      </c>
      <c r="D469" s="813" t="s">
        <v>1376</v>
      </c>
    </row>
  </sheetData>
  <sheetProtection password="9F6B"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0:I44"/>
  <sheetViews>
    <sheetView showGridLines="0" view="pageBreakPreview" topLeftCell="A7" zoomScale="60" zoomScaleNormal="100" workbookViewId="0">
      <selection activeCell="C31" sqref="C31:H43"/>
    </sheetView>
  </sheetViews>
  <sheetFormatPr defaultRowHeight="15" x14ac:dyDescent="0.25"/>
  <cols>
    <col min="1" max="2" width="1.7109375" style="843" customWidth="1"/>
    <col min="3" max="3" width="14.28515625" style="843" customWidth="1"/>
    <col min="4" max="4" width="22.5703125" style="843" customWidth="1"/>
    <col min="5" max="5" width="11" style="843" customWidth="1"/>
    <col min="6" max="6" width="18.42578125" style="843" bestFit="1" customWidth="1"/>
    <col min="7" max="7" width="6.7109375" style="843" bestFit="1" customWidth="1"/>
    <col min="8" max="8" width="12.7109375" style="843" bestFit="1" customWidth="1"/>
    <col min="9" max="9" width="1.7109375" style="843" customWidth="1"/>
    <col min="10" max="16384" width="9.140625" style="843"/>
  </cols>
  <sheetData>
    <row r="10" spans="2:9" ht="9" customHeight="1" thickBot="1" x14ac:dyDescent="0.3"/>
    <row r="11" spans="2:9" ht="9" customHeight="1" x14ac:dyDescent="0.25">
      <c r="B11" s="1025"/>
      <c r="C11" s="1026"/>
      <c r="D11" s="1026"/>
      <c r="E11" s="1026"/>
      <c r="F11" s="1026"/>
      <c r="G11" s="1026"/>
      <c r="H11" s="1026"/>
      <c r="I11" s="1027"/>
    </row>
    <row r="12" spans="2:9" ht="18.75" x14ac:dyDescent="0.3">
      <c r="B12" s="1028"/>
      <c r="C12" s="1917" t="s">
        <v>79</v>
      </c>
      <c r="D12" s="1917"/>
      <c r="E12" s="1917"/>
      <c r="F12" s="1917"/>
      <c r="G12" s="1917"/>
      <c r="H12" s="1917"/>
      <c r="I12" s="1029"/>
    </row>
    <row r="13" spans="2:9" x14ac:dyDescent="0.25">
      <c r="B13" s="1028"/>
      <c r="C13" s="1030"/>
      <c r="D13" s="902"/>
      <c r="E13" s="902"/>
      <c r="F13" s="902"/>
      <c r="G13" s="902"/>
      <c r="H13" s="902"/>
      <c r="I13" s="1029"/>
    </row>
    <row r="14" spans="2:9" x14ac:dyDescent="0.25">
      <c r="B14" s="1028"/>
      <c r="C14" s="272" t="s">
        <v>1</v>
      </c>
      <c r="D14" s="1031" t="str">
        <f>IF('1A'!G5="","Enter Project Name on Form 1A",'1A'!G5)</f>
        <v>Liberty Bank Building</v>
      </c>
      <c r="E14" s="929"/>
      <c r="F14" s="1031"/>
      <c r="G14" s="903"/>
      <c r="H14" s="903"/>
      <c r="I14" s="1029"/>
    </row>
    <row r="15" spans="2:9" ht="22.5" customHeight="1" thickBot="1" x14ac:dyDescent="0.3">
      <c r="B15" s="1028"/>
      <c r="C15" s="1030"/>
      <c r="D15" s="902"/>
      <c r="E15" s="902"/>
      <c r="F15" s="902"/>
      <c r="G15" s="902"/>
      <c r="H15" s="902"/>
      <c r="I15" s="1029"/>
    </row>
    <row r="16" spans="2:9" ht="30" x14ac:dyDescent="0.25">
      <c r="B16" s="1032"/>
      <c r="C16" s="2002" t="s">
        <v>80</v>
      </c>
      <c r="D16" s="2003"/>
      <c r="E16" s="1033" t="s">
        <v>81</v>
      </c>
      <c r="F16" s="1034" t="s">
        <v>82</v>
      </c>
      <c r="G16" s="1033" t="s">
        <v>83</v>
      </c>
      <c r="H16" s="1035" t="s">
        <v>84</v>
      </c>
      <c r="I16" s="1036"/>
    </row>
    <row r="17" spans="2:9" x14ac:dyDescent="0.25">
      <c r="B17" s="1028"/>
      <c r="C17" s="2017" t="s">
        <v>721</v>
      </c>
      <c r="D17" s="2018"/>
      <c r="E17" s="1015" t="s">
        <v>1395</v>
      </c>
      <c r="F17" s="1016" t="s">
        <v>1437</v>
      </c>
      <c r="G17" s="1017" t="s">
        <v>287</v>
      </c>
      <c r="H17" s="1018">
        <v>10</v>
      </c>
      <c r="I17" s="1029"/>
    </row>
    <row r="18" spans="2:9" x14ac:dyDescent="0.25">
      <c r="B18" s="1028"/>
      <c r="C18" s="2013" t="s">
        <v>717</v>
      </c>
      <c r="D18" s="2014"/>
      <c r="E18" s="1019" t="s">
        <v>1395</v>
      </c>
      <c r="F18" s="1020" t="s">
        <v>1437</v>
      </c>
      <c r="G18" s="1019" t="s">
        <v>287</v>
      </c>
      <c r="H18" s="1021">
        <v>90</v>
      </c>
      <c r="I18" s="1029"/>
    </row>
    <row r="19" spans="2:9" x14ac:dyDescent="0.25">
      <c r="B19" s="1028"/>
      <c r="C19" s="2013" t="s">
        <v>719</v>
      </c>
      <c r="D19" s="2014"/>
      <c r="E19" s="1019" t="s">
        <v>1395</v>
      </c>
      <c r="F19" s="1020" t="s">
        <v>1437</v>
      </c>
      <c r="G19" s="1019" t="s">
        <v>287</v>
      </c>
      <c r="H19" s="1021">
        <v>15</v>
      </c>
      <c r="I19" s="1029"/>
    </row>
    <row r="20" spans="2:9" x14ac:dyDescent="0.25">
      <c r="B20" s="1028"/>
      <c r="C20" s="2013"/>
      <c r="D20" s="2014"/>
      <c r="E20" s="1019"/>
      <c r="F20" s="1020"/>
      <c r="G20" s="1019"/>
      <c r="H20" s="1021"/>
      <c r="I20" s="1029"/>
    </row>
    <row r="21" spans="2:9" x14ac:dyDescent="0.25">
      <c r="B21" s="1028"/>
      <c r="C21" s="2013"/>
      <c r="D21" s="2014"/>
      <c r="E21" s="1019"/>
      <c r="F21" s="1020"/>
      <c r="G21" s="1019"/>
      <c r="H21" s="1021"/>
      <c r="I21" s="1029"/>
    </row>
    <row r="22" spans="2:9" x14ac:dyDescent="0.25">
      <c r="B22" s="1028"/>
      <c r="C22" s="2013"/>
      <c r="D22" s="2014"/>
      <c r="E22" s="1019"/>
      <c r="F22" s="1020"/>
      <c r="G22" s="1019"/>
      <c r="H22" s="1021"/>
      <c r="I22" s="1029"/>
    </row>
    <row r="23" spans="2:9" x14ac:dyDescent="0.25">
      <c r="B23" s="1028"/>
      <c r="C23" s="2013"/>
      <c r="D23" s="2014"/>
      <c r="E23" s="1019"/>
      <c r="F23" s="1020"/>
      <c r="G23" s="1019"/>
      <c r="H23" s="1021"/>
      <c r="I23" s="1029"/>
    </row>
    <row r="24" spans="2:9" x14ac:dyDescent="0.25">
      <c r="B24" s="1028"/>
      <c r="C24" s="2013"/>
      <c r="D24" s="2014"/>
      <c r="E24" s="1019"/>
      <c r="F24" s="1020"/>
      <c r="G24" s="1019"/>
      <c r="H24" s="1021"/>
      <c r="I24" s="1029"/>
    </row>
    <row r="25" spans="2:9" x14ac:dyDescent="0.25">
      <c r="B25" s="1028"/>
      <c r="C25" s="2013"/>
      <c r="D25" s="2014"/>
      <c r="E25" s="1019"/>
      <c r="F25" s="1020"/>
      <c r="G25" s="1019"/>
      <c r="H25" s="1021"/>
      <c r="I25" s="1029"/>
    </row>
    <row r="26" spans="2:9" x14ac:dyDescent="0.25">
      <c r="B26" s="1028"/>
      <c r="C26" s="2013"/>
      <c r="D26" s="2014"/>
      <c r="E26" s="1019"/>
      <c r="F26" s="1020"/>
      <c r="G26" s="1019"/>
      <c r="H26" s="1021"/>
      <c r="I26" s="1029"/>
    </row>
    <row r="27" spans="2:9" x14ac:dyDescent="0.25">
      <c r="B27" s="1028"/>
      <c r="C27" s="2013"/>
      <c r="D27" s="2014"/>
      <c r="E27" s="1019"/>
      <c r="F27" s="1020"/>
      <c r="G27" s="1019"/>
      <c r="H27" s="1021"/>
      <c r="I27" s="1029"/>
    </row>
    <row r="28" spans="2:9" ht="15.75" thickBot="1" x14ac:dyDescent="0.3">
      <c r="B28" s="1028"/>
      <c r="C28" s="2015"/>
      <c r="D28" s="2016"/>
      <c r="E28" s="1022"/>
      <c r="F28" s="1023"/>
      <c r="G28" s="1022"/>
      <c r="H28" s="1024"/>
      <c r="I28" s="1029"/>
    </row>
    <row r="29" spans="2:9" ht="16.5" thickTop="1" thickBot="1" x14ac:dyDescent="0.3">
      <c r="B29" s="1028"/>
      <c r="C29" s="902"/>
      <c r="D29" s="902"/>
      <c r="E29" s="902"/>
      <c r="F29" s="902"/>
      <c r="G29" s="1037" t="str">
        <f>IF(H29&gt;'1B'!L21,"WARNING: Units duplicated. Please ensure Total Units matches Form 1B","")</f>
        <v/>
      </c>
      <c r="H29" s="1042">
        <f>SUM(H17:H28)</f>
        <v>115</v>
      </c>
      <c r="I29" s="1029"/>
    </row>
    <row r="30" spans="2:9" ht="15.75" thickTop="1" x14ac:dyDescent="0.25">
      <c r="B30" s="1028"/>
      <c r="C30" s="1038" t="s">
        <v>85</v>
      </c>
      <c r="D30" s="902"/>
      <c r="E30" s="902"/>
      <c r="F30" s="902"/>
      <c r="G30" s="902"/>
      <c r="H30" s="902"/>
      <c r="I30" s="1029"/>
    </row>
    <row r="31" spans="2:9" x14ac:dyDescent="0.25">
      <c r="B31" s="1028"/>
      <c r="C31" s="2004"/>
      <c r="D31" s="2005"/>
      <c r="E31" s="2005"/>
      <c r="F31" s="2005"/>
      <c r="G31" s="2005"/>
      <c r="H31" s="2006"/>
      <c r="I31" s="1029"/>
    </row>
    <row r="32" spans="2:9" x14ac:dyDescent="0.25">
      <c r="B32" s="1028"/>
      <c r="C32" s="2007"/>
      <c r="D32" s="2008"/>
      <c r="E32" s="2008"/>
      <c r="F32" s="2008"/>
      <c r="G32" s="2008"/>
      <c r="H32" s="2009"/>
      <c r="I32" s="1029"/>
    </row>
    <row r="33" spans="2:9" x14ac:dyDescent="0.25">
      <c r="B33" s="1028"/>
      <c r="C33" s="2007"/>
      <c r="D33" s="2008"/>
      <c r="E33" s="2008"/>
      <c r="F33" s="2008"/>
      <c r="G33" s="2008"/>
      <c r="H33" s="2009"/>
      <c r="I33" s="1029"/>
    </row>
    <row r="34" spans="2:9" x14ac:dyDescent="0.25">
      <c r="B34" s="1028"/>
      <c r="C34" s="2007"/>
      <c r="D34" s="2008"/>
      <c r="E34" s="2008"/>
      <c r="F34" s="2008"/>
      <c r="G34" s="2008"/>
      <c r="H34" s="2009"/>
      <c r="I34" s="1029"/>
    </row>
    <row r="35" spans="2:9" x14ac:dyDescent="0.25">
      <c r="B35" s="1028"/>
      <c r="C35" s="2007"/>
      <c r="D35" s="2008"/>
      <c r="E35" s="2008"/>
      <c r="F35" s="2008"/>
      <c r="G35" s="2008"/>
      <c r="H35" s="2009"/>
      <c r="I35" s="1029"/>
    </row>
    <row r="36" spans="2:9" x14ac:dyDescent="0.25">
      <c r="B36" s="1028"/>
      <c r="C36" s="2007"/>
      <c r="D36" s="2008"/>
      <c r="E36" s="2008"/>
      <c r="F36" s="2008"/>
      <c r="G36" s="2008"/>
      <c r="H36" s="2009"/>
      <c r="I36" s="1029"/>
    </row>
    <row r="37" spans="2:9" x14ac:dyDescent="0.25">
      <c r="B37" s="1028"/>
      <c r="C37" s="2007"/>
      <c r="D37" s="2008"/>
      <c r="E37" s="2008"/>
      <c r="F37" s="2008"/>
      <c r="G37" s="2008"/>
      <c r="H37" s="2009"/>
      <c r="I37" s="1029"/>
    </row>
    <row r="38" spans="2:9" x14ac:dyDescent="0.25">
      <c r="B38" s="1028"/>
      <c r="C38" s="2007"/>
      <c r="D38" s="2008"/>
      <c r="E38" s="2008"/>
      <c r="F38" s="2008"/>
      <c r="G38" s="2008"/>
      <c r="H38" s="2009"/>
      <c r="I38" s="1029"/>
    </row>
    <row r="39" spans="2:9" x14ac:dyDescent="0.25">
      <c r="B39" s="1028"/>
      <c r="C39" s="2007"/>
      <c r="D39" s="2008"/>
      <c r="E39" s="2008"/>
      <c r="F39" s="2008"/>
      <c r="G39" s="2008"/>
      <c r="H39" s="2009"/>
      <c r="I39" s="1029"/>
    </row>
    <row r="40" spans="2:9" x14ac:dyDescent="0.25">
      <c r="B40" s="1028"/>
      <c r="C40" s="2007"/>
      <c r="D40" s="2008"/>
      <c r="E40" s="2008"/>
      <c r="F40" s="2008"/>
      <c r="G40" s="2008"/>
      <c r="H40" s="2009"/>
      <c r="I40" s="1029"/>
    </row>
    <row r="41" spans="2:9" x14ac:dyDescent="0.25">
      <c r="B41" s="1028"/>
      <c r="C41" s="2007"/>
      <c r="D41" s="2008"/>
      <c r="E41" s="2008"/>
      <c r="F41" s="2008"/>
      <c r="G41" s="2008"/>
      <c r="H41" s="2009"/>
      <c r="I41" s="1029"/>
    </row>
    <row r="42" spans="2:9" x14ac:dyDescent="0.25">
      <c r="B42" s="1028"/>
      <c r="C42" s="2007"/>
      <c r="D42" s="2008"/>
      <c r="E42" s="2008"/>
      <c r="F42" s="2008"/>
      <c r="G42" s="2008"/>
      <c r="H42" s="2009"/>
      <c r="I42" s="1029"/>
    </row>
    <row r="43" spans="2:9" x14ac:dyDescent="0.25">
      <c r="B43" s="1028"/>
      <c r="C43" s="2010"/>
      <c r="D43" s="2011"/>
      <c r="E43" s="2011"/>
      <c r="F43" s="2011"/>
      <c r="G43" s="2011"/>
      <c r="H43" s="2012"/>
      <c r="I43" s="1029"/>
    </row>
    <row r="44" spans="2:9" ht="9" customHeight="1" thickBot="1" x14ac:dyDescent="0.3">
      <c r="B44" s="1039"/>
      <c r="C44" s="1040"/>
      <c r="D44" s="1040"/>
      <c r="E44" s="1040"/>
      <c r="F44" s="1040"/>
      <c r="G44" s="1040"/>
      <c r="H44" s="1040"/>
      <c r="I44" s="1041"/>
    </row>
  </sheetData>
  <sheetProtection password="9F6B" sheet="1" objects="1" scenarios="1" formatCells="0" formatColumns="0" formatRows="0"/>
  <mergeCells count="15">
    <mergeCell ref="C12:H12"/>
    <mergeCell ref="C16:D16"/>
    <mergeCell ref="C31:H43"/>
    <mergeCell ref="C24:D24"/>
    <mergeCell ref="C28:D28"/>
    <mergeCell ref="C25:D25"/>
    <mergeCell ref="C26:D26"/>
    <mergeCell ref="C27:D27"/>
    <mergeCell ref="C21:D21"/>
    <mergeCell ref="C22:D22"/>
    <mergeCell ref="C23:D23"/>
    <mergeCell ref="C20:D20"/>
    <mergeCell ref="C17:D17"/>
    <mergeCell ref="C18:D18"/>
    <mergeCell ref="C19:D19"/>
  </mergeCells>
  <dataValidations count="4">
    <dataValidation type="list" allowBlank="1" showInputMessage="1" showErrorMessage="1" sqref="F17:F28">
      <formula1>"Shelter,Transitional,Permanent Supportive,Multifamily Rental,Homeownership"</formula1>
    </dataValidation>
    <dataValidation type="list" allowBlank="1" showInputMessage="1" showErrorMessage="1" sqref="C17:D28">
      <formula1>Population_Types</formula1>
    </dataValidation>
    <dataValidation type="list" allowBlank="1" showInputMessage="1" showErrorMessage="1" sqref="G17:G28">
      <formula1>"Unit,Bed"</formula1>
    </dataValidation>
    <dataValidation type="list" allowBlank="1" showInputMessage="1" showErrorMessage="1" sqref="E17:E28">
      <formula1>"Yes,No"</formula1>
    </dataValidation>
  </dataValidations>
  <pageMargins left="0.7" right="0.7" top="0.75" bottom="0.75" header="0.3" footer="0.3"/>
  <pageSetup orientation="portrait" r:id="rId1"/>
  <headerFooter>
    <oddFooter>&amp;LForm 3
Populations to be Served&amp;CCFA Forms&amp;REdition: 2015
Version: 1.1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H27"/>
  <sheetViews>
    <sheetView showGridLines="0" zoomScaleNormal="100" workbookViewId="0">
      <selection activeCell="M25" sqref="M25"/>
    </sheetView>
  </sheetViews>
  <sheetFormatPr defaultRowHeight="15" x14ac:dyDescent="0.25"/>
  <cols>
    <col min="1" max="1" width="1.7109375" style="843" customWidth="1"/>
    <col min="2" max="2" width="1.7109375" style="923" customWidth="1"/>
    <col min="3" max="4" width="14.28515625" style="843" customWidth="1"/>
    <col min="5" max="5" width="20" style="843" customWidth="1"/>
    <col min="6" max="6" width="11.42578125" style="843" customWidth="1"/>
    <col min="7" max="7" width="21.42578125" style="843" customWidth="1"/>
    <col min="8" max="8" width="1.7109375" style="923" customWidth="1"/>
    <col min="9" max="16384" width="9.140625" style="843"/>
  </cols>
  <sheetData>
    <row r="1" spans="2:8" ht="9" customHeight="1" thickBot="1" x14ac:dyDescent="0.3"/>
    <row r="2" spans="2:8" ht="9" customHeight="1" x14ac:dyDescent="0.25">
      <c r="B2" s="1043"/>
      <c r="C2" s="1044"/>
      <c r="D2" s="1044"/>
      <c r="E2" s="1044"/>
      <c r="F2" s="1044"/>
      <c r="G2" s="1044"/>
      <c r="H2" s="1045"/>
    </row>
    <row r="3" spans="2:8" ht="18.75" x14ac:dyDescent="0.3">
      <c r="B3" s="1046"/>
      <c r="C3" s="2030" t="s">
        <v>86</v>
      </c>
      <c r="D3" s="2030"/>
      <c r="E3" s="2030"/>
      <c r="F3" s="2030"/>
      <c r="G3" s="2030"/>
      <c r="H3" s="1047"/>
    </row>
    <row r="4" spans="2:8" x14ac:dyDescent="0.25">
      <c r="B4" s="1046"/>
      <c r="C4" s="903"/>
      <c r="D4" s="903"/>
      <c r="E4" s="903"/>
      <c r="F4" s="903"/>
      <c r="G4" s="903"/>
      <c r="H4" s="1047"/>
    </row>
    <row r="5" spans="2:8" x14ac:dyDescent="0.25">
      <c r="B5" s="1046"/>
      <c r="C5" s="927" t="s">
        <v>1</v>
      </c>
      <c r="D5" s="1938" t="str">
        <f>IF('1A'!G5="","Enter Project Name on Form 1A",'1A'!G5)</f>
        <v>Liberty Bank Building</v>
      </c>
      <c r="E5" s="1938"/>
      <c r="F5" s="1938"/>
      <c r="G5" s="903"/>
      <c r="H5" s="1047"/>
    </row>
    <row r="6" spans="2:8" ht="22.5" customHeight="1" thickBot="1" x14ac:dyDescent="0.3">
      <c r="B6" s="1046"/>
      <c r="C6" s="903"/>
      <c r="D6" s="903"/>
      <c r="E6" s="903"/>
      <c r="F6" s="903"/>
      <c r="G6" s="903"/>
      <c r="H6" s="1047"/>
    </row>
    <row r="7" spans="2:8" ht="39" thickBot="1" x14ac:dyDescent="0.3">
      <c r="B7" s="1046"/>
      <c r="C7" s="1048" t="s">
        <v>87</v>
      </c>
      <c r="D7" s="1049"/>
      <c r="E7" s="1050" t="s">
        <v>88</v>
      </c>
      <c r="F7" s="1051" t="s">
        <v>89</v>
      </c>
      <c r="G7" s="1052" t="s">
        <v>90</v>
      </c>
      <c r="H7" s="1047"/>
    </row>
    <row r="8" spans="2:8" ht="45" customHeight="1" x14ac:dyDescent="0.25">
      <c r="B8" s="1046"/>
      <c r="C8" s="2019" t="s">
        <v>91</v>
      </c>
      <c r="D8" s="2020"/>
      <c r="E8" s="1053"/>
      <c r="F8" s="1054"/>
      <c r="G8" s="1055"/>
      <c r="H8" s="1047"/>
    </row>
    <row r="9" spans="2:8" x14ac:dyDescent="0.25">
      <c r="B9" s="1046"/>
      <c r="C9" s="1056" t="s">
        <v>92</v>
      </c>
      <c r="D9" s="1057"/>
      <c r="E9" s="3"/>
      <c r="F9" s="2"/>
      <c r="G9" s="1058">
        <f>E9*F9</f>
        <v>0</v>
      </c>
      <c r="H9" s="1047"/>
    </row>
    <row r="10" spans="2:8" x14ac:dyDescent="0.25">
      <c r="B10" s="1046"/>
      <c r="C10" s="1056" t="s">
        <v>93</v>
      </c>
      <c r="D10" s="1057"/>
      <c r="E10" s="210"/>
      <c r="F10" s="209"/>
      <c r="G10" s="1059">
        <f t="shared" ref="G10:G17" si="0">E10*F10</f>
        <v>0</v>
      </c>
      <c r="H10" s="1047"/>
    </row>
    <row r="11" spans="2:8" x14ac:dyDescent="0.25">
      <c r="B11" s="1046"/>
      <c r="C11" s="1056" t="s">
        <v>94</v>
      </c>
      <c r="D11" s="1057"/>
      <c r="E11" s="210"/>
      <c r="F11" s="209"/>
      <c r="G11" s="1059">
        <f t="shared" si="0"/>
        <v>0</v>
      </c>
      <c r="H11" s="1047"/>
    </row>
    <row r="12" spans="2:8" x14ac:dyDescent="0.25">
      <c r="B12" s="1046"/>
      <c r="C12" s="1056" t="s">
        <v>95</v>
      </c>
      <c r="D12" s="1057"/>
      <c r="E12" s="210"/>
      <c r="F12" s="209"/>
      <c r="G12" s="1059">
        <f t="shared" si="0"/>
        <v>0</v>
      </c>
      <c r="H12" s="1047"/>
    </row>
    <row r="13" spans="2:8" x14ac:dyDescent="0.25">
      <c r="B13" s="1046"/>
      <c r="C13" s="1056" t="s">
        <v>96</v>
      </c>
      <c r="D13" s="1057"/>
      <c r="E13" s="210"/>
      <c r="F13" s="209"/>
      <c r="G13" s="1059">
        <f t="shared" si="0"/>
        <v>0</v>
      </c>
      <c r="H13" s="1047"/>
    </row>
    <row r="14" spans="2:8" x14ac:dyDescent="0.25">
      <c r="B14" s="1046"/>
      <c r="C14" s="1056" t="s">
        <v>97</v>
      </c>
      <c r="D14" s="1057"/>
      <c r="E14" s="210"/>
      <c r="F14" s="209"/>
      <c r="G14" s="1059">
        <f t="shared" si="0"/>
        <v>0</v>
      </c>
      <c r="H14" s="1047"/>
    </row>
    <row r="15" spans="2:8" x14ac:dyDescent="0.25">
      <c r="B15" s="1046"/>
      <c r="C15" s="1056" t="s">
        <v>98</v>
      </c>
      <c r="D15" s="1057"/>
      <c r="E15" s="210"/>
      <c r="F15" s="209"/>
      <c r="G15" s="1059">
        <f t="shared" si="0"/>
        <v>0</v>
      </c>
      <c r="H15" s="1047"/>
    </row>
    <row r="16" spans="2:8" x14ac:dyDescent="0.25">
      <c r="B16" s="1046"/>
      <c r="C16" s="1056" t="s">
        <v>99</v>
      </c>
      <c r="D16" s="1057"/>
      <c r="E16" s="210"/>
      <c r="F16" s="209"/>
      <c r="G16" s="1059">
        <f t="shared" si="0"/>
        <v>0</v>
      </c>
      <c r="H16" s="1047"/>
    </row>
    <row r="17" spans="2:8" ht="15.75" thickBot="1" x14ac:dyDescent="0.3">
      <c r="B17" s="1046"/>
      <c r="C17" s="1060" t="s">
        <v>100</v>
      </c>
      <c r="D17" s="1061"/>
      <c r="E17" s="685"/>
      <c r="F17" s="1"/>
      <c r="G17" s="1062">
        <f t="shared" si="0"/>
        <v>0</v>
      </c>
      <c r="H17" s="1047"/>
    </row>
    <row r="18" spans="2:8" ht="16.5" thickTop="1" thickBot="1" x14ac:dyDescent="0.3">
      <c r="B18" s="1046"/>
      <c r="C18" s="1063" t="s">
        <v>101</v>
      </c>
      <c r="D18" s="1064"/>
      <c r="E18" s="1065"/>
      <c r="F18" s="687">
        <f>SUM(F9:F17)</f>
        <v>0</v>
      </c>
      <c r="G18" s="249">
        <f>SUM(G9:G17)</f>
        <v>0</v>
      </c>
      <c r="H18" s="1047"/>
    </row>
    <row r="19" spans="2:8" s="923" customFormat="1" x14ac:dyDescent="0.25">
      <c r="B19" s="1046"/>
      <c r="C19" s="1066"/>
      <c r="D19" s="1067"/>
      <c r="E19" s="903"/>
      <c r="F19" s="903"/>
      <c r="G19" s="1068" t="s">
        <v>35</v>
      </c>
      <c r="H19" s="1047"/>
    </row>
    <row r="20" spans="2:8" s="923" customFormat="1" x14ac:dyDescent="0.25">
      <c r="B20" s="1046"/>
      <c r="C20" s="903" t="s">
        <v>102</v>
      </c>
      <c r="D20" s="903"/>
      <c r="E20" s="903"/>
      <c r="F20" s="903"/>
      <c r="G20" s="903"/>
      <c r="H20" s="1047"/>
    </row>
    <row r="21" spans="2:8" x14ac:dyDescent="0.25">
      <c r="B21" s="1046"/>
      <c r="C21" s="2021"/>
      <c r="D21" s="2022"/>
      <c r="E21" s="2022"/>
      <c r="F21" s="2022"/>
      <c r="G21" s="2023"/>
      <c r="H21" s="1047"/>
    </row>
    <row r="22" spans="2:8" x14ac:dyDescent="0.25">
      <c r="B22" s="1046"/>
      <c r="C22" s="2024"/>
      <c r="D22" s="2025"/>
      <c r="E22" s="2025"/>
      <c r="F22" s="2025"/>
      <c r="G22" s="2026"/>
      <c r="H22" s="1047"/>
    </row>
    <row r="23" spans="2:8" x14ac:dyDescent="0.25">
      <c r="B23" s="1046"/>
      <c r="C23" s="2024"/>
      <c r="D23" s="2025"/>
      <c r="E23" s="2025"/>
      <c r="F23" s="2025"/>
      <c r="G23" s="2026"/>
      <c r="H23" s="1047"/>
    </row>
    <row r="24" spans="2:8" x14ac:dyDescent="0.25">
      <c r="B24" s="1046"/>
      <c r="C24" s="2024"/>
      <c r="D24" s="2025"/>
      <c r="E24" s="2025"/>
      <c r="F24" s="2025"/>
      <c r="G24" s="2026"/>
      <c r="H24" s="1047"/>
    </row>
    <row r="25" spans="2:8" x14ac:dyDescent="0.25">
      <c r="B25" s="1046"/>
      <c r="C25" s="2024"/>
      <c r="D25" s="2025"/>
      <c r="E25" s="2025"/>
      <c r="F25" s="2025"/>
      <c r="G25" s="2026"/>
      <c r="H25" s="1047"/>
    </row>
    <row r="26" spans="2:8" x14ac:dyDescent="0.25">
      <c r="B26" s="1046"/>
      <c r="C26" s="2027"/>
      <c r="D26" s="2028"/>
      <c r="E26" s="2028"/>
      <c r="F26" s="2028"/>
      <c r="G26" s="2029"/>
      <c r="H26" s="1047"/>
    </row>
    <row r="27" spans="2:8" ht="9" customHeight="1" thickBot="1" x14ac:dyDescent="0.3">
      <c r="B27" s="1069"/>
      <c r="C27" s="1070"/>
      <c r="D27" s="1070"/>
      <c r="E27" s="1070"/>
      <c r="F27" s="1070"/>
      <c r="G27" s="1070"/>
      <c r="H27" s="1071"/>
    </row>
  </sheetData>
  <sheetProtection password="9F6B" sheet="1" objects="1" scenarios="1" formatCells="0" formatColumns="0" formatRows="0"/>
  <mergeCells count="4">
    <mergeCell ref="C8:D8"/>
    <mergeCell ref="C21:G26"/>
    <mergeCell ref="D5:F5"/>
    <mergeCell ref="C3:G3"/>
  </mergeCells>
  <pageMargins left="0.7" right="0.7" top="0.75" bottom="0.75" header="0.3" footer="0.3"/>
  <pageSetup orientation="portrait" r:id="rId1"/>
  <headerFooter>
    <oddFooter>&amp;LForm 4
Relocation Budget&amp;CCFA Forms&amp;REdition: 2015
Version: 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7:H84"/>
  <sheetViews>
    <sheetView showGridLines="0" topLeftCell="A46" zoomScaleNormal="100" workbookViewId="0">
      <selection activeCell="C39" sqref="C39:D39"/>
    </sheetView>
  </sheetViews>
  <sheetFormatPr defaultRowHeight="15" x14ac:dyDescent="0.25"/>
  <cols>
    <col min="1" max="2" width="1.7109375" style="843" customWidth="1"/>
    <col min="3" max="3" width="16.7109375" style="843" customWidth="1"/>
    <col min="4" max="4" width="5.7109375" style="843" customWidth="1"/>
    <col min="5" max="5" width="35.140625" style="843" bestFit="1" customWidth="1"/>
    <col min="6" max="6" width="18.7109375" style="843" customWidth="1"/>
    <col min="7" max="7" width="42.85546875" style="843" customWidth="1"/>
    <col min="8" max="8" width="1.7109375" style="843" customWidth="1"/>
    <col min="9" max="16384" width="9.140625" style="843"/>
  </cols>
  <sheetData>
    <row r="7" spans="2:8" ht="9" customHeight="1" thickBot="1" x14ac:dyDescent="0.3"/>
    <row r="8" spans="2:8" ht="9" customHeight="1" x14ac:dyDescent="0.25">
      <c r="B8" s="20"/>
      <c r="C8" s="21"/>
      <c r="D8" s="21"/>
      <c r="E8" s="21"/>
      <c r="F8" s="21"/>
      <c r="G8" s="21"/>
      <c r="H8" s="22"/>
    </row>
    <row r="9" spans="2:8" ht="18.75" x14ac:dyDescent="0.3">
      <c r="B9" s="23"/>
      <c r="C9" s="2030" t="s">
        <v>103</v>
      </c>
      <c r="D9" s="2030"/>
      <c r="E9" s="2030"/>
      <c r="F9" s="2030"/>
      <c r="G9" s="2030"/>
      <c r="H9" s="24"/>
    </row>
    <row r="10" spans="2:8" x14ac:dyDescent="0.25">
      <c r="B10" s="8"/>
      <c r="C10" s="6"/>
      <c r="D10" s="6"/>
      <c r="E10" s="6"/>
      <c r="F10" s="5"/>
      <c r="G10" s="5"/>
      <c r="H10" s="7"/>
    </row>
    <row r="11" spans="2:8" x14ac:dyDescent="0.25">
      <c r="B11" s="8"/>
      <c r="C11" s="927" t="s">
        <v>63</v>
      </c>
      <c r="D11" s="2039" t="str">
        <f>IF('1A'!G5="","Enter Project Name on Form 1A",'1A'!G5)</f>
        <v>Liberty Bank Building</v>
      </c>
      <c r="E11" s="2039"/>
      <c r="F11" s="2039"/>
      <c r="G11" s="5"/>
      <c r="H11" s="7"/>
    </row>
    <row r="12" spans="2:8" ht="22.5" customHeight="1" thickBot="1" x14ac:dyDescent="0.3">
      <c r="B12" s="8"/>
      <c r="C12" s="1072"/>
      <c r="D12" s="1072"/>
      <c r="E12" s="902"/>
      <c r="F12" s="902"/>
      <c r="G12" s="253"/>
      <c r="H12" s="7"/>
    </row>
    <row r="13" spans="2:8" ht="39" thickBot="1" x14ac:dyDescent="0.3">
      <c r="B13" s="8"/>
      <c r="C13" s="2050" t="s">
        <v>104</v>
      </c>
      <c r="D13" s="2051"/>
      <c r="E13" s="255" t="s">
        <v>105</v>
      </c>
      <c r="F13" s="256" t="s">
        <v>650</v>
      </c>
      <c r="G13" s="257" t="s">
        <v>106</v>
      </c>
      <c r="H13" s="7"/>
    </row>
    <row r="14" spans="2:8" x14ac:dyDescent="0.25">
      <c r="B14" s="8"/>
      <c r="C14" s="2054" t="s">
        <v>107</v>
      </c>
      <c r="D14" s="2055"/>
      <c r="E14" s="29" t="s">
        <v>108</v>
      </c>
      <c r="F14" s="1841">
        <v>41334</v>
      </c>
      <c r="G14" s="18" t="s">
        <v>1467</v>
      </c>
      <c r="H14" s="7"/>
    </row>
    <row r="15" spans="2:8" x14ac:dyDescent="0.25">
      <c r="B15" s="8"/>
      <c r="C15" s="2033" t="s">
        <v>109</v>
      </c>
      <c r="D15" s="2034"/>
      <c r="E15" s="19" t="s">
        <v>110</v>
      </c>
      <c r="F15" s="19" t="s">
        <v>1436</v>
      </c>
      <c r="G15" s="13"/>
      <c r="H15" s="7"/>
    </row>
    <row r="16" spans="2:8" x14ac:dyDescent="0.25">
      <c r="B16" s="8"/>
      <c r="C16" s="2033" t="s">
        <v>109</v>
      </c>
      <c r="D16" s="2034"/>
      <c r="E16" s="19" t="s">
        <v>111</v>
      </c>
      <c r="F16" s="1842">
        <v>42125</v>
      </c>
      <c r="G16" s="13" t="s">
        <v>1468</v>
      </c>
      <c r="H16" s="7"/>
    </row>
    <row r="17" spans="2:8" x14ac:dyDescent="0.25">
      <c r="B17" s="8"/>
      <c r="C17" s="2033"/>
      <c r="D17" s="2034"/>
      <c r="E17" s="19"/>
      <c r="F17" s="19"/>
      <c r="G17" s="16"/>
      <c r="H17" s="7"/>
    </row>
    <row r="18" spans="2:8" x14ac:dyDescent="0.25">
      <c r="B18" s="8"/>
      <c r="C18" s="2048" t="s">
        <v>112</v>
      </c>
      <c r="D18" s="2049"/>
      <c r="E18" s="19" t="s">
        <v>113</v>
      </c>
      <c r="F18" s="1842">
        <v>41456</v>
      </c>
      <c r="G18" s="13" t="s">
        <v>1469</v>
      </c>
      <c r="H18" s="7"/>
    </row>
    <row r="19" spans="2:8" x14ac:dyDescent="0.25">
      <c r="B19" s="8"/>
      <c r="C19" s="2033" t="s">
        <v>112</v>
      </c>
      <c r="D19" s="2034"/>
      <c r="E19" s="19" t="s">
        <v>114</v>
      </c>
      <c r="F19" s="1842">
        <v>42248</v>
      </c>
      <c r="G19" s="16" t="s">
        <v>1470</v>
      </c>
      <c r="H19" s="7"/>
    </row>
    <row r="20" spans="2:8" x14ac:dyDescent="0.25">
      <c r="B20" s="8"/>
      <c r="C20" s="2033" t="s">
        <v>112</v>
      </c>
      <c r="D20" s="2034"/>
      <c r="E20" s="19" t="s">
        <v>115</v>
      </c>
      <c r="F20" s="1842">
        <v>41426</v>
      </c>
      <c r="G20" s="1847" t="s">
        <v>1471</v>
      </c>
      <c r="H20" s="7"/>
    </row>
    <row r="21" spans="2:8" x14ac:dyDescent="0.25">
      <c r="B21" s="8"/>
      <c r="C21" s="2033" t="s">
        <v>112</v>
      </c>
      <c r="D21" s="2034"/>
      <c r="E21" s="19" t="s">
        <v>116</v>
      </c>
      <c r="F21" s="1842">
        <v>41426</v>
      </c>
      <c r="G21" s="1847" t="s">
        <v>1471</v>
      </c>
      <c r="H21" s="7"/>
    </row>
    <row r="22" spans="2:8" x14ac:dyDescent="0.25">
      <c r="B22" s="8"/>
      <c r="C22" s="2033" t="s">
        <v>112</v>
      </c>
      <c r="D22" s="2034"/>
      <c r="E22" s="19" t="s">
        <v>117</v>
      </c>
      <c r="F22" s="19" t="s">
        <v>1436</v>
      </c>
      <c r="G22" s="16"/>
      <c r="H22" s="7"/>
    </row>
    <row r="23" spans="2:8" x14ac:dyDescent="0.25">
      <c r="B23" s="8"/>
      <c r="C23" s="2033" t="s">
        <v>112</v>
      </c>
      <c r="D23" s="2034"/>
      <c r="E23" s="19" t="s">
        <v>118</v>
      </c>
      <c r="F23" s="19" t="s">
        <v>1436</v>
      </c>
      <c r="G23" s="16"/>
      <c r="H23" s="7"/>
    </row>
    <row r="24" spans="2:8" x14ac:dyDescent="0.25">
      <c r="B24" s="8"/>
      <c r="C24" s="2033" t="s">
        <v>112</v>
      </c>
      <c r="D24" s="2034"/>
      <c r="E24" s="19" t="s">
        <v>119</v>
      </c>
      <c r="F24" s="19" t="s">
        <v>1436</v>
      </c>
      <c r="G24" s="16"/>
      <c r="H24" s="7"/>
    </row>
    <row r="25" spans="2:8" x14ac:dyDescent="0.25">
      <c r="B25" s="8"/>
      <c r="C25" s="2033" t="s">
        <v>112</v>
      </c>
      <c r="D25" s="2034"/>
      <c r="E25" s="19" t="s">
        <v>120</v>
      </c>
      <c r="F25" s="19" t="s">
        <v>1436</v>
      </c>
      <c r="G25" s="16"/>
      <c r="H25" s="7"/>
    </row>
    <row r="26" spans="2:8" x14ac:dyDescent="0.25">
      <c r="B26" s="8"/>
      <c r="C26" s="2033" t="s">
        <v>112</v>
      </c>
      <c r="D26" s="2034"/>
      <c r="E26" s="19" t="s">
        <v>121</v>
      </c>
      <c r="F26" s="1842">
        <v>41821</v>
      </c>
      <c r="G26" s="14" t="s">
        <v>1472</v>
      </c>
      <c r="H26" s="7"/>
    </row>
    <row r="27" spans="2:8" x14ac:dyDescent="0.25">
      <c r="B27" s="8"/>
      <c r="C27" s="2033" t="s">
        <v>112</v>
      </c>
      <c r="D27" s="2034"/>
      <c r="E27" s="19" t="s">
        <v>122</v>
      </c>
      <c r="F27" s="19" t="s">
        <v>1436</v>
      </c>
      <c r="G27" s="14"/>
      <c r="H27" s="7"/>
    </row>
    <row r="28" spans="2:8" x14ac:dyDescent="0.25">
      <c r="B28" s="8"/>
      <c r="C28" s="1869"/>
      <c r="D28" s="1870"/>
      <c r="E28" s="19"/>
      <c r="F28" s="19"/>
      <c r="G28" s="14"/>
      <c r="H28" s="7"/>
    </row>
    <row r="29" spans="2:8" x14ac:dyDescent="0.25">
      <c r="B29" s="8"/>
      <c r="C29" s="1869" t="s">
        <v>1575</v>
      </c>
      <c r="D29" s="1870"/>
      <c r="E29" s="19" t="s">
        <v>1576</v>
      </c>
      <c r="F29" s="1842">
        <v>42248</v>
      </c>
      <c r="G29" s="14" t="s">
        <v>1574</v>
      </c>
      <c r="H29" s="7"/>
    </row>
    <row r="30" spans="2:8" x14ac:dyDescent="0.25">
      <c r="B30" s="8"/>
      <c r="C30" s="1869" t="s">
        <v>1575</v>
      </c>
      <c r="D30" s="1870"/>
      <c r="E30" s="19" t="s">
        <v>1580</v>
      </c>
      <c r="F30" s="1842">
        <v>42248</v>
      </c>
      <c r="G30" s="14" t="s">
        <v>1581</v>
      </c>
      <c r="H30" s="7"/>
    </row>
    <row r="31" spans="2:8" x14ac:dyDescent="0.25">
      <c r="B31" s="8"/>
      <c r="C31" s="1869" t="s">
        <v>1575</v>
      </c>
      <c r="D31" s="1870"/>
      <c r="E31" s="19" t="s">
        <v>1582</v>
      </c>
      <c r="F31" s="1842">
        <v>42339</v>
      </c>
      <c r="G31" s="14" t="s">
        <v>1581</v>
      </c>
      <c r="H31" s="7"/>
    </row>
    <row r="32" spans="2:8" x14ac:dyDescent="0.25">
      <c r="B32" s="8"/>
      <c r="C32" s="1915"/>
      <c r="G32" s="1916"/>
      <c r="H32" s="7"/>
    </row>
    <row r="33" spans="2:8" x14ac:dyDescent="0.25">
      <c r="B33" s="8"/>
      <c r="C33" s="2044"/>
      <c r="D33" s="2045"/>
      <c r="E33" s="19"/>
      <c r="F33" s="19"/>
      <c r="G33" s="14"/>
      <c r="H33" s="7"/>
    </row>
    <row r="34" spans="2:8" x14ac:dyDescent="0.25">
      <c r="B34" s="8"/>
      <c r="C34" s="2044" t="s">
        <v>123</v>
      </c>
      <c r="D34" s="2045"/>
      <c r="E34" s="19" t="s">
        <v>124</v>
      </c>
      <c r="F34" s="19" t="s">
        <v>1436</v>
      </c>
      <c r="G34" s="14"/>
      <c r="H34" s="7"/>
    </row>
    <row r="35" spans="2:8" x14ac:dyDescent="0.25">
      <c r="B35" s="8"/>
      <c r="C35" s="2044" t="s">
        <v>123</v>
      </c>
      <c r="D35" s="2045"/>
      <c r="E35" s="19" t="s">
        <v>125</v>
      </c>
      <c r="F35" s="19" t="s">
        <v>1436</v>
      </c>
      <c r="G35" s="14"/>
      <c r="H35" s="7"/>
    </row>
    <row r="36" spans="2:8" x14ac:dyDescent="0.25">
      <c r="B36" s="8"/>
      <c r="C36" s="2044" t="s">
        <v>123</v>
      </c>
      <c r="D36" s="2045"/>
      <c r="E36" s="19" t="s">
        <v>126</v>
      </c>
      <c r="F36" s="19" t="s">
        <v>1436</v>
      </c>
      <c r="G36" s="14"/>
      <c r="H36" s="7"/>
    </row>
    <row r="37" spans="2:8" x14ac:dyDescent="0.25">
      <c r="B37" s="8"/>
      <c r="C37" s="2044" t="s">
        <v>123</v>
      </c>
      <c r="D37" s="2045"/>
      <c r="E37" s="19" t="s">
        <v>127</v>
      </c>
      <c r="F37" s="19" t="s">
        <v>1436</v>
      </c>
      <c r="G37" s="14"/>
      <c r="H37" s="7"/>
    </row>
    <row r="38" spans="2:8" x14ac:dyDescent="0.25">
      <c r="B38" s="8"/>
      <c r="C38" s="2044" t="s">
        <v>123</v>
      </c>
      <c r="D38" s="2045"/>
      <c r="E38" s="19" t="s">
        <v>128</v>
      </c>
      <c r="F38" s="19" t="s">
        <v>1436</v>
      </c>
      <c r="G38" s="14"/>
      <c r="H38" s="7"/>
    </row>
    <row r="39" spans="2:8" x14ac:dyDescent="0.25">
      <c r="B39" s="8"/>
      <c r="C39" s="2044" t="s">
        <v>123</v>
      </c>
      <c r="D39" s="2045"/>
      <c r="E39" s="19" t="s">
        <v>129</v>
      </c>
      <c r="F39" s="19" t="s">
        <v>1436</v>
      </c>
      <c r="G39" s="14"/>
      <c r="H39" s="7"/>
    </row>
    <row r="40" spans="2:8" x14ac:dyDescent="0.25">
      <c r="B40" s="8"/>
      <c r="C40" s="2044" t="s">
        <v>123</v>
      </c>
      <c r="D40" s="2045"/>
      <c r="E40" s="19" t="s">
        <v>130</v>
      </c>
      <c r="F40" s="19" t="s">
        <v>1436</v>
      </c>
      <c r="G40" s="14"/>
      <c r="H40" s="7"/>
    </row>
    <row r="41" spans="2:8" x14ac:dyDescent="0.25">
      <c r="B41" s="8"/>
      <c r="C41" s="2044" t="s">
        <v>123</v>
      </c>
      <c r="D41" s="2045"/>
      <c r="E41" s="19" t="s">
        <v>131</v>
      </c>
      <c r="F41" s="19" t="s">
        <v>1436</v>
      </c>
      <c r="G41" s="14"/>
      <c r="H41" s="7"/>
    </row>
    <row r="42" spans="2:8" x14ac:dyDescent="0.25">
      <c r="B42" s="8"/>
      <c r="C42" s="2044"/>
      <c r="D42" s="2045"/>
      <c r="E42" s="19"/>
      <c r="F42" s="19"/>
      <c r="G42" s="14"/>
      <c r="H42" s="7"/>
    </row>
    <row r="43" spans="2:8" x14ac:dyDescent="0.25">
      <c r="B43" s="8"/>
      <c r="C43" s="2033" t="s">
        <v>132</v>
      </c>
      <c r="D43" s="2034"/>
      <c r="E43" s="19" t="s">
        <v>133</v>
      </c>
      <c r="F43" s="1842">
        <v>42767</v>
      </c>
      <c r="G43" s="13"/>
      <c r="H43" s="7"/>
    </row>
    <row r="44" spans="2:8" x14ac:dyDescent="0.25">
      <c r="B44" s="8"/>
      <c r="C44" s="2046" t="s">
        <v>134</v>
      </c>
      <c r="D44" s="2047"/>
      <c r="E44" s="25" t="s">
        <v>135</v>
      </c>
      <c r="F44" s="1843">
        <v>42795</v>
      </c>
      <c r="G44" s="15"/>
      <c r="H44" s="7"/>
    </row>
    <row r="45" spans="2:8" x14ac:dyDescent="0.25">
      <c r="B45" s="8"/>
      <c r="C45" s="2033" t="s">
        <v>132</v>
      </c>
      <c r="D45" s="2034"/>
      <c r="E45" s="25" t="s">
        <v>1473</v>
      </c>
      <c r="F45" s="1842">
        <v>42248</v>
      </c>
      <c r="G45" s="14"/>
      <c r="H45" s="7"/>
    </row>
    <row r="46" spans="2:8" x14ac:dyDescent="0.25">
      <c r="B46" s="8"/>
      <c r="C46" s="2033" t="s">
        <v>132</v>
      </c>
      <c r="D46" s="2034"/>
      <c r="E46" s="25" t="s">
        <v>1474</v>
      </c>
      <c r="F46" s="1842">
        <v>42248</v>
      </c>
      <c r="G46" s="14"/>
      <c r="H46" s="7"/>
    </row>
    <row r="47" spans="2:8" x14ac:dyDescent="0.25">
      <c r="B47" s="8"/>
      <c r="C47" s="2033" t="s">
        <v>132</v>
      </c>
      <c r="D47" s="2034"/>
      <c r="E47" s="25" t="s">
        <v>1475</v>
      </c>
      <c r="F47" s="1842">
        <v>42675</v>
      </c>
      <c r="G47" s="14"/>
      <c r="H47" s="7"/>
    </row>
    <row r="48" spans="2:8" x14ac:dyDescent="0.25">
      <c r="B48" s="8"/>
      <c r="C48" s="2033" t="s">
        <v>132</v>
      </c>
      <c r="D48" s="2034"/>
      <c r="E48" s="19" t="s">
        <v>136</v>
      </c>
      <c r="F48" s="1842">
        <v>42217</v>
      </c>
      <c r="G48" s="14"/>
      <c r="H48" s="7"/>
    </row>
    <row r="49" spans="2:8" x14ac:dyDescent="0.25">
      <c r="B49" s="8"/>
      <c r="C49" s="2033" t="s">
        <v>132</v>
      </c>
      <c r="D49" s="2034"/>
      <c r="E49" s="19" t="s">
        <v>137</v>
      </c>
      <c r="F49" s="1842">
        <v>42675</v>
      </c>
      <c r="G49" s="14"/>
      <c r="H49" s="7"/>
    </row>
    <row r="50" spans="2:8" x14ac:dyDescent="0.25">
      <c r="B50" s="8"/>
      <c r="C50" s="2046" t="s">
        <v>134</v>
      </c>
      <c r="D50" s="2047"/>
      <c r="E50" s="25" t="s">
        <v>138</v>
      </c>
      <c r="F50" s="25" t="s">
        <v>1436</v>
      </c>
      <c r="G50" s="12"/>
      <c r="H50" s="7"/>
    </row>
    <row r="51" spans="2:8" x14ac:dyDescent="0.25">
      <c r="B51" s="8"/>
      <c r="C51" s="2033" t="s">
        <v>132</v>
      </c>
      <c r="D51" s="2034"/>
      <c r="E51" s="19" t="s">
        <v>1476</v>
      </c>
      <c r="F51" s="1842">
        <v>42339</v>
      </c>
      <c r="G51" s="14"/>
      <c r="H51" s="7"/>
    </row>
    <row r="52" spans="2:8" x14ac:dyDescent="0.25">
      <c r="B52" s="8"/>
      <c r="C52" s="2033" t="s">
        <v>132</v>
      </c>
      <c r="D52" s="2034"/>
      <c r="E52" s="19" t="s">
        <v>1477</v>
      </c>
      <c r="F52" s="1842">
        <v>42339</v>
      </c>
      <c r="G52" s="14"/>
      <c r="H52" s="7"/>
    </row>
    <row r="53" spans="2:8" x14ac:dyDescent="0.25">
      <c r="B53" s="8"/>
      <c r="C53" s="2033" t="s">
        <v>132</v>
      </c>
      <c r="D53" s="2034"/>
      <c r="E53" s="19" t="s">
        <v>1478</v>
      </c>
      <c r="F53" s="1842">
        <v>42767</v>
      </c>
      <c r="G53" s="14"/>
      <c r="H53" s="7"/>
    </row>
    <row r="54" spans="2:8" x14ac:dyDescent="0.25">
      <c r="B54" s="8"/>
      <c r="C54" s="2033" t="s">
        <v>132</v>
      </c>
      <c r="D54" s="2034"/>
      <c r="E54" s="19" t="s">
        <v>139</v>
      </c>
      <c r="F54" s="1842">
        <v>42856</v>
      </c>
      <c r="G54" s="14"/>
      <c r="H54" s="7"/>
    </row>
    <row r="55" spans="2:8" x14ac:dyDescent="0.25">
      <c r="B55" s="8"/>
      <c r="C55" s="1911"/>
      <c r="D55" s="1912"/>
      <c r="E55" s="19"/>
      <c r="F55" s="1842"/>
      <c r="G55" s="14"/>
      <c r="H55" s="7"/>
    </row>
    <row r="56" spans="2:8" ht="25.5" x14ac:dyDescent="0.25">
      <c r="B56" s="8"/>
      <c r="C56" s="1869" t="s">
        <v>140</v>
      </c>
      <c r="D56" s="1870"/>
      <c r="E56" s="19" t="s">
        <v>1577</v>
      </c>
      <c r="F56" s="1842">
        <v>42370</v>
      </c>
      <c r="G56" s="14" t="s">
        <v>1578</v>
      </c>
      <c r="H56" s="7"/>
    </row>
    <row r="57" spans="2:8" ht="25.5" x14ac:dyDescent="0.25">
      <c r="B57" s="8"/>
      <c r="C57" s="2052" t="s">
        <v>140</v>
      </c>
      <c r="D57" s="2053"/>
      <c r="E57" s="19" t="s">
        <v>141</v>
      </c>
      <c r="F57" s="1842">
        <v>42491</v>
      </c>
      <c r="G57" s="1844" t="s">
        <v>1479</v>
      </c>
      <c r="H57" s="7"/>
    </row>
    <row r="58" spans="2:8" x14ac:dyDescent="0.25">
      <c r="B58" s="8"/>
      <c r="C58" s="2033" t="s">
        <v>140</v>
      </c>
      <c r="D58" s="2034"/>
      <c r="E58" s="19" t="s">
        <v>142</v>
      </c>
      <c r="F58" s="1842">
        <v>42644</v>
      </c>
      <c r="G58" s="13" t="s">
        <v>1480</v>
      </c>
      <c r="H58" s="7"/>
    </row>
    <row r="59" spans="2:8" x14ac:dyDescent="0.25">
      <c r="B59" s="8"/>
      <c r="C59" s="2033" t="s">
        <v>140</v>
      </c>
      <c r="D59" s="2034"/>
      <c r="E59" s="19" t="s">
        <v>143</v>
      </c>
      <c r="F59" s="1842">
        <v>42644</v>
      </c>
      <c r="G59" s="13" t="s">
        <v>1481</v>
      </c>
      <c r="H59" s="7"/>
    </row>
    <row r="60" spans="2:8" x14ac:dyDescent="0.25">
      <c r="B60" s="8"/>
      <c r="C60" s="2033" t="s">
        <v>140</v>
      </c>
      <c r="D60" s="2034"/>
      <c r="E60" s="19" t="s">
        <v>144</v>
      </c>
      <c r="F60" s="1842">
        <v>42644</v>
      </c>
      <c r="G60" s="13" t="s">
        <v>1482</v>
      </c>
      <c r="H60" s="7"/>
    </row>
    <row r="61" spans="2:8" x14ac:dyDescent="0.25">
      <c r="B61" s="8"/>
      <c r="C61" s="2033" t="s">
        <v>140</v>
      </c>
      <c r="D61" s="2034"/>
      <c r="E61" s="19" t="s">
        <v>145</v>
      </c>
      <c r="F61" s="1842">
        <v>42795</v>
      </c>
      <c r="G61" s="16"/>
      <c r="H61" s="7"/>
    </row>
    <row r="62" spans="2:8" x14ac:dyDescent="0.25">
      <c r="B62" s="8"/>
      <c r="C62" s="2035" t="s">
        <v>140</v>
      </c>
      <c r="D62" s="2036"/>
      <c r="E62" s="25" t="s">
        <v>146</v>
      </c>
      <c r="F62" s="1843">
        <v>42795</v>
      </c>
      <c r="G62" s="12"/>
      <c r="H62" s="7"/>
    </row>
    <row r="63" spans="2:8" ht="15.75" thickBot="1" x14ac:dyDescent="0.3">
      <c r="B63" s="32"/>
      <c r="C63" s="2031" t="s">
        <v>140</v>
      </c>
      <c r="D63" s="2032"/>
      <c r="E63" s="30" t="s">
        <v>147</v>
      </c>
      <c r="F63" s="1845">
        <v>42795</v>
      </c>
      <c r="G63" s="31"/>
      <c r="H63" s="33"/>
    </row>
    <row r="64" spans="2:8" ht="9" customHeight="1" thickBot="1" x14ac:dyDescent="0.3">
      <c r="B64" s="36"/>
      <c r="C64" s="1073"/>
      <c r="D64" s="1073"/>
      <c r="E64" s="1074"/>
      <c r="F64" s="1074"/>
      <c r="G64" s="1073"/>
      <c r="H64" s="37"/>
    </row>
    <row r="65" spans="2:8" ht="9" customHeight="1" x14ac:dyDescent="0.25">
      <c r="B65" s="38"/>
      <c r="C65" s="39"/>
      <c r="D65" s="39"/>
      <c r="E65" s="39"/>
      <c r="F65" s="39"/>
      <c r="G65" s="39"/>
      <c r="H65" s="40"/>
    </row>
    <row r="66" spans="2:8" ht="18.75" x14ac:dyDescent="0.3">
      <c r="B66" s="23"/>
      <c r="C66" s="2030" t="s">
        <v>148</v>
      </c>
      <c r="D66" s="2030"/>
      <c r="E66" s="2030"/>
      <c r="F66" s="2030"/>
      <c r="G66" s="2030"/>
      <c r="H66" s="24"/>
    </row>
    <row r="67" spans="2:8" x14ac:dyDescent="0.25">
      <c r="B67" s="8"/>
      <c r="C67" s="6"/>
      <c r="D67" s="6"/>
      <c r="E67" s="6"/>
      <c r="F67" s="5"/>
      <c r="G67" s="5"/>
      <c r="H67" s="7"/>
    </row>
    <row r="68" spans="2:8" x14ac:dyDescent="0.25">
      <c r="B68" s="8"/>
      <c r="C68" s="927" t="s">
        <v>63</v>
      </c>
      <c r="D68" s="2039" t="str">
        <f>IF('1A'!G5="","Enter Project Name on Form 1A",'1A'!G5)</f>
        <v>Liberty Bank Building</v>
      </c>
      <c r="E68" s="2039"/>
      <c r="F68" s="2039"/>
      <c r="G68" s="5"/>
      <c r="H68" s="7"/>
    </row>
    <row r="69" spans="2:8" ht="22.5" customHeight="1" thickBot="1" x14ac:dyDescent="0.3">
      <c r="B69" s="8"/>
      <c r="C69" s="1072"/>
      <c r="D69" s="1072"/>
      <c r="E69" s="902"/>
      <c r="F69" s="902"/>
      <c r="G69" s="253"/>
      <c r="H69" s="7"/>
    </row>
    <row r="70" spans="2:8" ht="39" thickBot="1" x14ac:dyDescent="0.3">
      <c r="B70" s="8"/>
      <c r="C70" s="2037" t="s">
        <v>104</v>
      </c>
      <c r="D70" s="2038"/>
      <c r="E70" s="250" t="s">
        <v>105</v>
      </c>
      <c r="F70" s="251" t="s">
        <v>650</v>
      </c>
      <c r="G70" s="252" t="s">
        <v>106</v>
      </c>
      <c r="H70" s="7"/>
    </row>
    <row r="71" spans="2:8" x14ac:dyDescent="0.25">
      <c r="B71" s="8"/>
      <c r="C71" s="2040" t="s">
        <v>149</v>
      </c>
      <c r="D71" s="2041"/>
      <c r="E71" s="34" t="s">
        <v>150</v>
      </c>
      <c r="F71" s="1846">
        <v>42339</v>
      </c>
      <c r="G71" s="35"/>
      <c r="H71" s="7"/>
    </row>
    <row r="72" spans="2:8" x14ac:dyDescent="0.25">
      <c r="B72" s="8"/>
      <c r="C72" s="2033" t="s">
        <v>149</v>
      </c>
      <c r="D72" s="2034"/>
      <c r="E72" s="19" t="s">
        <v>151</v>
      </c>
      <c r="F72" s="1842">
        <v>42856</v>
      </c>
      <c r="G72" s="14"/>
      <c r="H72" s="7"/>
    </row>
    <row r="73" spans="2:8" x14ac:dyDescent="0.25">
      <c r="B73" s="8"/>
      <c r="C73" s="2033" t="s">
        <v>149</v>
      </c>
      <c r="D73" s="2034"/>
      <c r="E73" s="19" t="s">
        <v>152</v>
      </c>
      <c r="F73" s="1842">
        <v>43313</v>
      </c>
      <c r="G73" s="14"/>
      <c r="H73" s="7"/>
    </row>
    <row r="74" spans="2:8" x14ac:dyDescent="0.25">
      <c r="B74" s="8"/>
      <c r="C74" s="2033"/>
      <c r="D74" s="2034"/>
      <c r="E74" s="29"/>
      <c r="F74" s="29"/>
      <c r="G74" s="18"/>
      <c r="H74" s="7"/>
    </row>
    <row r="75" spans="2:8" x14ac:dyDescent="0.25">
      <c r="B75" s="8"/>
      <c r="C75" s="2033" t="s">
        <v>153</v>
      </c>
      <c r="D75" s="2034"/>
      <c r="E75" s="29" t="s">
        <v>154</v>
      </c>
      <c r="F75" s="1841">
        <v>42125</v>
      </c>
      <c r="G75" s="18" t="s">
        <v>1591</v>
      </c>
      <c r="H75" s="7"/>
    </row>
    <row r="76" spans="2:8" x14ac:dyDescent="0.25">
      <c r="B76" s="8"/>
      <c r="C76" s="2033" t="s">
        <v>153</v>
      </c>
      <c r="D76" s="2034"/>
      <c r="E76" s="19" t="s">
        <v>155</v>
      </c>
      <c r="F76" s="28">
        <v>42217</v>
      </c>
      <c r="G76" s="14" t="s">
        <v>1579</v>
      </c>
      <c r="H76" s="7"/>
    </row>
    <row r="77" spans="2:8" x14ac:dyDescent="0.25">
      <c r="B77" s="8"/>
      <c r="C77" s="2033" t="s">
        <v>153</v>
      </c>
      <c r="D77" s="2034"/>
      <c r="E77" s="19" t="s">
        <v>156</v>
      </c>
      <c r="F77" s="1842">
        <v>43313</v>
      </c>
      <c r="G77" s="14"/>
      <c r="H77" s="7"/>
    </row>
    <row r="78" spans="2:8" x14ac:dyDescent="0.25">
      <c r="B78" s="8"/>
      <c r="C78" s="2033" t="s">
        <v>153</v>
      </c>
      <c r="D78" s="2034"/>
      <c r="E78" s="19" t="s">
        <v>157</v>
      </c>
      <c r="F78" s="1842">
        <v>43374</v>
      </c>
      <c r="G78" s="14"/>
      <c r="H78" s="7"/>
    </row>
    <row r="79" spans="2:8" x14ac:dyDescent="0.25">
      <c r="B79" s="8"/>
      <c r="C79" s="2046" t="s">
        <v>153</v>
      </c>
      <c r="D79" s="2047"/>
      <c r="E79" s="25" t="s">
        <v>158</v>
      </c>
      <c r="F79" s="1843">
        <v>43374</v>
      </c>
      <c r="G79" s="14"/>
      <c r="H79" s="7"/>
    </row>
    <row r="80" spans="2:8" x14ac:dyDescent="0.25">
      <c r="B80" s="8"/>
      <c r="C80" s="2046" t="s">
        <v>153</v>
      </c>
      <c r="D80" s="2047"/>
      <c r="E80" s="25" t="s">
        <v>159</v>
      </c>
      <c r="F80" s="25" t="s">
        <v>1436</v>
      </c>
      <c r="G80" s="14"/>
      <c r="H80" s="7"/>
    </row>
    <row r="81" spans="2:8" ht="25.5" x14ac:dyDescent="0.25">
      <c r="B81" s="8"/>
      <c r="C81" s="2042" t="s">
        <v>153</v>
      </c>
      <c r="D81" s="2043"/>
      <c r="E81" s="26" t="s">
        <v>160</v>
      </c>
      <c r="F81" s="1843">
        <v>43313</v>
      </c>
      <c r="G81" s="14"/>
      <c r="H81" s="7"/>
    </row>
    <row r="82" spans="2:8" x14ac:dyDescent="0.25">
      <c r="B82" s="8"/>
      <c r="C82" s="2042" t="s">
        <v>153</v>
      </c>
      <c r="D82" s="2043"/>
      <c r="E82" s="26" t="s">
        <v>161</v>
      </c>
      <c r="F82" s="30">
        <v>2018</v>
      </c>
      <c r="G82" s="254"/>
      <c r="H82" s="7"/>
    </row>
    <row r="83" spans="2:8" ht="15.75" thickBot="1" x14ac:dyDescent="0.3">
      <c r="B83" s="8"/>
      <c r="C83" s="2031"/>
      <c r="D83" s="2032"/>
      <c r="E83" s="27"/>
      <c r="F83" s="27"/>
      <c r="G83" s="17"/>
      <c r="H83" s="7"/>
    </row>
    <row r="84" spans="2:8" ht="9" customHeight="1" thickBot="1" x14ac:dyDescent="0.3">
      <c r="B84" s="9"/>
      <c r="C84" s="10"/>
      <c r="D84" s="10"/>
      <c r="E84" s="10"/>
      <c r="F84" s="10"/>
      <c r="G84" s="10"/>
      <c r="H84" s="11"/>
    </row>
  </sheetData>
  <sheetProtection password="9F6B" sheet="1" objects="1" scenarios="1" formatCells="0" formatColumns="0" formatRows="0" insertRows="0"/>
  <mergeCells count="62">
    <mergeCell ref="C77:D77"/>
    <mergeCell ref="C78:D78"/>
    <mergeCell ref="C79:D79"/>
    <mergeCell ref="C80:D80"/>
    <mergeCell ref="C9:G9"/>
    <mergeCell ref="C18:D18"/>
    <mergeCell ref="C13:D13"/>
    <mergeCell ref="C57:D57"/>
    <mergeCell ref="C14:D14"/>
    <mergeCell ref="C15:D15"/>
    <mergeCell ref="C16:D16"/>
    <mergeCell ref="C17:D17"/>
    <mergeCell ref="C19:D19"/>
    <mergeCell ref="C20:D20"/>
    <mergeCell ref="C21:D21"/>
    <mergeCell ref="C22:D22"/>
    <mergeCell ref="C36:D36"/>
    <mergeCell ref="C37:D37"/>
    <mergeCell ref="C44:D44"/>
    <mergeCell ref="C24:D24"/>
    <mergeCell ref="C25:D25"/>
    <mergeCell ref="C26:D26"/>
    <mergeCell ref="C27:D27"/>
    <mergeCell ref="C33:D33"/>
    <mergeCell ref="C59:D59"/>
    <mergeCell ref="C48:D48"/>
    <mergeCell ref="C49:D49"/>
    <mergeCell ref="C50:D50"/>
    <mergeCell ref="C51:D51"/>
    <mergeCell ref="C52:D52"/>
    <mergeCell ref="D11:F11"/>
    <mergeCell ref="C53:D53"/>
    <mergeCell ref="C54:D54"/>
    <mergeCell ref="C58:D58"/>
    <mergeCell ref="C43:D43"/>
    <mergeCell ref="C45:D45"/>
    <mergeCell ref="C46:D46"/>
    <mergeCell ref="C47:D47"/>
    <mergeCell ref="C38:D38"/>
    <mergeCell ref="C39:D39"/>
    <mergeCell ref="C40:D40"/>
    <mergeCell ref="C41:D41"/>
    <mergeCell ref="C42:D42"/>
    <mergeCell ref="C34:D34"/>
    <mergeCell ref="C35:D35"/>
    <mergeCell ref="C23:D23"/>
    <mergeCell ref="C83:D83"/>
    <mergeCell ref="C60:D60"/>
    <mergeCell ref="C61:D61"/>
    <mergeCell ref="C62:D62"/>
    <mergeCell ref="C63:D63"/>
    <mergeCell ref="C66:G66"/>
    <mergeCell ref="C70:D70"/>
    <mergeCell ref="D68:F68"/>
    <mergeCell ref="C71:D71"/>
    <mergeCell ref="C72:D72"/>
    <mergeCell ref="C73:D73"/>
    <mergeCell ref="C74:D74"/>
    <mergeCell ref="C75:D75"/>
    <mergeCell ref="C81:D81"/>
    <mergeCell ref="C82:D82"/>
    <mergeCell ref="C76:D76"/>
  </mergeCells>
  <pageMargins left="0.7" right="0.7" top="0.75" bottom="0.75" header="0.3" footer="0.3"/>
  <pageSetup scale="72" orientation="portrait" r:id="rId1"/>
  <headerFooter>
    <oddFooter>&amp;LForm 5
Project Schedule&amp;CCFA Forms&amp;REdition: 2015
Version: 1.1</oddFooter>
  </headerFooter>
  <rowBreaks count="1" manualBreakCount="1">
    <brk id="64" min="1"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9:Y125"/>
  <sheetViews>
    <sheetView showGridLines="0" topLeftCell="A53" zoomScaleNormal="100" zoomScaleSheetLayoutView="100" workbookViewId="0">
      <selection activeCell="K39" sqref="K39"/>
    </sheetView>
  </sheetViews>
  <sheetFormatPr defaultRowHeight="15" x14ac:dyDescent="0.25"/>
  <cols>
    <col min="1" max="2" width="1.7109375" style="843" customWidth="1"/>
    <col min="3" max="3" width="2.85546875" style="843" customWidth="1"/>
    <col min="4" max="4" width="5.7109375" style="843" customWidth="1"/>
    <col min="5" max="5" width="8.5703125" style="843" customWidth="1"/>
    <col min="6" max="6" width="12.85546875" style="843" customWidth="1"/>
    <col min="7" max="7" width="10.7109375" style="843" customWidth="1"/>
    <col min="8" max="8" width="1.42578125" style="843" customWidth="1"/>
    <col min="9" max="9" width="7.85546875" style="843" customWidth="1"/>
    <col min="10" max="11" width="11.42578125" style="843" customWidth="1"/>
    <col min="12" max="12" width="14.28515625" style="843" bestFit="1" customWidth="1"/>
    <col min="13" max="13" width="11.28515625" style="843" bestFit="1" customWidth="1"/>
    <col min="14" max="14" width="10.5703125" style="843" bestFit="1" customWidth="1"/>
    <col min="15" max="16" width="11.28515625" style="843" bestFit="1" customWidth="1"/>
    <col min="17" max="17" width="9.140625" style="843"/>
    <col min="18" max="18" width="0.7109375" style="843" customWidth="1"/>
    <col min="19" max="19" width="10.85546875" style="843" customWidth="1"/>
    <col min="20" max="20" width="9.7109375" style="843" bestFit="1" customWidth="1"/>
    <col min="21" max="21" width="9.140625" style="843"/>
    <col min="22" max="22" width="1.7109375" style="843" customWidth="1"/>
    <col min="23" max="23" width="13.42578125" style="843" hidden="1" customWidth="1"/>
    <col min="24" max="24" width="14.28515625" style="1873" hidden="1" customWidth="1"/>
    <col min="25" max="25" width="11.5703125" style="843" hidden="1" customWidth="1"/>
    <col min="26" max="16384" width="9.140625" style="843"/>
  </cols>
  <sheetData>
    <row r="9" spans="2:22" ht="9" customHeight="1" thickBot="1" x14ac:dyDescent="0.3"/>
    <row r="10" spans="2:22" ht="9" customHeight="1" x14ac:dyDescent="0.25">
      <c r="B10" s="1075"/>
      <c r="C10" s="1076"/>
      <c r="D10" s="1076"/>
      <c r="E10" s="1076"/>
      <c r="F10" s="1076"/>
      <c r="G10" s="1076"/>
      <c r="H10" s="1076"/>
      <c r="I10" s="897"/>
      <c r="J10" s="897"/>
      <c r="K10" s="897"/>
      <c r="L10" s="897"/>
      <c r="M10" s="1076"/>
      <c r="N10" s="1076"/>
      <c r="O10" s="85"/>
      <c r="P10" s="85"/>
      <c r="Q10" s="85"/>
      <c r="R10" s="85"/>
      <c r="S10" s="85"/>
      <c r="T10" s="85"/>
      <c r="U10" s="85"/>
      <c r="V10" s="86"/>
    </row>
    <row r="11" spans="2:22" ht="18.75" x14ac:dyDescent="0.3">
      <c r="B11" s="1077"/>
      <c r="C11" s="1917" t="s">
        <v>162</v>
      </c>
      <c r="D11" s="1917"/>
      <c r="E11" s="1917"/>
      <c r="F11" s="1917"/>
      <c r="G11" s="1917"/>
      <c r="H11" s="1917"/>
      <c r="I11" s="1917"/>
      <c r="J11" s="1917"/>
      <c r="K11" s="1917"/>
      <c r="L11" s="1917"/>
      <c r="M11" s="1917"/>
      <c r="N11" s="1917"/>
      <c r="O11" s="1917"/>
      <c r="P11" s="1917"/>
      <c r="Q11" s="1917"/>
      <c r="R11" s="1917"/>
      <c r="S11" s="1917"/>
      <c r="T11" s="1917"/>
      <c r="U11" s="1917"/>
      <c r="V11" s="92"/>
    </row>
    <row r="12" spans="2:22" ht="15" customHeight="1" x14ac:dyDescent="0.25">
      <c r="B12" s="1077"/>
      <c r="C12" s="135"/>
      <c r="D12" s="135"/>
      <c r="E12" s="135"/>
      <c r="F12" s="135"/>
      <c r="G12" s="135"/>
      <c r="H12" s="135"/>
      <c r="I12" s="902"/>
      <c r="J12" s="813"/>
      <c r="K12" s="902"/>
      <c r="L12" s="902"/>
      <c r="M12" s="135"/>
      <c r="N12" s="135"/>
      <c r="O12" s="44"/>
      <c r="P12" s="44"/>
      <c r="Q12" s="44"/>
      <c r="R12" s="44"/>
      <c r="S12" s="44"/>
      <c r="T12" s="44"/>
      <c r="U12" s="44"/>
      <c r="V12" s="92"/>
    </row>
    <row r="13" spans="2:22" x14ac:dyDescent="0.25">
      <c r="B13" s="1078"/>
      <c r="C13" s="813"/>
      <c r="D13" s="258" t="s">
        <v>63</v>
      </c>
      <c r="E13" s="1079"/>
      <c r="F13" s="271" t="str">
        <f>IF('1A'!G5="","Enter Project Name on Form 1A",'1A'!G5)</f>
        <v>Liberty Bank Building</v>
      </c>
      <c r="G13" s="271"/>
      <c r="H13" s="271"/>
      <c r="I13" s="271"/>
      <c r="J13" s="271"/>
      <c r="K13" s="271"/>
      <c r="L13" s="259"/>
      <c r="M13" s="112"/>
      <c r="N13" s="112"/>
      <c r="O13" s="112"/>
      <c r="P13" s="112"/>
      <c r="Q13" s="112"/>
      <c r="R13" s="112"/>
      <c r="S13" s="135"/>
      <c r="T13" s="135"/>
      <c r="U13" s="135"/>
      <c r="V13" s="1080"/>
    </row>
    <row r="14" spans="2:22" ht="7.5" customHeight="1" thickBot="1" x14ac:dyDescent="0.3">
      <c r="B14" s="1078"/>
      <c r="C14" s="112"/>
      <c r="D14" s="43"/>
      <c r="E14" s="1079"/>
      <c r="F14" s="1079"/>
      <c r="G14" s="1079"/>
      <c r="H14" s="1079"/>
      <c r="I14" s="1079"/>
      <c r="J14" s="1079"/>
      <c r="K14" s="112"/>
      <c r="L14" s="1079"/>
      <c r="M14" s="112"/>
      <c r="N14" s="112"/>
      <c r="O14" s="112"/>
      <c r="P14" s="112"/>
      <c r="Q14" s="112"/>
      <c r="R14" s="112"/>
      <c r="S14" s="135"/>
      <c r="T14" s="135"/>
      <c r="U14" s="135"/>
      <c r="V14" s="1080"/>
    </row>
    <row r="15" spans="2:22" x14ac:dyDescent="0.25">
      <c r="B15" s="1077"/>
      <c r="C15" s="813"/>
      <c r="D15" s="272" t="s">
        <v>163</v>
      </c>
      <c r="E15" s="1079"/>
      <c r="F15" s="1914">
        <v>42261</v>
      </c>
      <c r="G15" s="902"/>
      <c r="H15" s="902"/>
      <c r="I15" s="2060" t="s">
        <v>164</v>
      </c>
      <c r="J15" s="2060" t="s">
        <v>165</v>
      </c>
      <c r="K15" s="2058" t="s">
        <v>64</v>
      </c>
      <c r="L15" s="2059"/>
      <c r="M15" s="2059"/>
      <c r="N15" s="2059"/>
      <c r="O15" s="2059"/>
      <c r="P15" s="2059"/>
      <c r="Q15" s="2059"/>
      <c r="R15" s="1081"/>
      <c r="S15" s="2056" t="s">
        <v>65</v>
      </c>
      <c r="T15" s="2056"/>
      <c r="U15" s="2057"/>
      <c r="V15" s="1080"/>
    </row>
    <row r="16" spans="2:22" x14ac:dyDescent="0.25">
      <c r="B16" s="1077"/>
      <c r="C16" s="112"/>
      <c r="D16" s="1079"/>
      <c r="E16" s="1079"/>
      <c r="F16" s="1079"/>
      <c r="G16" s="1079"/>
      <c r="H16" s="1079"/>
      <c r="I16" s="2061"/>
      <c r="J16" s="2061"/>
      <c r="K16" s="2063" t="s">
        <v>167</v>
      </c>
      <c r="L16" s="1082" t="s">
        <v>168</v>
      </c>
      <c r="M16" s="1082" t="s">
        <v>168</v>
      </c>
      <c r="N16" s="1082" t="s">
        <v>168</v>
      </c>
      <c r="O16" s="1082" t="s">
        <v>168</v>
      </c>
      <c r="P16" s="1082" t="s">
        <v>168</v>
      </c>
      <c r="Q16" s="1082" t="s">
        <v>168</v>
      </c>
      <c r="R16" s="1083"/>
      <c r="S16" s="2065" t="s">
        <v>653</v>
      </c>
      <c r="T16" s="1082" t="s">
        <v>168</v>
      </c>
      <c r="U16" s="1084" t="s">
        <v>168</v>
      </c>
      <c r="V16" s="1080"/>
    </row>
    <row r="17" spans="2:25" x14ac:dyDescent="0.25">
      <c r="B17" s="1077"/>
      <c r="C17" s="112"/>
      <c r="D17" s="1079"/>
      <c r="E17" s="1079"/>
      <c r="F17" s="1079"/>
      <c r="G17" s="1079"/>
      <c r="H17" s="1079"/>
      <c r="I17" s="2061"/>
      <c r="J17" s="2061"/>
      <c r="K17" s="2063"/>
      <c r="L17" s="2073" t="s">
        <v>1512</v>
      </c>
      <c r="M17" s="2073" t="s">
        <v>1513</v>
      </c>
      <c r="N17" s="2073" t="s">
        <v>1514</v>
      </c>
      <c r="O17" s="2073" t="s">
        <v>1511</v>
      </c>
      <c r="P17" s="2073" t="s">
        <v>1515</v>
      </c>
      <c r="Q17" s="2067" t="s">
        <v>169</v>
      </c>
      <c r="R17" s="1083"/>
      <c r="S17" s="2065"/>
      <c r="T17" s="2069" t="s">
        <v>1517</v>
      </c>
      <c r="U17" s="2071" t="s">
        <v>169</v>
      </c>
      <c r="V17" s="1080"/>
    </row>
    <row r="18" spans="2:25" ht="15.75" thickBot="1" x14ac:dyDescent="0.3">
      <c r="B18" s="1077"/>
      <c r="C18" s="112"/>
      <c r="D18" s="1079"/>
      <c r="E18" s="138"/>
      <c r="F18" s="138"/>
      <c r="G18" s="138"/>
      <c r="H18" s="138"/>
      <c r="I18" s="2062"/>
      <c r="J18" s="2062"/>
      <c r="K18" s="2064"/>
      <c r="L18" s="2074"/>
      <c r="M18" s="2074"/>
      <c r="N18" s="2074"/>
      <c r="O18" s="2074"/>
      <c r="P18" s="2074"/>
      <c r="Q18" s="2068"/>
      <c r="R18" s="1085"/>
      <c r="S18" s="2066"/>
      <c r="T18" s="2070"/>
      <c r="U18" s="2072"/>
      <c r="V18" s="901"/>
    </row>
    <row r="19" spans="2:25" ht="15.75" thickBot="1" x14ac:dyDescent="0.3">
      <c r="B19" s="1077"/>
      <c r="C19" s="145" t="s">
        <v>170</v>
      </c>
      <c r="D19" s="145"/>
      <c r="E19" s="145"/>
      <c r="F19" s="145"/>
      <c r="G19" s="145"/>
      <c r="H19" s="114"/>
      <c r="I19" s="114"/>
      <c r="J19" s="114"/>
      <c r="K19" s="114"/>
      <c r="L19" s="1079"/>
      <c r="M19" s="112"/>
      <c r="N19" s="112"/>
      <c r="O19" s="41"/>
      <c r="P19" s="1086"/>
      <c r="Q19" s="1086"/>
      <c r="R19" s="135"/>
      <c r="S19" s="135"/>
      <c r="T19" s="1086"/>
      <c r="U19" s="1086"/>
      <c r="V19" s="901"/>
      <c r="X19" s="1913"/>
    </row>
    <row r="20" spans="2:25" x14ac:dyDescent="0.25">
      <c r="B20" s="1077"/>
      <c r="C20" s="112"/>
      <c r="D20" s="260" t="s">
        <v>171</v>
      </c>
      <c r="E20" s="260"/>
      <c r="F20" s="260"/>
      <c r="G20" s="260"/>
      <c r="H20" s="260"/>
      <c r="I20" s="701">
        <f>IFERROR(J20/J$118," ")</f>
        <v>1.8482057033282897E-2</v>
      </c>
      <c r="J20" s="98">
        <f>K20+S20</f>
        <v>560000</v>
      </c>
      <c r="K20" s="67">
        <f>SUM(L20:Q20)</f>
        <v>554456</v>
      </c>
      <c r="L20" s="68"/>
      <c r="M20" s="52">
        <v>554456</v>
      </c>
      <c r="N20" s="52"/>
      <c r="O20" s="52"/>
      <c r="P20" s="52"/>
      <c r="Q20" s="52"/>
      <c r="R20" s="1087"/>
      <c r="S20" s="1088">
        <f>SUM(T20:U20)</f>
        <v>5544</v>
      </c>
      <c r="T20" s="69">
        <v>5544</v>
      </c>
      <c r="U20" s="57"/>
      <c r="V20" s="901"/>
      <c r="W20" s="1864">
        <f>X20-J20</f>
        <v>0</v>
      </c>
      <c r="X20" s="1913">
        <v>560000</v>
      </c>
    </row>
    <row r="21" spans="2:25" x14ac:dyDescent="0.25">
      <c r="B21" s="1077"/>
      <c r="C21" s="112"/>
      <c r="D21" s="262" t="s">
        <v>172</v>
      </c>
      <c r="E21" s="262"/>
      <c r="F21" s="262"/>
      <c r="G21" s="262"/>
      <c r="H21" s="262"/>
      <c r="I21" s="702">
        <f t="shared" ref="I21:I26" si="0">IFERROR(J21/J$118," ")</f>
        <v>0</v>
      </c>
      <c r="J21" s="99">
        <f t="shared" ref="J21:J25" si="1">K21+S21</f>
        <v>0</v>
      </c>
      <c r="K21" s="65">
        <f t="shared" ref="K21:K25" si="2">SUM(L21:Q21)</f>
        <v>0</v>
      </c>
      <c r="L21" s="70"/>
      <c r="M21" s="55"/>
      <c r="N21" s="55"/>
      <c r="O21" s="55"/>
      <c r="P21" s="55"/>
      <c r="Q21" s="55"/>
      <c r="R21" s="1089"/>
      <c r="S21" s="74">
        <f t="shared" ref="S21:S25" si="3">SUM(T21:U21)</f>
        <v>0</v>
      </c>
      <c r="T21" s="71"/>
      <c r="U21" s="58"/>
      <c r="V21" s="901"/>
      <c r="W21" s="1864">
        <f t="shared" ref="W21:W84" si="4">X21-J21</f>
        <v>0</v>
      </c>
      <c r="X21" s="1913"/>
    </row>
    <row r="22" spans="2:25" x14ac:dyDescent="0.25">
      <c r="B22" s="1077"/>
      <c r="C22" s="112"/>
      <c r="D22" s="111" t="s">
        <v>173</v>
      </c>
      <c r="E22" s="111"/>
      <c r="F22" s="111"/>
      <c r="G22" s="111"/>
      <c r="H22" s="111"/>
      <c r="I22" s="702">
        <f t="shared" si="0"/>
        <v>0</v>
      </c>
      <c r="J22" s="99">
        <f t="shared" si="1"/>
        <v>0</v>
      </c>
      <c r="K22" s="65">
        <f t="shared" si="2"/>
        <v>0</v>
      </c>
      <c r="L22" s="70"/>
      <c r="M22" s="55"/>
      <c r="N22" s="55"/>
      <c r="O22" s="55"/>
      <c r="P22" s="55"/>
      <c r="Q22" s="55"/>
      <c r="R22" s="1089"/>
      <c r="S22" s="74">
        <f t="shared" si="3"/>
        <v>0</v>
      </c>
      <c r="T22" s="71"/>
      <c r="U22" s="58"/>
      <c r="V22" s="901"/>
      <c r="W22" s="1864">
        <f t="shared" si="4"/>
        <v>0</v>
      </c>
      <c r="X22" s="1913"/>
    </row>
    <row r="23" spans="2:25" x14ac:dyDescent="0.25">
      <c r="B23" s="1077"/>
      <c r="C23" s="112"/>
      <c r="D23" s="111" t="s">
        <v>174</v>
      </c>
      <c r="E23" s="111"/>
      <c r="F23" s="111"/>
      <c r="G23" s="111"/>
      <c r="H23" s="111"/>
      <c r="I23" s="702">
        <f t="shared" si="0"/>
        <v>4.9505509910579182E-4</v>
      </c>
      <c r="J23" s="99">
        <f t="shared" si="1"/>
        <v>15000</v>
      </c>
      <c r="K23" s="65">
        <f t="shared" si="2"/>
        <v>15000</v>
      </c>
      <c r="L23" s="70"/>
      <c r="M23" s="55">
        <v>15000</v>
      </c>
      <c r="N23" s="55"/>
      <c r="O23" s="55"/>
      <c r="P23" s="55"/>
      <c r="Q23" s="55"/>
      <c r="R23" s="1089"/>
      <c r="S23" s="74">
        <f t="shared" si="3"/>
        <v>0</v>
      </c>
      <c r="T23" s="71"/>
      <c r="U23" s="58"/>
      <c r="V23" s="901"/>
      <c r="W23" s="1864">
        <f t="shared" si="4"/>
        <v>0</v>
      </c>
      <c r="X23" s="1913">
        <v>15000</v>
      </c>
    </row>
    <row r="24" spans="2:25" x14ac:dyDescent="0.25">
      <c r="B24" s="1077"/>
      <c r="C24" s="112"/>
      <c r="D24" s="117" t="s">
        <v>175</v>
      </c>
      <c r="E24" s="117"/>
      <c r="F24" s="117"/>
      <c r="G24" s="117"/>
      <c r="H24" s="117"/>
      <c r="I24" s="702">
        <f t="shared" si="0"/>
        <v>0</v>
      </c>
      <c r="J24" s="99">
        <f t="shared" si="1"/>
        <v>0</v>
      </c>
      <c r="K24" s="65">
        <f t="shared" si="2"/>
        <v>0</v>
      </c>
      <c r="L24" s="70"/>
      <c r="M24" s="55"/>
      <c r="N24" s="55"/>
      <c r="O24" s="55"/>
      <c r="P24" s="55"/>
      <c r="Q24" s="55"/>
      <c r="R24" s="1089"/>
      <c r="S24" s="74">
        <f t="shared" si="3"/>
        <v>0</v>
      </c>
      <c r="T24" s="71"/>
      <c r="U24" s="58"/>
      <c r="V24" s="901"/>
      <c r="W24" s="1864">
        <f t="shared" si="4"/>
        <v>0</v>
      </c>
      <c r="X24" s="1913"/>
    </row>
    <row r="25" spans="2:25" x14ac:dyDescent="0.25">
      <c r="B25" s="1077"/>
      <c r="C25" s="112"/>
      <c r="D25" s="117" t="s">
        <v>481</v>
      </c>
      <c r="E25" s="2075" t="s">
        <v>1524</v>
      </c>
      <c r="F25" s="2076"/>
      <c r="G25" s="2077"/>
      <c r="H25" s="270"/>
      <c r="I25" s="702">
        <f t="shared" si="0"/>
        <v>1.6501836636859728E-4</v>
      </c>
      <c r="J25" s="100">
        <f t="shared" si="1"/>
        <v>5000</v>
      </c>
      <c r="K25" s="66">
        <f t="shared" si="2"/>
        <v>5000</v>
      </c>
      <c r="L25" s="72"/>
      <c r="M25" s="56">
        <v>5000</v>
      </c>
      <c r="N25" s="56"/>
      <c r="O25" s="56"/>
      <c r="P25" s="56"/>
      <c r="Q25" s="56"/>
      <c r="R25" s="1089"/>
      <c r="S25" s="1090">
        <f t="shared" si="3"/>
        <v>0</v>
      </c>
      <c r="T25" s="73"/>
      <c r="U25" s="82"/>
      <c r="V25" s="901"/>
      <c r="W25" s="1864">
        <f t="shared" si="4"/>
        <v>0</v>
      </c>
      <c r="X25" s="1913">
        <v>5000</v>
      </c>
    </row>
    <row r="26" spans="2:25" ht="15.75" thickBot="1" x14ac:dyDescent="0.3">
      <c r="B26" s="1077"/>
      <c r="C26" s="112"/>
      <c r="D26" s="111"/>
      <c r="E26" s="111"/>
      <c r="F26" s="111"/>
      <c r="G26" s="115" t="s">
        <v>176</v>
      </c>
      <c r="H26" s="115"/>
      <c r="I26" s="703">
        <f t="shared" si="0"/>
        <v>1.9142130498757286E-2</v>
      </c>
      <c r="J26" s="101">
        <f>SUM(J20:J25)</f>
        <v>580000</v>
      </c>
      <c r="K26" s="62">
        <f>SUM(K20:K25)</f>
        <v>574456</v>
      </c>
      <c r="L26" s="1091">
        <f>SUM(L20:L25)</f>
        <v>0</v>
      </c>
      <c r="M26" s="1092">
        <f t="shared" ref="M26:Q26" si="5">SUM(M20:M25)</f>
        <v>574456</v>
      </c>
      <c r="N26" s="1092">
        <f t="shared" si="5"/>
        <v>0</v>
      </c>
      <c r="O26" s="1092">
        <f t="shared" si="5"/>
        <v>0</v>
      </c>
      <c r="P26" s="1092">
        <f t="shared" si="5"/>
        <v>0</v>
      </c>
      <c r="Q26" s="1092">
        <f t="shared" si="5"/>
        <v>0</v>
      </c>
      <c r="R26" s="1093"/>
      <c r="S26" s="1094">
        <f>SUM(S20:S25)</f>
        <v>5544</v>
      </c>
      <c r="T26" s="1091">
        <f t="shared" ref="T26:U26" si="6">SUM(T20:T25)</f>
        <v>5544</v>
      </c>
      <c r="U26" s="1095">
        <f t="shared" si="6"/>
        <v>0</v>
      </c>
      <c r="V26" s="901"/>
      <c r="W26" s="1864"/>
    </row>
    <row r="27" spans="2:25" ht="3.75" customHeight="1" x14ac:dyDescent="0.25">
      <c r="B27" s="1077"/>
      <c r="C27" s="111"/>
      <c r="D27" s="111"/>
      <c r="E27" s="111"/>
      <c r="F27" s="111"/>
      <c r="G27" s="111"/>
      <c r="H27" s="111"/>
      <c r="I27" s="1079"/>
      <c r="J27" s="1096"/>
      <c r="K27" s="112"/>
      <c r="L27" s="42"/>
      <c r="M27" s="42"/>
      <c r="N27" s="42"/>
      <c r="O27" s="42"/>
      <c r="P27" s="112"/>
      <c r="Q27" s="42"/>
      <c r="R27" s="1089"/>
      <c r="S27" s="42"/>
      <c r="T27" s="42"/>
      <c r="U27" s="42"/>
      <c r="V27" s="901"/>
      <c r="W27" s="1864"/>
    </row>
    <row r="28" spans="2:25" ht="15.75" thickBot="1" x14ac:dyDescent="0.3">
      <c r="B28" s="1077"/>
      <c r="C28" s="145" t="s">
        <v>177</v>
      </c>
      <c r="D28" s="145"/>
      <c r="E28" s="145"/>
      <c r="F28" s="145"/>
      <c r="G28" s="145"/>
      <c r="H28" s="114"/>
      <c r="I28" s="114"/>
      <c r="J28" s="114"/>
      <c r="K28" s="114"/>
      <c r="L28" s="1079"/>
      <c r="M28" s="112"/>
      <c r="N28" s="112"/>
      <c r="O28" s="41"/>
      <c r="P28" s="1086"/>
      <c r="Q28" s="1086"/>
      <c r="R28" s="1083"/>
      <c r="S28" s="135"/>
      <c r="T28" s="1086"/>
      <c r="U28" s="1086"/>
      <c r="V28" s="901"/>
      <c r="W28" s="1864"/>
    </row>
    <row r="29" spans="2:25" x14ac:dyDescent="0.25">
      <c r="B29" s="1077"/>
      <c r="C29" s="112"/>
      <c r="D29" s="264" t="s">
        <v>178</v>
      </c>
      <c r="E29" s="264"/>
      <c r="F29" s="264"/>
      <c r="G29" s="264"/>
      <c r="H29" s="264"/>
      <c r="I29" s="701">
        <f t="shared" ref="I29:I45" si="7">IFERROR(J29/J$118," ")</f>
        <v>0</v>
      </c>
      <c r="J29" s="98">
        <f t="shared" ref="J29:J44" si="8">K29+S29</f>
        <v>0</v>
      </c>
      <c r="K29" s="59">
        <f t="shared" ref="K29:K44" si="9">SUM(L29:Q29)</f>
        <v>0</v>
      </c>
      <c r="L29" s="69"/>
      <c r="M29" s="49"/>
      <c r="N29" s="49"/>
      <c r="O29" s="49"/>
      <c r="P29" s="49"/>
      <c r="Q29" s="49"/>
      <c r="R29" s="1087"/>
      <c r="S29" s="61">
        <f t="shared" ref="S29:S44" si="10">SUM(T29:U29)</f>
        <v>0</v>
      </c>
      <c r="T29" s="69"/>
      <c r="U29" s="57"/>
      <c r="V29" s="901"/>
      <c r="W29" s="1864">
        <f t="shared" si="4"/>
        <v>0</v>
      </c>
      <c r="X29" s="1913"/>
    </row>
    <row r="30" spans="2:25" x14ac:dyDescent="0.25">
      <c r="B30" s="1077"/>
      <c r="C30" s="112"/>
      <c r="D30" s="111" t="s">
        <v>179</v>
      </c>
      <c r="E30" s="111"/>
      <c r="F30" s="111"/>
      <c r="G30" s="111"/>
      <c r="H30" s="111"/>
      <c r="I30" s="702">
        <f t="shared" si="7"/>
        <v>0.55716187352370294</v>
      </c>
      <c r="J30" s="99">
        <f t="shared" si="8"/>
        <v>16881814</v>
      </c>
      <c r="K30" s="47">
        <f t="shared" si="9"/>
        <v>16714684</v>
      </c>
      <c r="L30" s="71">
        <f>8974178-167130</f>
        <v>8807048</v>
      </c>
      <c r="M30" s="50"/>
      <c r="N30" s="50"/>
      <c r="O30" s="50">
        <f>6907636-500000-75000-25000-4500-520-10-15-3</f>
        <v>6302588</v>
      </c>
      <c r="P30" s="50">
        <v>1605048</v>
      </c>
      <c r="Q30" s="50"/>
      <c r="R30" s="1089"/>
      <c r="S30" s="74">
        <f t="shared" si="10"/>
        <v>167130</v>
      </c>
      <c r="T30" s="71">
        <v>167130</v>
      </c>
      <c r="U30" s="58"/>
      <c r="V30" s="901"/>
      <c r="W30" s="1864">
        <f t="shared" si="4"/>
        <v>0</v>
      </c>
      <c r="X30" s="1913">
        <v>16881814</v>
      </c>
      <c r="Y30" s="1872">
        <f>X30-W30</f>
        <v>16881814</v>
      </c>
    </row>
    <row r="31" spans="2:25" x14ac:dyDescent="0.25">
      <c r="B31" s="1077"/>
      <c r="C31" s="112"/>
      <c r="D31" s="111" t="s">
        <v>180</v>
      </c>
      <c r="E31" s="111"/>
      <c r="F31" s="111"/>
      <c r="G31" s="111"/>
      <c r="H31" s="111"/>
      <c r="I31" s="702">
        <f t="shared" si="7"/>
        <v>0</v>
      </c>
      <c r="J31" s="99">
        <f t="shared" si="8"/>
        <v>0</v>
      </c>
      <c r="K31" s="47">
        <f t="shared" si="9"/>
        <v>0</v>
      </c>
      <c r="L31" s="71"/>
      <c r="M31" s="50"/>
      <c r="N31" s="50"/>
      <c r="O31" s="50"/>
      <c r="P31" s="50"/>
      <c r="Q31" s="50"/>
      <c r="R31" s="1089"/>
      <c r="S31" s="74">
        <f t="shared" si="10"/>
        <v>0</v>
      </c>
      <c r="T31" s="71"/>
      <c r="U31" s="58"/>
      <c r="V31" s="901"/>
      <c r="W31" s="1864">
        <f t="shared" si="4"/>
        <v>0</v>
      </c>
      <c r="X31" s="1913"/>
    </row>
    <row r="32" spans="2:25" x14ac:dyDescent="0.25">
      <c r="B32" s="1077"/>
      <c r="C32" s="112"/>
      <c r="D32" s="111" t="s">
        <v>181</v>
      </c>
      <c r="E32" s="111"/>
      <c r="F32" s="111"/>
      <c r="G32" s="111"/>
      <c r="H32" s="111"/>
      <c r="I32" s="702">
        <f t="shared" si="7"/>
        <v>0</v>
      </c>
      <c r="J32" s="99">
        <f t="shared" si="8"/>
        <v>0</v>
      </c>
      <c r="K32" s="47">
        <f t="shared" si="9"/>
        <v>0</v>
      </c>
      <c r="L32" s="71"/>
      <c r="M32" s="50"/>
      <c r="N32" s="50"/>
      <c r="O32" s="50"/>
      <c r="P32" s="50"/>
      <c r="Q32" s="50"/>
      <c r="R32" s="1089"/>
      <c r="S32" s="74">
        <f t="shared" si="10"/>
        <v>0</v>
      </c>
      <c r="T32" s="71"/>
      <c r="U32" s="58"/>
      <c r="V32" s="901"/>
      <c r="W32" s="1864">
        <f t="shared" si="4"/>
        <v>0</v>
      </c>
      <c r="X32" s="1913"/>
    </row>
    <row r="33" spans="2:25" x14ac:dyDescent="0.25">
      <c r="B33" s="1077"/>
      <c r="C33" s="112"/>
      <c r="D33" s="111" t="s">
        <v>182</v>
      </c>
      <c r="E33" s="111"/>
      <c r="F33" s="111"/>
      <c r="G33" s="111"/>
      <c r="H33" s="111"/>
      <c r="I33" s="702">
        <f t="shared" si="7"/>
        <v>0</v>
      </c>
      <c r="J33" s="99">
        <f t="shared" si="8"/>
        <v>0</v>
      </c>
      <c r="K33" s="47">
        <f t="shared" si="9"/>
        <v>0</v>
      </c>
      <c r="L33" s="71"/>
      <c r="M33" s="50"/>
      <c r="N33" s="50"/>
      <c r="O33" s="50"/>
      <c r="P33" s="50"/>
      <c r="Q33" s="50"/>
      <c r="R33" s="1089"/>
      <c r="S33" s="74">
        <f t="shared" si="10"/>
        <v>0</v>
      </c>
      <c r="T33" s="71"/>
      <c r="U33" s="58"/>
      <c r="V33" s="901"/>
      <c r="W33" s="1864">
        <f t="shared" si="4"/>
        <v>0</v>
      </c>
      <c r="X33" s="1913"/>
    </row>
    <row r="34" spans="2:25" x14ac:dyDescent="0.25">
      <c r="B34" s="1077"/>
      <c r="C34" s="112"/>
      <c r="D34" s="111" t="s">
        <v>652</v>
      </c>
      <c r="E34" s="111"/>
      <c r="F34" s="111"/>
      <c r="G34" s="700">
        <f>IFERROR(J34/(J30+J32+J33+J42),"")</f>
        <v>6.2999983295633985E-2</v>
      </c>
      <c r="H34" s="120"/>
      <c r="I34" s="702">
        <f t="shared" si="7"/>
        <v>3.5101188724957426E-2</v>
      </c>
      <c r="J34" s="99">
        <f>K34+S34</f>
        <v>1063554</v>
      </c>
      <c r="K34" s="47">
        <f t="shared" si="9"/>
        <v>1053025</v>
      </c>
      <c r="L34" s="71">
        <v>1053025</v>
      </c>
      <c r="M34" s="50"/>
      <c r="N34" s="50"/>
      <c r="O34" s="50"/>
      <c r="P34" s="50"/>
      <c r="Q34" s="50"/>
      <c r="R34" s="1089"/>
      <c r="S34" s="74">
        <f t="shared" si="10"/>
        <v>10529</v>
      </c>
      <c r="T34" s="71">
        <v>10529</v>
      </c>
      <c r="U34" s="58"/>
      <c r="V34" s="901"/>
      <c r="W34" s="1864">
        <f t="shared" si="4"/>
        <v>0</v>
      </c>
      <c r="X34" s="1913">
        <v>1063554</v>
      </c>
    </row>
    <row r="35" spans="2:25" x14ac:dyDescent="0.25">
      <c r="B35" s="1077"/>
      <c r="C35" s="112"/>
      <c r="D35" s="111" t="s">
        <v>184</v>
      </c>
      <c r="E35" s="111"/>
      <c r="F35" s="111"/>
      <c r="G35" s="700" t="str">
        <f>IFERROR(J35/(J31+J32+J33+J42),"")</f>
        <v/>
      </c>
      <c r="H35" s="120"/>
      <c r="I35" s="702">
        <f t="shared" si="7"/>
        <v>0</v>
      </c>
      <c r="J35" s="99">
        <f t="shared" si="8"/>
        <v>0</v>
      </c>
      <c r="K35" s="47">
        <f t="shared" si="9"/>
        <v>0</v>
      </c>
      <c r="L35" s="71"/>
      <c r="M35" s="50"/>
      <c r="N35" s="50"/>
      <c r="O35" s="50"/>
      <c r="P35" s="50"/>
      <c r="Q35" s="50"/>
      <c r="R35" s="1089"/>
      <c r="S35" s="74">
        <f t="shared" si="10"/>
        <v>0</v>
      </c>
      <c r="T35" s="71"/>
      <c r="U35" s="58"/>
      <c r="V35" s="901"/>
      <c r="W35" s="1864">
        <f t="shared" si="4"/>
        <v>0</v>
      </c>
      <c r="X35" s="1913"/>
    </row>
    <row r="36" spans="2:25" x14ac:dyDescent="0.25">
      <c r="B36" s="1077"/>
      <c r="C36" s="112"/>
      <c r="D36" s="111" t="s">
        <v>185</v>
      </c>
      <c r="E36" s="111"/>
      <c r="F36" s="111"/>
      <c r="G36" s="111"/>
      <c r="H36" s="111"/>
      <c r="I36" s="702">
        <f t="shared" si="7"/>
        <v>0</v>
      </c>
      <c r="J36" s="99">
        <f t="shared" si="8"/>
        <v>0</v>
      </c>
      <c r="K36" s="47">
        <f t="shared" si="9"/>
        <v>0</v>
      </c>
      <c r="L36" s="71"/>
      <c r="M36" s="50"/>
      <c r="N36" s="50"/>
      <c r="O36" s="50"/>
      <c r="P36" s="50"/>
      <c r="Q36" s="50"/>
      <c r="R36" s="1089"/>
      <c r="S36" s="74">
        <f t="shared" si="10"/>
        <v>0</v>
      </c>
      <c r="T36" s="71"/>
      <c r="U36" s="58"/>
      <c r="V36" s="901"/>
      <c r="W36" s="1864">
        <f t="shared" si="4"/>
        <v>0</v>
      </c>
      <c r="X36" s="1913"/>
    </row>
    <row r="37" spans="2:25" x14ac:dyDescent="0.25">
      <c r="B37" s="1077"/>
      <c r="C37" s="112"/>
      <c r="D37" s="111" t="s">
        <v>186</v>
      </c>
      <c r="E37" s="111"/>
      <c r="F37" s="111"/>
      <c r="G37" s="111"/>
      <c r="H37" s="111"/>
      <c r="I37" s="702">
        <f t="shared" si="7"/>
        <v>0</v>
      </c>
      <c r="J37" s="99">
        <f t="shared" si="8"/>
        <v>0</v>
      </c>
      <c r="K37" s="47">
        <f t="shared" si="9"/>
        <v>0</v>
      </c>
      <c r="L37" s="71"/>
      <c r="M37" s="50"/>
      <c r="N37" s="50"/>
      <c r="O37" s="50"/>
      <c r="P37" s="50"/>
      <c r="Q37" s="50"/>
      <c r="R37" s="1089"/>
      <c r="S37" s="74">
        <f t="shared" si="10"/>
        <v>0</v>
      </c>
      <c r="T37" s="71"/>
      <c r="U37" s="58"/>
      <c r="V37" s="901"/>
      <c r="W37" s="1864">
        <f t="shared" si="4"/>
        <v>0</v>
      </c>
      <c r="X37" s="1913"/>
    </row>
    <row r="38" spans="2:25" x14ac:dyDescent="0.25">
      <c r="B38" s="1077"/>
      <c r="C38" s="112"/>
      <c r="D38" s="111" t="s">
        <v>187</v>
      </c>
      <c r="E38" s="111"/>
      <c r="F38" s="111"/>
      <c r="G38" s="111"/>
      <c r="H38" s="111"/>
      <c r="I38" s="702">
        <f t="shared" si="7"/>
        <v>0</v>
      </c>
      <c r="J38" s="99">
        <f t="shared" si="8"/>
        <v>0</v>
      </c>
      <c r="K38" s="47">
        <f t="shared" si="9"/>
        <v>0</v>
      </c>
      <c r="L38" s="1867"/>
      <c r="M38" s="1868"/>
      <c r="N38" s="50"/>
      <c r="O38" s="50"/>
      <c r="P38" s="50"/>
      <c r="Q38" s="50"/>
      <c r="R38" s="1089"/>
      <c r="S38" s="74">
        <f t="shared" si="10"/>
        <v>0</v>
      </c>
      <c r="T38" s="71"/>
      <c r="U38" s="58"/>
      <c r="V38" s="901"/>
      <c r="W38" s="1864">
        <f t="shared" si="4"/>
        <v>0</v>
      </c>
      <c r="X38" s="1913"/>
    </row>
    <row r="39" spans="2:25" x14ac:dyDescent="0.25">
      <c r="B39" s="1077"/>
      <c r="C39" s="112"/>
      <c r="D39" s="111" t="s">
        <v>188</v>
      </c>
      <c r="E39" s="111"/>
      <c r="F39" s="111"/>
      <c r="G39" s="111"/>
      <c r="H39" s="111"/>
      <c r="I39" s="702">
        <f t="shared" si="7"/>
        <v>0</v>
      </c>
      <c r="J39" s="99">
        <f t="shared" si="8"/>
        <v>0</v>
      </c>
      <c r="K39" s="47">
        <f t="shared" si="9"/>
        <v>0</v>
      </c>
      <c r="L39" s="71"/>
      <c r="M39" s="50"/>
      <c r="N39" s="50"/>
      <c r="O39" s="50"/>
      <c r="P39" s="50"/>
      <c r="Q39" s="50"/>
      <c r="R39" s="1089"/>
      <c r="S39" s="74">
        <f t="shared" si="10"/>
        <v>0</v>
      </c>
      <c r="T39" s="71"/>
      <c r="U39" s="58"/>
      <c r="V39" s="901"/>
      <c r="W39" s="1864">
        <f t="shared" si="4"/>
        <v>0</v>
      </c>
      <c r="X39" s="1913"/>
    </row>
    <row r="40" spans="2:25" x14ac:dyDescent="0.25">
      <c r="B40" s="1077"/>
      <c r="C40" s="112"/>
      <c r="D40" s="111" t="s">
        <v>189</v>
      </c>
      <c r="E40" s="111"/>
      <c r="F40" s="111"/>
      <c r="G40" s="111"/>
      <c r="H40" s="111"/>
      <c r="I40" s="702">
        <f t="shared" si="7"/>
        <v>1.4686634606805159E-2</v>
      </c>
      <c r="J40" s="99">
        <f t="shared" si="8"/>
        <v>445000</v>
      </c>
      <c r="K40" s="47">
        <f t="shared" si="9"/>
        <v>440594</v>
      </c>
      <c r="L40" s="71"/>
      <c r="M40" s="50"/>
      <c r="N40" s="50"/>
      <c r="O40" s="50"/>
      <c r="P40" s="50">
        <v>440594</v>
      </c>
      <c r="Q40" s="50"/>
      <c r="R40" s="1089"/>
      <c r="S40" s="74">
        <f t="shared" si="10"/>
        <v>4406</v>
      </c>
      <c r="T40" s="71">
        <v>4406</v>
      </c>
      <c r="U40" s="58"/>
      <c r="V40" s="901"/>
      <c r="W40" s="1864">
        <f t="shared" si="4"/>
        <v>0</v>
      </c>
      <c r="X40" s="1913">
        <v>445000</v>
      </c>
    </row>
    <row r="41" spans="2:25" x14ac:dyDescent="0.25">
      <c r="B41" s="1077"/>
      <c r="C41" s="112"/>
      <c r="D41" s="111" t="s">
        <v>190</v>
      </c>
      <c r="E41" s="111"/>
      <c r="F41" s="111"/>
      <c r="G41" s="111"/>
      <c r="H41" s="111"/>
      <c r="I41" s="702">
        <f t="shared" si="7"/>
        <v>5.6161908824695919E-2</v>
      </c>
      <c r="J41" s="99">
        <f t="shared" si="8"/>
        <v>1701686.608</v>
      </c>
      <c r="K41" s="47">
        <f t="shared" si="9"/>
        <v>1684839.608</v>
      </c>
      <c r="L41" s="71">
        <f>(L30*0.096)-23924-43328</f>
        <v>778224.60800000001</v>
      </c>
      <c r="M41" s="50"/>
      <c r="N41" s="50"/>
      <c r="O41" s="50">
        <f>605568+24220</f>
        <v>629788</v>
      </c>
      <c r="P41" s="50">
        <f>234315-520-296+43328</f>
        <v>276827</v>
      </c>
      <c r="Q41" s="50"/>
      <c r="R41" s="1089"/>
      <c r="S41" s="74">
        <f t="shared" si="10"/>
        <v>16847</v>
      </c>
      <c r="T41" s="71">
        <v>16847</v>
      </c>
      <c r="U41" s="58"/>
      <c r="V41" s="901"/>
      <c r="W41" s="1864">
        <f t="shared" si="4"/>
        <v>0.39199999999254942</v>
      </c>
      <c r="X41" s="1913">
        <v>1701687</v>
      </c>
      <c r="Y41" s="1872">
        <f>X41-W41</f>
        <v>1701686.608</v>
      </c>
    </row>
    <row r="42" spans="2:25" x14ac:dyDescent="0.25">
      <c r="B42" s="1077"/>
      <c r="C42" s="112"/>
      <c r="D42" s="111" t="s">
        <v>191</v>
      </c>
      <c r="E42" s="111"/>
      <c r="F42" s="111"/>
      <c r="G42" s="111"/>
      <c r="H42" s="111"/>
      <c r="I42" s="702">
        <f t="shared" si="7"/>
        <v>0</v>
      </c>
      <c r="J42" s="99">
        <f t="shared" si="8"/>
        <v>0</v>
      </c>
      <c r="K42" s="47">
        <f t="shared" si="9"/>
        <v>0</v>
      </c>
      <c r="L42" s="71"/>
      <c r="M42" s="50"/>
      <c r="N42" s="50"/>
      <c r="O42" s="50"/>
      <c r="P42" s="50"/>
      <c r="Q42" s="50"/>
      <c r="R42" s="1089"/>
      <c r="S42" s="74">
        <f t="shared" si="10"/>
        <v>0</v>
      </c>
      <c r="T42" s="71"/>
      <c r="U42" s="58"/>
      <c r="V42" s="901"/>
      <c r="W42" s="1864">
        <f t="shared" si="4"/>
        <v>0</v>
      </c>
      <c r="X42" s="1913"/>
    </row>
    <row r="43" spans="2:25" x14ac:dyDescent="0.25">
      <c r="B43" s="1077"/>
      <c r="C43" s="112"/>
      <c r="D43" s="111" t="s">
        <v>192</v>
      </c>
      <c r="E43" s="111"/>
      <c r="F43" s="111"/>
      <c r="G43" s="111"/>
      <c r="H43" s="111"/>
      <c r="I43" s="702">
        <f t="shared" si="7"/>
        <v>8.2509183184298644E-4</v>
      </c>
      <c r="J43" s="99">
        <f t="shared" si="8"/>
        <v>25000</v>
      </c>
      <c r="K43" s="47">
        <f t="shared" si="9"/>
        <v>25000</v>
      </c>
      <c r="L43" s="71"/>
      <c r="M43" s="50"/>
      <c r="N43" s="50"/>
      <c r="O43" s="50"/>
      <c r="P43" s="50">
        <v>25000</v>
      </c>
      <c r="Q43" s="50"/>
      <c r="R43" s="1089"/>
      <c r="S43" s="74">
        <f t="shared" si="10"/>
        <v>0</v>
      </c>
      <c r="T43" s="71"/>
      <c r="U43" s="58"/>
      <c r="V43" s="901"/>
      <c r="W43" s="1864">
        <f t="shared" si="4"/>
        <v>0</v>
      </c>
      <c r="X43" s="1913">
        <v>25000</v>
      </c>
    </row>
    <row r="44" spans="2:25" x14ac:dyDescent="0.25">
      <c r="B44" s="1077"/>
      <c r="C44" s="112"/>
      <c r="D44" s="116" t="s">
        <v>481</v>
      </c>
      <c r="E44" s="2075" t="s">
        <v>1518</v>
      </c>
      <c r="F44" s="2076"/>
      <c r="G44" s="2077"/>
      <c r="H44" s="116"/>
      <c r="I44" s="702">
        <f t="shared" si="7"/>
        <v>7.4659688543897026E-2</v>
      </c>
      <c r="J44" s="100">
        <f t="shared" si="8"/>
        <v>2262163</v>
      </c>
      <c r="K44" s="64">
        <f t="shared" si="9"/>
        <v>2239768</v>
      </c>
      <c r="L44" s="77">
        <v>1113320</v>
      </c>
      <c r="M44" s="53"/>
      <c r="N44" s="53"/>
      <c r="O44" s="53"/>
      <c r="P44" s="53">
        <v>1126448</v>
      </c>
      <c r="Q44" s="53"/>
      <c r="R44" s="1089"/>
      <c r="S44" s="75">
        <f t="shared" si="10"/>
        <v>22395</v>
      </c>
      <c r="T44" s="77">
        <f>8356+14039</f>
        <v>22395</v>
      </c>
      <c r="U44" s="81"/>
      <c r="V44" s="901"/>
      <c r="W44" s="1864">
        <f t="shared" si="4"/>
        <v>0</v>
      </c>
      <c r="X44" s="1913">
        <f>844091+1418072</f>
        <v>2262163</v>
      </c>
      <c r="Y44" s="1872">
        <f>X44-W44</f>
        <v>2262163</v>
      </c>
    </row>
    <row r="45" spans="2:25" ht="15.75" thickBot="1" x14ac:dyDescent="0.3">
      <c r="B45" s="1077"/>
      <c r="C45" s="112"/>
      <c r="D45" s="111"/>
      <c r="E45" s="111"/>
      <c r="F45" s="111"/>
      <c r="G45" s="115" t="s">
        <v>176</v>
      </c>
      <c r="H45" s="115"/>
      <c r="I45" s="703">
        <f t="shared" si="7"/>
        <v>0.7385963860559015</v>
      </c>
      <c r="J45" s="101">
        <f>SUM(J29:J44)</f>
        <v>22379217.607999999</v>
      </c>
      <c r="K45" s="62">
        <f>SUM(K29:K44)</f>
        <v>22157910.607999999</v>
      </c>
      <c r="L45" s="1091">
        <f>SUM(L29:L44)</f>
        <v>11751617.607999999</v>
      </c>
      <c r="M45" s="1092">
        <f t="shared" ref="M45:Q45" si="11">SUM(M29:M44)</f>
        <v>0</v>
      </c>
      <c r="N45" s="1092">
        <f t="shared" si="11"/>
        <v>0</v>
      </c>
      <c r="O45" s="1092">
        <f t="shared" si="11"/>
        <v>6932376</v>
      </c>
      <c r="P45" s="1092">
        <f t="shared" si="11"/>
        <v>3473917</v>
      </c>
      <c r="Q45" s="1092">
        <f t="shared" si="11"/>
        <v>0</v>
      </c>
      <c r="R45" s="1093"/>
      <c r="S45" s="1094">
        <f>SUM(S29:S44)</f>
        <v>221307</v>
      </c>
      <c r="T45" s="1091">
        <f t="shared" ref="T45:U45" si="12">SUM(T29:T44)</f>
        <v>221307</v>
      </c>
      <c r="U45" s="1095">
        <f t="shared" si="12"/>
        <v>0</v>
      </c>
      <c r="V45" s="901"/>
      <c r="W45" s="1864"/>
      <c r="X45" s="1913"/>
    </row>
    <row r="46" spans="2:25" ht="9" customHeight="1" thickBot="1" x14ac:dyDescent="0.3">
      <c r="B46" s="1097"/>
      <c r="C46" s="87"/>
      <c r="D46" s="87"/>
      <c r="E46" s="87"/>
      <c r="F46" s="87"/>
      <c r="G46" s="87"/>
      <c r="H46" s="87"/>
      <c r="I46" s="921"/>
      <c r="J46" s="1098"/>
      <c r="K46" s="1099"/>
      <c r="L46" s="1100"/>
      <c r="M46" s="88"/>
      <c r="N46" s="88"/>
      <c r="O46" s="88"/>
      <c r="P46" s="1099"/>
      <c r="Q46" s="88"/>
      <c r="R46" s="1101"/>
      <c r="S46" s="88"/>
      <c r="T46" s="1100"/>
      <c r="U46" s="88"/>
      <c r="V46" s="922"/>
      <c r="W46" s="1864"/>
    </row>
    <row r="47" spans="2:25" ht="15.75" thickBot="1" x14ac:dyDescent="0.3">
      <c r="B47" s="1077"/>
      <c r="C47" s="145" t="s">
        <v>193</v>
      </c>
      <c r="D47" s="145"/>
      <c r="E47" s="145"/>
      <c r="F47" s="145"/>
      <c r="G47" s="145"/>
      <c r="H47" s="114"/>
      <c r="I47" s="114"/>
      <c r="J47" s="114"/>
      <c r="K47" s="114"/>
      <c r="L47" s="1079"/>
      <c r="M47" s="112"/>
      <c r="N47" s="112"/>
      <c r="O47" s="41"/>
      <c r="P47" s="1086"/>
      <c r="Q47" s="1086"/>
      <c r="R47" s="1083"/>
      <c r="S47" s="135"/>
      <c r="T47" s="1086"/>
      <c r="U47" s="1086"/>
      <c r="V47" s="901"/>
      <c r="W47" s="1864"/>
    </row>
    <row r="48" spans="2:25" x14ac:dyDescent="0.25">
      <c r="B48" s="1077"/>
      <c r="C48" s="112"/>
      <c r="D48" s="264" t="s">
        <v>194</v>
      </c>
      <c r="E48" s="264"/>
      <c r="F48" s="264"/>
      <c r="G48" s="264"/>
      <c r="H48" s="264"/>
      <c r="I48" s="701">
        <f t="shared" ref="I48:I61" si="13">IFERROR(J48/J$118," ")</f>
        <v>3.3003673273719456E-4</v>
      </c>
      <c r="J48" s="98">
        <f t="shared" ref="J48:J60" si="14">K48+S48</f>
        <v>10000</v>
      </c>
      <c r="K48" s="59">
        <f t="shared" ref="K48:K60" si="15">SUM(L48:Q48)</f>
        <v>9901</v>
      </c>
      <c r="L48" s="69"/>
      <c r="M48" s="49"/>
      <c r="N48" s="49"/>
      <c r="O48" s="49"/>
      <c r="P48" s="49">
        <v>9901</v>
      </c>
      <c r="Q48" s="49"/>
      <c r="R48" s="1087"/>
      <c r="S48" s="61">
        <f t="shared" ref="S48:S60" si="16">SUM(T48:U48)</f>
        <v>99</v>
      </c>
      <c r="T48" s="69">
        <v>99</v>
      </c>
      <c r="U48" s="57"/>
      <c r="V48" s="901"/>
      <c r="W48" s="1864">
        <f t="shared" si="4"/>
        <v>0</v>
      </c>
      <c r="X48" s="1873">
        <v>10000</v>
      </c>
    </row>
    <row r="49" spans="2:25" x14ac:dyDescent="0.25">
      <c r="B49" s="1077"/>
      <c r="C49" s="112"/>
      <c r="D49" s="111" t="s">
        <v>195</v>
      </c>
      <c r="E49" s="111"/>
      <c r="F49" s="111"/>
      <c r="G49" s="111"/>
      <c r="H49" s="111"/>
      <c r="I49" s="702">
        <f t="shared" si="13"/>
        <v>3.3003673273719456E-4</v>
      </c>
      <c r="J49" s="99">
        <f t="shared" si="14"/>
        <v>10000</v>
      </c>
      <c r="K49" s="47">
        <f t="shared" si="15"/>
        <v>9901</v>
      </c>
      <c r="L49" s="71"/>
      <c r="M49" s="50"/>
      <c r="N49" s="50"/>
      <c r="O49" s="50"/>
      <c r="P49" s="50">
        <v>9901</v>
      </c>
      <c r="Q49" s="50"/>
      <c r="R49" s="1089"/>
      <c r="S49" s="74">
        <f t="shared" si="16"/>
        <v>99</v>
      </c>
      <c r="T49" s="71">
        <v>99</v>
      </c>
      <c r="U49" s="58"/>
      <c r="V49" s="901"/>
      <c r="W49" s="1864">
        <f t="shared" si="4"/>
        <v>0</v>
      </c>
      <c r="X49" s="1873">
        <v>10000</v>
      </c>
    </row>
    <row r="50" spans="2:25" x14ac:dyDescent="0.25">
      <c r="B50" s="1077"/>
      <c r="C50" s="112"/>
      <c r="D50" s="111" t="s">
        <v>196</v>
      </c>
      <c r="E50" s="111"/>
      <c r="F50" s="111"/>
      <c r="G50" s="111"/>
      <c r="H50" s="111"/>
      <c r="I50" s="702">
        <f t="shared" si="13"/>
        <v>4.0767688400342138E-2</v>
      </c>
      <c r="J50" s="99">
        <f t="shared" si="14"/>
        <v>1235247</v>
      </c>
      <c r="K50" s="47">
        <f t="shared" si="15"/>
        <v>1223018</v>
      </c>
      <c r="L50" s="71"/>
      <c r="M50" s="50">
        <v>337294</v>
      </c>
      <c r="N50" s="50"/>
      <c r="O50" s="50"/>
      <c r="P50" s="50">
        <v>885724</v>
      </c>
      <c r="Q50" s="50"/>
      <c r="R50" s="1089"/>
      <c r="S50" s="74">
        <f t="shared" si="16"/>
        <v>12229</v>
      </c>
      <c r="T50" s="71">
        <f>11584+348+297</f>
        <v>12229</v>
      </c>
      <c r="U50" s="58"/>
      <c r="V50" s="901"/>
      <c r="W50" s="1864">
        <f t="shared" si="4"/>
        <v>0</v>
      </c>
      <c r="X50" s="1873">
        <f>1170143+35104+30000</f>
        <v>1235247</v>
      </c>
    </row>
    <row r="51" spans="2:25" x14ac:dyDescent="0.25">
      <c r="B51" s="1077"/>
      <c r="C51" s="112"/>
      <c r="D51" s="111" t="s">
        <v>197</v>
      </c>
      <c r="E51" s="111"/>
      <c r="F51" s="111"/>
      <c r="G51" s="111"/>
      <c r="H51" s="111"/>
      <c r="I51" s="702">
        <f t="shared" si="13"/>
        <v>3.3003673273719456E-4</v>
      </c>
      <c r="J51" s="99">
        <f t="shared" si="14"/>
        <v>10000</v>
      </c>
      <c r="K51" s="47">
        <f t="shared" si="15"/>
        <v>9901</v>
      </c>
      <c r="L51" s="71"/>
      <c r="M51" s="50"/>
      <c r="N51" s="50"/>
      <c r="O51" s="50"/>
      <c r="P51" s="50">
        <v>9901</v>
      </c>
      <c r="Q51" s="50"/>
      <c r="R51" s="1089"/>
      <c r="S51" s="74">
        <f t="shared" si="16"/>
        <v>99</v>
      </c>
      <c r="T51" s="71">
        <v>99</v>
      </c>
      <c r="U51" s="58"/>
      <c r="V51" s="901"/>
      <c r="W51" s="1864">
        <f t="shared" si="4"/>
        <v>0</v>
      </c>
      <c r="X51" s="1873">
        <v>10000</v>
      </c>
    </row>
    <row r="52" spans="2:25" x14ac:dyDescent="0.25">
      <c r="B52" s="1077"/>
      <c r="C52" s="112"/>
      <c r="D52" s="117" t="s">
        <v>198</v>
      </c>
      <c r="E52" s="117"/>
      <c r="F52" s="117"/>
      <c r="G52" s="117"/>
      <c r="H52" s="117"/>
      <c r="I52" s="702">
        <f t="shared" si="13"/>
        <v>6.6007346547438913E-4</v>
      </c>
      <c r="J52" s="99">
        <f t="shared" si="14"/>
        <v>20000</v>
      </c>
      <c r="K52" s="47">
        <f t="shared" si="15"/>
        <v>19802</v>
      </c>
      <c r="L52" s="71"/>
      <c r="M52" s="50"/>
      <c r="N52" s="50"/>
      <c r="O52" s="50"/>
      <c r="P52" s="50">
        <v>19802</v>
      </c>
      <c r="Q52" s="50"/>
      <c r="R52" s="1089"/>
      <c r="S52" s="74">
        <f t="shared" si="16"/>
        <v>198</v>
      </c>
      <c r="T52" s="71">
        <v>198</v>
      </c>
      <c r="U52" s="58"/>
      <c r="V52" s="901"/>
      <c r="W52" s="1864">
        <f t="shared" si="4"/>
        <v>0</v>
      </c>
      <c r="X52" s="1873">
        <f>20000</f>
        <v>20000</v>
      </c>
    </row>
    <row r="53" spans="2:25" x14ac:dyDescent="0.25">
      <c r="B53" s="1077"/>
      <c r="C53" s="112"/>
      <c r="D53" s="111" t="s">
        <v>199</v>
      </c>
      <c r="E53" s="111"/>
      <c r="F53" s="111"/>
      <c r="G53" s="111"/>
      <c r="H53" s="111"/>
      <c r="I53" s="702">
        <f t="shared" si="13"/>
        <v>8.2509183184298644E-4</v>
      </c>
      <c r="J53" s="99">
        <f t="shared" si="14"/>
        <v>25000</v>
      </c>
      <c r="K53" s="47">
        <f t="shared" si="15"/>
        <v>24752</v>
      </c>
      <c r="L53" s="71"/>
      <c r="M53" s="50"/>
      <c r="N53" s="50"/>
      <c r="O53" s="50"/>
      <c r="P53" s="50">
        <v>24752</v>
      </c>
      <c r="Q53" s="50"/>
      <c r="R53" s="1089"/>
      <c r="S53" s="74">
        <f t="shared" si="16"/>
        <v>248</v>
      </c>
      <c r="T53" s="71">
        <v>248</v>
      </c>
      <c r="U53" s="58"/>
      <c r="V53" s="901"/>
      <c r="W53" s="1864">
        <f t="shared" si="4"/>
        <v>0</v>
      </c>
      <c r="X53" s="1873">
        <v>25000</v>
      </c>
    </row>
    <row r="54" spans="2:25" x14ac:dyDescent="0.25">
      <c r="B54" s="1077"/>
      <c r="C54" s="112"/>
      <c r="D54" s="111" t="s">
        <v>200</v>
      </c>
      <c r="E54" s="111"/>
      <c r="F54" s="111"/>
      <c r="G54" s="111"/>
      <c r="H54" s="111"/>
      <c r="I54" s="702">
        <f t="shared" si="13"/>
        <v>9.9011019821158364E-4</v>
      </c>
      <c r="J54" s="99">
        <f t="shared" si="14"/>
        <v>30000</v>
      </c>
      <c r="K54" s="47">
        <f t="shared" si="15"/>
        <v>29703</v>
      </c>
      <c r="L54" s="71"/>
      <c r="M54" s="50"/>
      <c r="N54" s="50"/>
      <c r="O54" s="50"/>
      <c r="P54" s="50">
        <v>29703</v>
      </c>
      <c r="Q54" s="50"/>
      <c r="R54" s="1089"/>
      <c r="S54" s="74">
        <f t="shared" si="16"/>
        <v>297</v>
      </c>
      <c r="T54" s="71">
        <v>297</v>
      </c>
      <c r="U54" s="58"/>
      <c r="V54" s="901"/>
      <c r="W54" s="1864">
        <f t="shared" si="4"/>
        <v>0</v>
      </c>
      <c r="X54" s="1873">
        <v>30000</v>
      </c>
    </row>
    <row r="55" spans="2:25" x14ac:dyDescent="0.25">
      <c r="B55" s="1077"/>
      <c r="C55" s="112"/>
      <c r="D55" s="111" t="s">
        <v>201</v>
      </c>
      <c r="E55" s="111"/>
      <c r="F55" s="111"/>
      <c r="G55" s="111"/>
      <c r="H55" s="111"/>
      <c r="I55" s="702">
        <f t="shared" si="13"/>
        <v>0</v>
      </c>
      <c r="J55" s="99">
        <f t="shared" si="14"/>
        <v>0</v>
      </c>
      <c r="K55" s="47">
        <f t="shared" si="15"/>
        <v>0</v>
      </c>
      <c r="L55" s="71"/>
      <c r="M55" s="50"/>
      <c r="N55" s="50"/>
      <c r="O55" s="50"/>
      <c r="P55" s="50"/>
      <c r="Q55" s="50"/>
      <c r="R55" s="1089"/>
      <c r="S55" s="74">
        <f t="shared" si="16"/>
        <v>0</v>
      </c>
      <c r="T55" s="71"/>
      <c r="U55" s="58"/>
      <c r="V55" s="901"/>
      <c r="W55" s="1864">
        <f t="shared" si="4"/>
        <v>0</v>
      </c>
    </row>
    <row r="56" spans="2:25" x14ac:dyDescent="0.25">
      <c r="B56" s="1077"/>
      <c r="C56" s="112"/>
      <c r="D56" s="117" t="s">
        <v>202</v>
      </c>
      <c r="E56" s="117"/>
      <c r="F56" s="117"/>
      <c r="G56" s="117"/>
      <c r="H56" s="117"/>
      <c r="I56" s="702">
        <f t="shared" si="13"/>
        <v>8.0649195169611637E-2</v>
      </c>
      <c r="J56" s="99">
        <f t="shared" si="14"/>
        <v>2443643</v>
      </c>
      <c r="K56" s="47">
        <f t="shared" si="15"/>
        <v>2443643</v>
      </c>
      <c r="L56" s="71"/>
      <c r="M56" s="50"/>
      <c r="N56" s="50">
        <f>1269725+43506</f>
        <v>1313231</v>
      </c>
      <c r="O56" s="50"/>
      <c r="P56" s="50">
        <f>1173740-43328</f>
        <v>1130412</v>
      </c>
      <c r="Q56" s="50"/>
      <c r="R56" s="1089"/>
      <c r="S56" s="74">
        <f t="shared" si="16"/>
        <v>0</v>
      </c>
      <c r="T56" s="1874"/>
      <c r="U56" s="58"/>
      <c r="V56" s="901"/>
      <c r="W56" s="1864">
        <f t="shared" si="4"/>
        <v>326755</v>
      </c>
      <c r="X56" s="1873">
        <v>2770398</v>
      </c>
      <c r="Y56" s="1872">
        <f>X56-W56</f>
        <v>2443643</v>
      </c>
    </row>
    <row r="57" spans="2:25" x14ac:dyDescent="0.25">
      <c r="B57" s="1077"/>
      <c r="C57" s="112"/>
      <c r="D57" s="117" t="s">
        <v>203</v>
      </c>
      <c r="E57" s="117"/>
      <c r="F57" s="117"/>
      <c r="G57" s="117"/>
      <c r="H57" s="117"/>
      <c r="I57" s="702">
        <f t="shared" si="13"/>
        <v>0</v>
      </c>
      <c r="J57" s="99">
        <f t="shared" si="14"/>
        <v>0</v>
      </c>
      <c r="K57" s="47">
        <f t="shared" si="15"/>
        <v>0</v>
      </c>
      <c r="L57" s="71"/>
      <c r="M57" s="50"/>
      <c r="N57" s="50"/>
      <c r="O57" s="50"/>
      <c r="P57" s="50"/>
      <c r="Q57" s="50"/>
      <c r="R57" s="1089"/>
      <c r="S57" s="74">
        <f t="shared" si="16"/>
        <v>0</v>
      </c>
      <c r="T57" s="71"/>
      <c r="U57" s="58"/>
      <c r="V57" s="901"/>
      <c r="W57" s="1864">
        <f t="shared" si="4"/>
        <v>0</v>
      </c>
    </row>
    <row r="58" spans="2:25" x14ac:dyDescent="0.25">
      <c r="B58" s="1077"/>
      <c r="C58" s="112"/>
      <c r="D58" s="117" t="s">
        <v>204</v>
      </c>
      <c r="E58" s="117"/>
      <c r="F58" s="117"/>
      <c r="G58" s="117"/>
      <c r="H58" s="117"/>
      <c r="I58" s="702">
        <f t="shared" si="13"/>
        <v>2.8053122282661537E-3</v>
      </c>
      <c r="J58" s="99">
        <f t="shared" si="14"/>
        <v>85000</v>
      </c>
      <c r="K58" s="47">
        <f t="shared" si="15"/>
        <v>84158</v>
      </c>
      <c r="L58" s="76"/>
      <c r="M58" s="48"/>
      <c r="N58" s="48"/>
      <c r="O58" s="48"/>
      <c r="P58" s="48">
        <v>84158</v>
      </c>
      <c r="Q58" s="48"/>
      <c r="R58" s="1089"/>
      <c r="S58" s="74">
        <f>SUM(T58:U58)</f>
        <v>842</v>
      </c>
      <c r="T58" s="71">
        <f>99+495+248</f>
        <v>842</v>
      </c>
      <c r="U58" s="51"/>
      <c r="V58" s="901"/>
      <c r="W58" s="1864">
        <f t="shared" si="4"/>
        <v>0</v>
      </c>
      <c r="X58" s="1873">
        <f>10000+50000+25000</f>
        <v>85000</v>
      </c>
    </row>
    <row r="59" spans="2:25" x14ac:dyDescent="0.25">
      <c r="B59" s="1077"/>
      <c r="C59" s="112"/>
      <c r="D59" s="150" t="s">
        <v>205</v>
      </c>
      <c r="E59" s="150"/>
      <c r="F59" s="150"/>
      <c r="G59" s="150"/>
      <c r="H59" s="150"/>
      <c r="I59" s="702">
        <f t="shared" si="13"/>
        <v>6.3466723778827991E-3</v>
      </c>
      <c r="J59" s="99">
        <f t="shared" si="14"/>
        <v>192302</v>
      </c>
      <c r="K59" s="47">
        <f t="shared" si="15"/>
        <v>190398</v>
      </c>
      <c r="L59" s="76"/>
      <c r="M59" s="48"/>
      <c r="N59" s="48"/>
      <c r="O59" s="48"/>
      <c r="P59" s="48">
        <v>190398</v>
      </c>
      <c r="Q59" s="48"/>
      <c r="R59" s="1089"/>
      <c r="S59" s="74">
        <f t="shared" si="16"/>
        <v>1904</v>
      </c>
      <c r="T59" s="76">
        <v>1904</v>
      </c>
      <c r="U59" s="51"/>
      <c r="V59" s="901"/>
      <c r="W59" s="1864">
        <f t="shared" si="4"/>
        <v>0</v>
      </c>
      <c r="X59" s="1873">
        <v>192302</v>
      </c>
    </row>
    <row r="60" spans="2:25" x14ac:dyDescent="0.25">
      <c r="B60" s="1077"/>
      <c r="C60" s="112"/>
      <c r="D60" s="116" t="s">
        <v>481</v>
      </c>
      <c r="E60" s="2075" t="s">
        <v>1522</v>
      </c>
      <c r="F60" s="2076"/>
      <c r="G60" s="2077"/>
      <c r="H60" s="116"/>
      <c r="I60" s="702">
        <f t="shared" si="13"/>
        <v>2.4752754955289593E-3</v>
      </c>
      <c r="J60" s="100">
        <f t="shared" si="14"/>
        <v>75000</v>
      </c>
      <c r="K60" s="64">
        <f t="shared" si="15"/>
        <v>74257</v>
      </c>
      <c r="L60" s="73"/>
      <c r="M60" s="54"/>
      <c r="N60" s="54"/>
      <c r="O60" s="54"/>
      <c r="P60" s="54">
        <f>49505+24753-1</f>
        <v>74257</v>
      </c>
      <c r="Q60" s="54"/>
      <c r="R60" s="1089"/>
      <c r="S60" s="75">
        <f t="shared" si="16"/>
        <v>743</v>
      </c>
      <c r="T60" s="73">
        <f>495+248</f>
        <v>743</v>
      </c>
      <c r="U60" s="82"/>
      <c r="V60" s="901"/>
      <c r="W60" s="1864">
        <f t="shared" si="4"/>
        <v>0</v>
      </c>
      <c r="X60" s="1873">
        <f>50000+25000</f>
        <v>75000</v>
      </c>
    </row>
    <row r="61" spans="2:25" ht="15.75" thickBot="1" x14ac:dyDescent="0.3">
      <c r="B61" s="1077"/>
      <c r="C61" s="112"/>
      <c r="D61" s="111"/>
      <c r="E61" s="111"/>
      <c r="F61" s="111"/>
      <c r="G61" s="115" t="s">
        <v>176</v>
      </c>
      <c r="H61" s="115"/>
      <c r="I61" s="703">
        <f t="shared" si="13"/>
        <v>0.13650952936537222</v>
      </c>
      <c r="J61" s="101">
        <f>SUM(J48:J60)</f>
        <v>4136192</v>
      </c>
      <c r="K61" s="62">
        <f>SUM(K48:K60)</f>
        <v>4119434</v>
      </c>
      <c r="L61" s="1091">
        <f>SUM(L48:L60)</f>
        <v>0</v>
      </c>
      <c r="M61" s="1092">
        <f t="shared" ref="M61:Q61" si="17">SUM(M48:M60)</f>
        <v>337294</v>
      </c>
      <c r="N61" s="1092">
        <f t="shared" si="17"/>
        <v>1313231</v>
      </c>
      <c r="O61" s="1092">
        <f t="shared" si="17"/>
        <v>0</v>
      </c>
      <c r="P61" s="1092">
        <f t="shared" si="17"/>
        <v>2468909</v>
      </c>
      <c r="Q61" s="1092">
        <f t="shared" si="17"/>
        <v>0</v>
      </c>
      <c r="R61" s="1093"/>
      <c r="S61" s="1094">
        <f>SUM(S48:S60)</f>
        <v>16758</v>
      </c>
      <c r="T61" s="1091">
        <f t="shared" ref="T61:U61" si="18">SUM(T48:T60)</f>
        <v>16758</v>
      </c>
      <c r="U61" s="1095">
        <f t="shared" si="18"/>
        <v>0</v>
      </c>
      <c r="V61" s="901"/>
      <c r="W61" s="1864"/>
    </row>
    <row r="62" spans="2:25" ht="3.75" customHeight="1" x14ac:dyDescent="0.25">
      <c r="B62" s="1077"/>
      <c r="C62" s="111"/>
      <c r="D62" s="111"/>
      <c r="E62" s="111"/>
      <c r="F62" s="111"/>
      <c r="G62" s="111"/>
      <c r="H62" s="111"/>
      <c r="I62" s="902"/>
      <c r="J62" s="1102"/>
      <c r="K62" s="1103"/>
      <c r="L62" s="1104"/>
      <c r="M62" s="761"/>
      <c r="N62" s="761"/>
      <c r="O62" s="761"/>
      <c r="P62" s="1103"/>
      <c r="Q62" s="761"/>
      <c r="R62" s="1105"/>
      <c r="S62" s="761"/>
      <c r="T62" s="1104"/>
      <c r="U62" s="761"/>
      <c r="V62" s="901"/>
      <c r="W62" s="1864"/>
    </row>
    <row r="63" spans="2:25" ht="15.75" thickBot="1" x14ac:dyDescent="0.3">
      <c r="B63" s="1077"/>
      <c r="C63" s="145" t="s">
        <v>206</v>
      </c>
      <c r="D63" s="145"/>
      <c r="E63" s="145"/>
      <c r="F63" s="145"/>
      <c r="G63" s="145"/>
      <c r="H63" s="114"/>
      <c r="I63" s="114"/>
      <c r="J63" s="114"/>
      <c r="K63" s="114"/>
      <c r="L63" s="1079"/>
      <c r="M63" s="112"/>
      <c r="N63" s="112"/>
      <c r="O63" s="41"/>
      <c r="P63" s="1086"/>
      <c r="Q63" s="1086"/>
      <c r="R63" s="1083"/>
      <c r="S63" s="135"/>
      <c r="T63" s="1086"/>
      <c r="U63" s="1086"/>
      <c r="V63" s="901"/>
      <c r="W63" s="1864"/>
    </row>
    <row r="64" spans="2:25" x14ac:dyDescent="0.25">
      <c r="B64" s="1077"/>
      <c r="C64" s="112"/>
      <c r="D64" s="264" t="s">
        <v>207</v>
      </c>
      <c r="E64" s="264"/>
      <c r="F64" s="264"/>
      <c r="G64" s="264"/>
      <c r="H64" s="264"/>
      <c r="I64" s="701">
        <f t="shared" ref="I64:I66" si="19">IFERROR(J64/J$118," ")</f>
        <v>1.3201469309487784E-4</v>
      </c>
      <c r="J64" s="98">
        <f t="shared" ref="J64:J65" si="20">K64+S64</f>
        <v>4000</v>
      </c>
      <c r="K64" s="59">
        <f t="shared" ref="K64:K65" si="21">SUM(L64:Q64)</f>
        <v>4000</v>
      </c>
      <c r="L64" s="69"/>
      <c r="M64" s="49">
        <v>4000</v>
      </c>
      <c r="N64" s="49"/>
      <c r="O64" s="49"/>
      <c r="P64" s="49"/>
      <c r="Q64" s="49"/>
      <c r="R64" s="1087"/>
      <c r="S64" s="61">
        <f t="shared" ref="S64:S65" si="22">SUM(T64:U64)</f>
        <v>0</v>
      </c>
      <c r="T64" s="69"/>
      <c r="U64" s="57"/>
      <c r="V64" s="901"/>
      <c r="W64" s="1864">
        <f t="shared" si="4"/>
        <v>0</v>
      </c>
      <c r="X64" s="1873">
        <f>0+4000</f>
        <v>4000</v>
      </c>
    </row>
    <row r="65" spans="2:24" x14ac:dyDescent="0.25">
      <c r="B65" s="1077"/>
      <c r="C65" s="112"/>
      <c r="D65" s="111" t="s">
        <v>208</v>
      </c>
      <c r="E65" s="111"/>
      <c r="F65" s="111"/>
      <c r="G65" s="111"/>
      <c r="H65" s="111"/>
      <c r="I65" s="702">
        <f t="shared" si="19"/>
        <v>2.7805594733108642E-3</v>
      </c>
      <c r="J65" s="100">
        <f t="shared" si="20"/>
        <v>84250</v>
      </c>
      <c r="K65" s="64">
        <f t="shared" si="21"/>
        <v>84250</v>
      </c>
      <c r="L65" s="77"/>
      <c r="M65" s="53">
        <v>84250</v>
      </c>
      <c r="N65" s="53"/>
      <c r="O65" s="53"/>
      <c r="P65" s="53"/>
      <c r="Q65" s="53"/>
      <c r="R65" s="1089"/>
      <c r="S65" s="75">
        <f t="shared" si="22"/>
        <v>0</v>
      </c>
      <c r="T65" s="77"/>
      <c r="U65" s="81"/>
      <c r="V65" s="901"/>
      <c r="W65" s="1864">
        <f t="shared" si="4"/>
        <v>0</v>
      </c>
      <c r="X65" s="1873">
        <f>40000+44250</f>
        <v>84250</v>
      </c>
    </row>
    <row r="66" spans="2:24" ht="15.75" thickBot="1" x14ac:dyDescent="0.3">
      <c r="B66" s="1077"/>
      <c r="C66" s="112"/>
      <c r="D66" s="111"/>
      <c r="E66" s="111"/>
      <c r="F66" s="111"/>
      <c r="G66" s="115" t="s">
        <v>176</v>
      </c>
      <c r="H66" s="115"/>
      <c r="I66" s="703">
        <f t="shared" si="19"/>
        <v>2.9125741664057423E-3</v>
      </c>
      <c r="J66" s="101">
        <f>SUM(J64:J65)</f>
        <v>88250</v>
      </c>
      <c r="K66" s="62">
        <f>SUM(K64:K65)</f>
        <v>88250</v>
      </c>
      <c r="L66" s="1091">
        <f>SUM(L64:L65)</f>
        <v>0</v>
      </c>
      <c r="M66" s="1092">
        <f t="shared" ref="M66:Q66" si="23">SUM(M64:M65)</f>
        <v>88250</v>
      </c>
      <c r="N66" s="1092">
        <f t="shared" si="23"/>
        <v>0</v>
      </c>
      <c r="O66" s="1092">
        <f t="shared" si="23"/>
        <v>0</v>
      </c>
      <c r="P66" s="1092">
        <f t="shared" si="23"/>
        <v>0</v>
      </c>
      <c r="Q66" s="1092">
        <f t="shared" si="23"/>
        <v>0</v>
      </c>
      <c r="R66" s="1093"/>
      <c r="S66" s="1094">
        <f>SUM(S64:S65)</f>
        <v>0</v>
      </c>
      <c r="T66" s="1091">
        <f t="shared" ref="T66:U66" si="24">SUM(T64:T65)</f>
        <v>0</v>
      </c>
      <c r="U66" s="1095">
        <f t="shared" si="24"/>
        <v>0</v>
      </c>
      <c r="V66" s="901"/>
      <c r="W66" s="1864"/>
    </row>
    <row r="67" spans="2:24" ht="3.75" customHeight="1" x14ac:dyDescent="0.25">
      <c r="B67" s="1077"/>
      <c r="C67" s="111"/>
      <c r="D67" s="115"/>
      <c r="E67" s="115"/>
      <c r="F67" s="115"/>
      <c r="G67" s="115"/>
      <c r="H67" s="115"/>
      <c r="I67" s="1079"/>
      <c r="J67" s="1079"/>
      <c r="K67" s="112"/>
      <c r="L67" s="42"/>
      <c r="M67" s="42"/>
      <c r="N67" s="42"/>
      <c r="O67" s="42"/>
      <c r="P67" s="112"/>
      <c r="Q67" s="42"/>
      <c r="R67" s="1089"/>
      <c r="S67" s="42"/>
      <c r="T67" s="42"/>
      <c r="U67" s="42"/>
      <c r="V67" s="901"/>
      <c r="W67" s="1864"/>
    </row>
    <row r="68" spans="2:24" ht="15.75" thickBot="1" x14ac:dyDescent="0.3">
      <c r="B68" s="1077"/>
      <c r="C68" s="145" t="s">
        <v>209</v>
      </c>
      <c r="D68" s="145"/>
      <c r="E68" s="145"/>
      <c r="F68" s="145"/>
      <c r="G68" s="145"/>
      <c r="H68" s="114"/>
      <c r="I68" s="114"/>
      <c r="J68" s="114"/>
      <c r="K68" s="114"/>
      <c r="L68" s="1079"/>
      <c r="M68" s="112"/>
      <c r="N68" s="112"/>
      <c r="O68" s="41"/>
      <c r="P68" s="1086"/>
      <c r="Q68" s="1086"/>
      <c r="R68" s="1083"/>
      <c r="S68" s="135"/>
      <c r="T68" s="1086"/>
      <c r="U68" s="1086"/>
      <c r="V68" s="901"/>
      <c r="W68" s="1864"/>
    </row>
    <row r="69" spans="2:24" x14ac:dyDescent="0.25">
      <c r="B69" s="1077"/>
      <c r="C69" s="112"/>
      <c r="D69" s="264" t="s">
        <v>210</v>
      </c>
      <c r="E69" s="264"/>
      <c r="F69" s="264"/>
      <c r="G69" s="264"/>
      <c r="H69" s="264"/>
      <c r="I69" s="701">
        <f t="shared" ref="I69:I74" si="25">IFERROR(J69/J$118," ")</f>
        <v>5.0660638475159368E-3</v>
      </c>
      <c r="J69" s="98">
        <f t="shared" ref="J69:J73" si="26">K69+S69</f>
        <v>153500</v>
      </c>
      <c r="K69" s="59">
        <f t="shared" ref="K69:K73" si="27">SUM(L69:Q69)</f>
        <v>153500</v>
      </c>
      <c r="L69" s="69"/>
      <c r="M69" s="49"/>
      <c r="N69" s="49"/>
      <c r="O69" s="49"/>
      <c r="P69" s="49">
        <v>153500</v>
      </c>
      <c r="Q69" s="49"/>
      <c r="R69" s="1087"/>
      <c r="S69" s="61">
        <f t="shared" ref="S69:S73" si="28">SUM(T69:U69)</f>
        <v>0</v>
      </c>
      <c r="T69" s="69"/>
      <c r="U69" s="57"/>
      <c r="V69" s="901"/>
      <c r="W69" s="1864">
        <f t="shared" si="4"/>
        <v>0</v>
      </c>
      <c r="X69" s="1873">
        <v>153500</v>
      </c>
    </row>
    <row r="70" spans="2:24" x14ac:dyDescent="0.25">
      <c r="B70" s="1077"/>
      <c r="C70" s="112"/>
      <c r="D70" s="111" t="s">
        <v>211</v>
      </c>
      <c r="E70" s="111"/>
      <c r="F70" s="111"/>
      <c r="G70" s="111"/>
      <c r="H70" s="111"/>
      <c r="I70" s="702">
        <f t="shared" si="25"/>
        <v>3.9604407928463351E-4</v>
      </c>
      <c r="J70" s="99">
        <f t="shared" si="26"/>
        <v>12000</v>
      </c>
      <c r="K70" s="47">
        <f t="shared" si="27"/>
        <v>12000</v>
      </c>
      <c r="L70" s="71"/>
      <c r="M70" s="50"/>
      <c r="N70" s="50"/>
      <c r="O70" s="50"/>
      <c r="P70" s="50">
        <v>12000</v>
      </c>
      <c r="Q70" s="50"/>
      <c r="R70" s="1089"/>
      <c r="S70" s="74">
        <f t="shared" si="28"/>
        <v>0</v>
      </c>
      <c r="T70" s="71"/>
      <c r="U70" s="58"/>
      <c r="V70" s="901"/>
      <c r="W70" s="1864">
        <f t="shared" si="4"/>
        <v>0</v>
      </c>
      <c r="X70" s="1873">
        <f>12000</f>
        <v>12000</v>
      </c>
    </row>
    <row r="71" spans="2:24" x14ac:dyDescent="0.25">
      <c r="B71" s="1077"/>
      <c r="C71" s="112"/>
      <c r="D71" s="111" t="s">
        <v>212</v>
      </c>
      <c r="E71" s="111"/>
      <c r="F71" s="111"/>
      <c r="G71" s="111"/>
      <c r="H71" s="111"/>
      <c r="I71" s="702">
        <f t="shared" si="25"/>
        <v>2.4752754955289593E-3</v>
      </c>
      <c r="J71" s="99">
        <f t="shared" si="26"/>
        <v>75000</v>
      </c>
      <c r="K71" s="47">
        <f t="shared" si="27"/>
        <v>75000</v>
      </c>
      <c r="L71" s="71"/>
      <c r="M71" s="50"/>
      <c r="N71" s="50"/>
      <c r="O71" s="50"/>
      <c r="P71" s="50">
        <v>75000</v>
      </c>
      <c r="Q71" s="50"/>
      <c r="R71" s="1089"/>
      <c r="S71" s="74">
        <f t="shared" si="28"/>
        <v>0</v>
      </c>
      <c r="T71" s="71"/>
      <c r="U71" s="58"/>
      <c r="V71" s="901"/>
      <c r="W71" s="1864">
        <f t="shared" si="4"/>
        <v>0</v>
      </c>
      <c r="X71" s="1873">
        <f>40000+35000</f>
        <v>75000</v>
      </c>
    </row>
    <row r="72" spans="2:24" x14ac:dyDescent="0.25">
      <c r="B72" s="1077"/>
      <c r="C72" s="112"/>
      <c r="D72" s="111" t="s">
        <v>213</v>
      </c>
      <c r="E72" s="111"/>
      <c r="F72" s="111"/>
      <c r="G72" s="111"/>
      <c r="H72" s="111"/>
      <c r="I72" s="702">
        <f t="shared" si="25"/>
        <v>1.1888352160946306E-2</v>
      </c>
      <c r="J72" s="99">
        <f t="shared" si="26"/>
        <v>360213</v>
      </c>
      <c r="K72" s="47">
        <f t="shared" si="27"/>
        <v>360213</v>
      </c>
      <c r="L72" s="71"/>
      <c r="M72" s="50"/>
      <c r="N72" s="50"/>
      <c r="O72" s="50"/>
      <c r="P72" s="50">
        <v>360213</v>
      </c>
      <c r="Q72" s="50"/>
      <c r="R72" s="1089"/>
      <c r="S72" s="74">
        <f t="shared" si="28"/>
        <v>0</v>
      </c>
      <c r="T72" s="71"/>
      <c r="U72" s="58"/>
      <c r="V72" s="901"/>
      <c r="W72" s="1864">
        <f t="shared" si="4"/>
        <v>0</v>
      </c>
      <c r="X72" s="1873">
        <v>360213</v>
      </c>
    </row>
    <row r="73" spans="2:24" x14ac:dyDescent="0.25">
      <c r="B73" s="1077"/>
      <c r="C73" s="112"/>
      <c r="D73" s="111" t="s">
        <v>214</v>
      </c>
      <c r="E73" s="111"/>
      <c r="F73" s="111"/>
      <c r="G73" s="111"/>
      <c r="H73" s="111"/>
      <c r="I73" s="702">
        <f t="shared" si="25"/>
        <v>1.080761387592509E-2</v>
      </c>
      <c r="J73" s="100">
        <f t="shared" si="26"/>
        <v>327467</v>
      </c>
      <c r="K73" s="47">
        <f t="shared" si="27"/>
        <v>327467</v>
      </c>
      <c r="L73" s="77"/>
      <c r="M73" s="53"/>
      <c r="N73" s="53"/>
      <c r="O73" s="53"/>
      <c r="P73" s="53">
        <v>327467</v>
      </c>
      <c r="Q73" s="53"/>
      <c r="R73" s="1089"/>
      <c r="S73" s="75">
        <f t="shared" si="28"/>
        <v>0</v>
      </c>
      <c r="T73" s="77"/>
      <c r="U73" s="81"/>
      <c r="V73" s="901"/>
      <c r="W73" s="1864">
        <f t="shared" si="4"/>
        <v>0</v>
      </c>
      <c r="X73" s="1873">
        <v>327467</v>
      </c>
    </row>
    <row r="74" spans="2:24" ht="15.75" thickBot="1" x14ac:dyDescent="0.3">
      <c r="B74" s="1077"/>
      <c r="C74" s="112"/>
      <c r="D74" s="111"/>
      <c r="E74" s="111"/>
      <c r="F74" s="111"/>
      <c r="G74" s="115" t="s">
        <v>176</v>
      </c>
      <c r="H74" s="115"/>
      <c r="I74" s="703">
        <f t="shared" si="25"/>
        <v>3.0633349459200925E-2</v>
      </c>
      <c r="J74" s="101">
        <f>SUM(J69:J73)</f>
        <v>928180</v>
      </c>
      <c r="K74" s="62">
        <f>SUM(K69:K73)</f>
        <v>928180</v>
      </c>
      <c r="L74" s="1091">
        <f>SUM(L69:L73)</f>
        <v>0</v>
      </c>
      <c r="M74" s="1092">
        <f t="shared" ref="M74:Q74" si="29">SUM(M69:M73)</f>
        <v>0</v>
      </c>
      <c r="N74" s="1092">
        <f t="shared" si="29"/>
        <v>0</v>
      </c>
      <c r="O74" s="1092">
        <f t="shared" si="29"/>
        <v>0</v>
      </c>
      <c r="P74" s="1092">
        <f t="shared" si="29"/>
        <v>928180</v>
      </c>
      <c r="Q74" s="1092">
        <f t="shared" si="29"/>
        <v>0</v>
      </c>
      <c r="R74" s="1093"/>
      <c r="S74" s="1094">
        <f>SUM(S69:S73)</f>
        <v>0</v>
      </c>
      <c r="T74" s="1091">
        <f t="shared" ref="T74:U74" si="30">SUM(T69:T73)</f>
        <v>0</v>
      </c>
      <c r="U74" s="1095">
        <f t="shared" si="30"/>
        <v>0</v>
      </c>
      <c r="V74" s="901"/>
      <c r="W74" s="1864"/>
    </row>
    <row r="75" spans="2:24" ht="9" customHeight="1" thickBot="1" x14ac:dyDescent="0.3">
      <c r="B75" s="1097"/>
      <c r="C75" s="87"/>
      <c r="D75" s="90"/>
      <c r="E75" s="90"/>
      <c r="F75" s="90"/>
      <c r="G75" s="90"/>
      <c r="H75" s="90"/>
      <c r="I75" s="921"/>
      <c r="J75" s="1098"/>
      <c r="K75" s="1099"/>
      <c r="L75" s="88"/>
      <c r="M75" s="88"/>
      <c r="N75" s="88"/>
      <c r="O75" s="88"/>
      <c r="P75" s="1099"/>
      <c r="Q75" s="88"/>
      <c r="R75" s="1101"/>
      <c r="S75" s="88"/>
      <c r="T75" s="88"/>
      <c r="U75" s="88"/>
      <c r="V75" s="922"/>
      <c r="W75" s="1864"/>
    </row>
    <row r="76" spans="2:24" ht="15.75" thickBot="1" x14ac:dyDescent="0.3">
      <c r="B76" s="1077"/>
      <c r="C76" s="145" t="s">
        <v>215</v>
      </c>
      <c r="D76" s="145"/>
      <c r="E76" s="145"/>
      <c r="F76" s="145"/>
      <c r="G76" s="145"/>
      <c r="H76" s="114"/>
      <c r="I76" s="114"/>
      <c r="J76" s="114"/>
      <c r="K76" s="114"/>
      <c r="L76" s="42"/>
      <c r="M76" s="42"/>
      <c r="N76" s="42"/>
      <c r="O76" s="42"/>
      <c r="P76" s="112"/>
      <c r="Q76" s="42"/>
      <c r="R76" s="1089"/>
      <c r="S76" s="42"/>
      <c r="T76" s="42"/>
      <c r="U76" s="42"/>
      <c r="V76" s="901"/>
      <c r="W76" s="1864"/>
    </row>
    <row r="77" spans="2:24" x14ac:dyDescent="0.25">
      <c r="B77" s="1077"/>
      <c r="C77" s="112"/>
      <c r="D77" s="264" t="s">
        <v>216</v>
      </c>
      <c r="E77" s="264"/>
      <c r="F77" s="264"/>
      <c r="G77" s="264"/>
      <c r="H77" s="264"/>
      <c r="I77" s="701">
        <f t="shared" ref="I77:I85" si="31">IFERROR(J77/J$118," ")</f>
        <v>0</v>
      </c>
      <c r="J77" s="98">
        <f t="shared" ref="J77:J84" si="32">K77+S77</f>
        <v>0</v>
      </c>
      <c r="K77" s="59">
        <f t="shared" ref="K77:K84" si="33">SUM(L77:Q77)</f>
        <v>0</v>
      </c>
      <c r="L77" s="69"/>
      <c r="M77" s="49"/>
      <c r="N77" s="49"/>
      <c r="O77" s="49"/>
      <c r="P77" s="49"/>
      <c r="Q77" s="49"/>
      <c r="R77" s="1087"/>
      <c r="S77" s="61">
        <f t="shared" ref="S77:S84" si="34">SUM(T77:U77)</f>
        <v>0</v>
      </c>
      <c r="T77" s="69"/>
      <c r="U77" s="57"/>
      <c r="V77" s="901"/>
      <c r="W77" s="1864">
        <f t="shared" si="4"/>
        <v>0</v>
      </c>
    </row>
    <row r="78" spans="2:24" x14ac:dyDescent="0.25">
      <c r="B78" s="1077"/>
      <c r="C78" s="112"/>
      <c r="D78" s="111" t="s">
        <v>217</v>
      </c>
      <c r="E78" s="111"/>
      <c r="F78" s="111"/>
      <c r="G78" s="111"/>
      <c r="H78" s="111"/>
      <c r="I78" s="702">
        <f t="shared" si="31"/>
        <v>0</v>
      </c>
      <c r="J78" s="99">
        <f t="shared" si="32"/>
        <v>0</v>
      </c>
      <c r="K78" s="47">
        <f t="shared" si="33"/>
        <v>0</v>
      </c>
      <c r="L78" s="71"/>
      <c r="M78" s="50"/>
      <c r="N78" s="50"/>
      <c r="O78" s="50"/>
      <c r="P78" s="50"/>
      <c r="Q78" s="50"/>
      <c r="R78" s="1089"/>
      <c r="S78" s="74">
        <f t="shared" si="34"/>
        <v>0</v>
      </c>
      <c r="T78" s="71"/>
      <c r="U78" s="58"/>
      <c r="V78" s="901"/>
      <c r="W78" s="1864">
        <f t="shared" si="4"/>
        <v>0</v>
      </c>
    </row>
    <row r="79" spans="2:24" x14ac:dyDescent="0.25">
      <c r="B79" s="1077"/>
      <c r="C79" s="112"/>
      <c r="D79" s="111" t="s">
        <v>218</v>
      </c>
      <c r="E79" s="111"/>
      <c r="F79" s="111"/>
      <c r="G79" s="111"/>
      <c r="H79" s="111"/>
      <c r="I79" s="702">
        <f t="shared" si="31"/>
        <v>0</v>
      </c>
      <c r="J79" s="99">
        <f t="shared" si="32"/>
        <v>0</v>
      </c>
      <c r="K79" s="47">
        <f t="shared" si="33"/>
        <v>0</v>
      </c>
      <c r="L79" s="71"/>
      <c r="M79" s="50"/>
      <c r="N79" s="50"/>
      <c r="O79" s="50"/>
      <c r="P79" s="50"/>
      <c r="Q79" s="50"/>
      <c r="R79" s="1089"/>
      <c r="S79" s="74">
        <f t="shared" si="34"/>
        <v>0</v>
      </c>
      <c r="T79" s="71"/>
      <c r="U79" s="58"/>
      <c r="V79" s="901"/>
      <c r="W79" s="1864">
        <f t="shared" si="4"/>
        <v>0</v>
      </c>
    </row>
    <row r="80" spans="2:24" x14ac:dyDescent="0.25">
      <c r="B80" s="1077"/>
      <c r="C80" s="112"/>
      <c r="D80" s="116" t="s">
        <v>219</v>
      </c>
      <c r="E80" s="116"/>
      <c r="F80" s="116"/>
      <c r="G80" s="116"/>
      <c r="H80" s="116"/>
      <c r="I80" s="702">
        <f t="shared" si="31"/>
        <v>3.6984906380728238E-3</v>
      </c>
      <c r="J80" s="99">
        <f t="shared" si="32"/>
        <v>112063</v>
      </c>
      <c r="K80" s="47">
        <f t="shared" si="33"/>
        <v>112063</v>
      </c>
      <c r="L80" s="71"/>
      <c r="M80" s="50"/>
      <c r="N80" s="50"/>
      <c r="O80" s="50"/>
      <c r="P80" s="50">
        <v>112063</v>
      </c>
      <c r="Q80" s="50"/>
      <c r="R80" s="1089"/>
      <c r="S80" s="74">
        <f t="shared" si="34"/>
        <v>0</v>
      </c>
      <c r="T80" s="71"/>
      <c r="U80" s="58"/>
      <c r="V80" s="901"/>
      <c r="W80" s="1864">
        <f t="shared" si="4"/>
        <v>1544</v>
      </c>
      <c r="X80" s="1873">
        <v>113607</v>
      </c>
    </row>
    <row r="81" spans="2:24" x14ac:dyDescent="0.25">
      <c r="B81" s="1077"/>
      <c r="C81" s="112"/>
      <c r="D81" s="116" t="s">
        <v>220</v>
      </c>
      <c r="E81" s="116"/>
      <c r="F81" s="116"/>
      <c r="G81" s="116"/>
      <c r="H81" s="116"/>
      <c r="I81" s="702">
        <f t="shared" si="31"/>
        <v>1.3201469309487783E-3</v>
      </c>
      <c r="J81" s="99">
        <f t="shared" si="32"/>
        <v>40000</v>
      </c>
      <c r="K81" s="47">
        <f t="shared" si="33"/>
        <v>40000</v>
      </c>
      <c r="L81" s="71"/>
      <c r="M81" s="50"/>
      <c r="N81" s="50"/>
      <c r="O81" s="50"/>
      <c r="P81" s="50">
        <v>40000</v>
      </c>
      <c r="Q81" s="50"/>
      <c r="R81" s="1089"/>
      <c r="S81" s="74">
        <f t="shared" si="34"/>
        <v>0</v>
      </c>
      <c r="T81" s="71"/>
      <c r="U81" s="58"/>
      <c r="V81" s="901"/>
      <c r="W81" s="1864">
        <f t="shared" si="4"/>
        <v>0</v>
      </c>
      <c r="X81" s="1873">
        <f>35000+5000</f>
        <v>40000</v>
      </c>
    </row>
    <row r="82" spans="2:24" x14ac:dyDescent="0.25">
      <c r="B82" s="1077"/>
      <c r="C82" s="112"/>
      <c r="D82" s="116" t="s">
        <v>221</v>
      </c>
      <c r="E82" s="116"/>
      <c r="F82" s="116"/>
      <c r="G82" s="116"/>
      <c r="H82" s="116"/>
      <c r="I82" s="702">
        <f t="shared" si="31"/>
        <v>0</v>
      </c>
      <c r="J82" s="99">
        <f t="shared" si="32"/>
        <v>0</v>
      </c>
      <c r="K82" s="47">
        <f t="shared" si="33"/>
        <v>0</v>
      </c>
      <c r="L82" s="71"/>
      <c r="M82" s="50"/>
      <c r="N82" s="50"/>
      <c r="O82" s="50"/>
      <c r="P82" s="50"/>
      <c r="Q82" s="50"/>
      <c r="R82" s="1089"/>
      <c r="S82" s="74">
        <f t="shared" si="34"/>
        <v>0</v>
      </c>
      <c r="T82" s="71"/>
      <c r="U82" s="58"/>
      <c r="V82" s="901"/>
      <c r="W82" s="1864">
        <f t="shared" si="4"/>
        <v>0</v>
      </c>
    </row>
    <row r="83" spans="2:24" x14ac:dyDescent="0.25">
      <c r="B83" s="1077"/>
      <c r="C83" s="112"/>
      <c r="D83" s="117" t="s">
        <v>222</v>
      </c>
      <c r="E83" s="117"/>
      <c r="F83" s="117"/>
      <c r="G83" s="117"/>
      <c r="H83" s="117"/>
      <c r="I83" s="702">
        <f t="shared" si="31"/>
        <v>6.6007346547438913E-4</v>
      </c>
      <c r="J83" s="99">
        <f t="shared" si="32"/>
        <v>20000</v>
      </c>
      <c r="K83" s="47">
        <f t="shared" si="33"/>
        <v>20000</v>
      </c>
      <c r="L83" s="71"/>
      <c r="M83" s="50"/>
      <c r="N83" s="50"/>
      <c r="O83" s="50"/>
      <c r="P83" s="50">
        <v>20000</v>
      </c>
      <c r="Q83" s="50"/>
      <c r="R83" s="1089"/>
      <c r="S83" s="74">
        <f t="shared" si="34"/>
        <v>0</v>
      </c>
      <c r="T83" s="71"/>
      <c r="U83" s="58"/>
      <c r="V83" s="901"/>
      <c r="W83" s="1864">
        <f t="shared" si="4"/>
        <v>0</v>
      </c>
      <c r="X83" s="1873">
        <v>20000</v>
      </c>
    </row>
    <row r="84" spans="2:24" x14ac:dyDescent="0.25">
      <c r="B84" s="1077"/>
      <c r="C84" s="112"/>
      <c r="D84" s="116" t="s">
        <v>481</v>
      </c>
      <c r="E84" s="2075" t="s">
        <v>1523</v>
      </c>
      <c r="F84" s="2076"/>
      <c r="G84" s="2077"/>
      <c r="H84" s="116"/>
      <c r="I84" s="702">
        <f t="shared" si="31"/>
        <v>9.9011019821158364E-4</v>
      </c>
      <c r="J84" s="100">
        <f t="shared" si="32"/>
        <v>30000</v>
      </c>
      <c r="K84" s="47">
        <f t="shared" si="33"/>
        <v>30000</v>
      </c>
      <c r="L84" s="77"/>
      <c r="M84" s="53"/>
      <c r="N84" s="53"/>
      <c r="O84" s="53"/>
      <c r="P84" s="53">
        <v>30000</v>
      </c>
      <c r="Q84" s="53"/>
      <c r="R84" s="1089"/>
      <c r="S84" s="75">
        <f t="shared" si="34"/>
        <v>0</v>
      </c>
      <c r="T84" s="77"/>
      <c r="U84" s="81"/>
      <c r="V84" s="901"/>
      <c r="W84" s="1864">
        <f t="shared" si="4"/>
        <v>0</v>
      </c>
      <c r="X84" s="1873">
        <f>15000+15000</f>
        <v>30000</v>
      </c>
    </row>
    <row r="85" spans="2:24" ht="15.75" thickBot="1" x14ac:dyDescent="0.3">
      <c r="B85" s="1077"/>
      <c r="C85" s="112"/>
      <c r="D85" s="111"/>
      <c r="E85" s="111"/>
      <c r="F85" s="111"/>
      <c r="G85" s="115" t="s">
        <v>176</v>
      </c>
      <c r="H85" s="115"/>
      <c r="I85" s="703">
        <f t="shared" si="31"/>
        <v>6.6688212327075747E-3</v>
      </c>
      <c r="J85" s="101">
        <f>SUM(J77:J84)</f>
        <v>202063</v>
      </c>
      <c r="K85" s="62">
        <f>SUM(K77:K84)</f>
        <v>202063</v>
      </c>
      <c r="L85" s="1091">
        <f>SUM(L77:L84)</f>
        <v>0</v>
      </c>
      <c r="M85" s="1092">
        <f t="shared" ref="M85:Q85" si="35">SUM(M77:M84)</f>
        <v>0</v>
      </c>
      <c r="N85" s="1092">
        <f t="shared" si="35"/>
        <v>0</v>
      </c>
      <c r="O85" s="1092">
        <f t="shared" si="35"/>
        <v>0</v>
      </c>
      <c r="P85" s="1092">
        <f t="shared" si="35"/>
        <v>202063</v>
      </c>
      <c r="Q85" s="1092">
        <f t="shared" si="35"/>
        <v>0</v>
      </c>
      <c r="R85" s="1093"/>
      <c r="S85" s="1094">
        <f>SUM(S77:S84)</f>
        <v>0</v>
      </c>
      <c r="T85" s="1091">
        <f t="shared" ref="T85:U85" si="36">SUM(T77:T84)</f>
        <v>0</v>
      </c>
      <c r="U85" s="1095">
        <f t="shared" si="36"/>
        <v>0</v>
      </c>
      <c r="V85" s="901"/>
      <c r="W85" s="1864"/>
    </row>
    <row r="86" spans="2:24" ht="3.75" customHeight="1" x14ac:dyDescent="0.25">
      <c r="B86" s="1077"/>
      <c r="C86" s="111"/>
      <c r="D86" s="111"/>
      <c r="E86" s="111"/>
      <c r="F86" s="111"/>
      <c r="G86" s="111"/>
      <c r="H86" s="111"/>
      <c r="I86" s="1079"/>
      <c r="J86" s="1096"/>
      <c r="K86" s="112"/>
      <c r="L86" s="42"/>
      <c r="M86" s="42"/>
      <c r="N86" s="42"/>
      <c r="O86" s="42"/>
      <c r="P86" s="112"/>
      <c r="Q86" s="42"/>
      <c r="R86" s="1089"/>
      <c r="S86" s="42"/>
      <c r="T86" s="42"/>
      <c r="U86" s="42"/>
      <c r="V86" s="901"/>
      <c r="W86" s="1864"/>
    </row>
    <row r="87" spans="2:24" ht="15.75" thickBot="1" x14ac:dyDescent="0.3">
      <c r="B87" s="1077"/>
      <c r="C87" s="145" t="s">
        <v>223</v>
      </c>
      <c r="D87" s="145"/>
      <c r="E87" s="145"/>
      <c r="F87" s="145"/>
      <c r="G87" s="145"/>
      <c r="H87" s="114"/>
      <c r="I87" s="114"/>
      <c r="J87" s="114"/>
      <c r="K87" s="114"/>
      <c r="L87" s="1106"/>
      <c r="M87" s="45"/>
      <c r="N87" s="45"/>
      <c r="O87" s="45"/>
      <c r="P87" s="112"/>
      <c r="Q87" s="45"/>
      <c r="R87" s="1089"/>
      <c r="S87" s="45"/>
      <c r="T87" s="45"/>
      <c r="U87" s="45"/>
      <c r="V87" s="901"/>
      <c r="W87" s="1864"/>
    </row>
    <row r="88" spans="2:24" x14ac:dyDescent="0.25">
      <c r="B88" s="1077"/>
      <c r="C88" s="112"/>
      <c r="D88" s="265" t="s">
        <v>224</v>
      </c>
      <c r="E88" s="265"/>
      <c r="F88" s="265"/>
      <c r="G88" s="265"/>
      <c r="H88" s="265"/>
      <c r="I88" s="701">
        <f t="shared" ref="I88:I91" si="37">IFERROR(J88/J$118," ")</f>
        <v>1.9519131458562981E-2</v>
      </c>
      <c r="J88" s="98">
        <f t="shared" ref="J88:J90" si="38">K88+S88</f>
        <v>591423</v>
      </c>
      <c r="K88" s="59">
        <f t="shared" ref="K88:K90" si="39">SUM(L88:Q88)</f>
        <v>591423</v>
      </c>
      <c r="L88" s="69"/>
      <c r="M88" s="1865"/>
      <c r="N88" s="49"/>
      <c r="O88" s="49"/>
      <c r="P88" s="49">
        <v>591423</v>
      </c>
      <c r="Q88" s="49"/>
      <c r="R88" s="1087"/>
      <c r="S88" s="61">
        <f t="shared" ref="S88:S90" si="40">SUM(T88:U88)</f>
        <v>0</v>
      </c>
      <c r="T88" s="69"/>
      <c r="U88" s="57"/>
      <c r="V88" s="901"/>
      <c r="W88" s="1864">
        <f t="shared" ref="W88:W119" si="41">X88-J88</f>
        <v>0</v>
      </c>
      <c r="X88" s="1873">
        <v>591423</v>
      </c>
    </row>
    <row r="89" spans="2:24" x14ac:dyDescent="0.25">
      <c r="B89" s="1077"/>
      <c r="C89" s="112"/>
      <c r="D89" s="117" t="s">
        <v>225</v>
      </c>
      <c r="E89" s="117"/>
      <c r="F89" s="117"/>
      <c r="G89" s="117"/>
      <c r="H89" s="117"/>
      <c r="I89" s="702">
        <f t="shared" si="37"/>
        <v>3.7954224264777378E-3</v>
      </c>
      <c r="J89" s="99">
        <f t="shared" si="38"/>
        <v>115000</v>
      </c>
      <c r="K89" s="47">
        <f t="shared" si="39"/>
        <v>115000</v>
      </c>
      <c r="L89" s="71"/>
      <c r="M89" s="50"/>
      <c r="N89" s="50"/>
      <c r="O89" s="50"/>
      <c r="P89" s="50">
        <v>115000</v>
      </c>
      <c r="Q89" s="50"/>
      <c r="R89" s="1089"/>
      <c r="S89" s="74">
        <f t="shared" si="40"/>
        <v>0</v>
      </c>
      <c r="T89" s="71"/>
      <c r="U89" s="58"/>
      <c r="V89" s="901"/>
      <c r="W89" s="1864">
        <f t="shared" si="41"/>
        <v>0</v>
      </c>
      <c r="X89" s="1873">
        <v>115000</v>
      </c>
    </row>
    <row r="90" spans="2:24" x14ac:dyDescent="0.25">
      <c r="B90" s="1077"/>
      <c r="C90" s="112"/>
      <c r="D90" s="116" t="s">
        <v>481</v>
      </c>
      <c r="E90" s="2075"/>
      <c r="F90" s="2076"/>
      <c r="G90" s="2077"/>
      <c r="H90" s="116"/>
      <c r="I90" s="702">
        <f t="shared" si="37"/>
        <v>0</v>
      </c>
      <c r="J90" s="100">
        <f t="shared" si="38"/>
        <v>0</v>
      </c>
      <c r="K90" s="47">
        <f t="shared" si="39"/>
        <v>0</v>
      </c>
      <c r="L90" s="77"/>
      <c r="M90" s="53"/>
      <c r="N90" s="53"/>
      <c r="O90" s="53"/>
      <c r="P90" s="53"/>
      <c r="Q90" s="53"/>
      <c r="R90" s="1089"/>
      <c r="S90" s="75">
        <f t="shared" si="40"/>
        <v>0</v>
      </c>
      <c r="T90" s="77"/>
      <c r="U90" s="81"/>
      <c r="V90" s="901"/>
      <c r="W90" s="1864">
        <f t="shared" si="41"/>
        <v>0</v>
      </c>
    </row>
    <row r="91" spans="2:24" ht="15.75" thickBot="1" x14ac:dyDescent="0.3">
      <c r="B91" s="1077"/>
      <c r="C91" s="112"/>
      <c r="D91" s="111"/>
      <c r="E91" s="111"/>
      <c r="F91" s="111"/>
      <c r="G91" s="115" t="s">
        <v>176</v>
      </c>
      <c r="H91" s="115"/>
      <c r="I91" s="703">
        <f t="shared" si="37"/>
        <v>2.331455388504072E-2</v>
      </c>
      <c r="J91" s="101">
        <f>SUM(J88:J90)</f>
        <v>706423</v>
      </c>
      <c r="K91" s="62">
        <f>SUM(K88:K90)</f>
        <v>706423</v>
      </c>
      <c r="L91" s="1091">
        <f>SUM(L88:L90)</f>
        <v>0</v>
      </c>
      <c r="M91" s="1092">
        <f t="shared" ref="M91:Q91" si="42">SUM(M88:M90)</f>
        <v>0</v>
      </c>
      <c r="N91" s="1092">
        <f t="shared" si="42"/>
        <v>0</v>
      </c>
      <c r="O91" s="1092">
        <f t="shared" si="42"/>
        <v>0</v>
      </c>
      <c r="P91" s="1092">
        <f t="shared" si="42"/>
        <v>706423</v>
      </c>
      <c r="Q91" s="1092">
        <f t="shared" si="42"/>
        <v>0</v>
      </c>
      <c r="R91" s="1093"/>
      <c r="S91" s="1094">
        <f>SUM(S88:S90)</f>
        <v>0</v>
      </c>
      <c r="T91" s="1091">
        <f t="shared" ref="T91:U91" si="43">SUM(T88:T90)</f>
        <v>0</v>
      </c>
      <c r="U91" s="1095">
        <f t="shared" si="43"/>
        <v>0</v>
      </c>
      <c r="V91" s="901"/>
      <c r="W91" s="1864"/>
    </row>
    <row r="92" spans="2:24" ht="3.75" customHeight="1" x14ac:dyDescent="0.25">
      <c r="B92" s="1077"/>
      <c r="C92" s="111"/>
      <c r="D92" s="111"/>
      <c r="E92" s="111"/>
      <c r="F92" s="111"/>
      <c r="G92" s="111"/>
      <c r="H92" s="111"/>
      <c r="I92" s="1079"/>
      <c r="J92" s="1096"/>
      <c r="K92" s="112"/>
      <c r="L92" s="143"/>
      <c r="M92" s="143"/>
      <c r="N92" s="143"/>
      <c r="O92" s="143"/>
      <c r="P92" s="112"/>
      <c r="Q92" s="143"/>
      <c r="R92" s="1089"/>
      <c r="S92" s="143"/>
      <c r="T92" s="143"/>
      <c r="U92" s="143"/>
      <c r="V92" s="901"/>
      <c r="W92" s="1864"/>
    </row>
    <row r="93" spans="2:24" ht="15.75" thickBot="1" x14ac:dyDescent="0.3">
      <c r="B93" s="1077"/>
      <c r="C93" s="145" t="s">
        <v>226</v>
      </c>
      <c r="D93" s="145"/>
      <c r="E93" s="145"/>
      <c r="F93" s="145"/>
      <c r="G93" s="145"/>
      <c r="H93" s="114"/>
      <c r="I93" s="114"/>
      <c r="J93" s="114"/>
      <c r="K93" s="114"/>
      <c r="L93" s="45"/>
      <c r="M93" s="45"/>
      <c r="N93" s="45"/>
      <c r="O93" s="45"/>
      <c r="P93" s="112"/>
      <c r="Q93" s="45"/>
      <c r="R93" s="1089"/>
      <c r="S93" s="45"/>
      <c r="T93" s="45"/>
      <c r="U93" s="45"/>
      <c r="V93" s="901"/>
      <c r="W93" s="1864"/>
    </row>
    <row r="94" spans="2:24" x14ac:dyDescent="0.25">
      <c r="B94" s="1077"/>
      <c r="C94" s="112"/>
      <c r="D94" s="265" t="s">
        <v>227</v>
      </c>
      <c r="E94" s="265"/>
      <c r="F94" s="265"/>
      <c r="G94" s="265"/>
      <c r="H94" s="265"/>
      <c r="I94" s="701">
        <f t="shared" ref="I94:I105" si="44">IFERROR(J94/J$118," ")</f>
        <v>3.3003673273719458E-3</v>
      </c>
      <c r="J94" s="98">
        <f t="shared" ref="J94:J104" si="45">K94+S94</f>
        <v>100000</v>
      </c>
      <c r="K94" s="59">
        <f t="shared" ref="K94:K104" si="46">SUM(L94:Q94)</f>
        <v>100000</v>
      </c>
      <c r="L94" s="69"/>
      <c r="M94" s="49"/>
      <c r="N94" s="49"/>
      <c r="O94" s="49"/>
      <c r="P94" s="49">
        <v>100000</v>
      </c>
      <c r="Q94" s="49"/>
      <c r="R94" s="1087"/>
      <c r="S94" s="61">
        <f t="shared" ref="S94:S104" si="47">SUM(T94:U94)</f>
        <v>0</v>
      </c>
      <c r="T94" s="69"/>
      <c r="U94" s="57"/>
      <c r="V94" s="901"/>
      <c r="W94" s="1864">
        <f t="shared" si="41"/>
        <v>0</v>
      </c>
      <c r="X94" s="1873">
        <v>100000</v>
      </c>
    </row>
    <row r="95" spans="2:24" x14ac:dyDescent="0.25">
      <c r="B95" s="1077"/>
      <c r="C95" s="112"/>
      <c r="D95" s="117" t="s">
        <v>228</v>
      </c>
      <c r="E95" s="117"/>
      <c r="F95" s="117"/>
      <c r="G95" s="117"/>
      <c r="H95" s="117"/>
      <c r="I95" s="702">
        <f t="shared" si="44"/>
        <v>4.2684970791832325E-3</v>
      </c>
      <c r="J95" s="99">
        <f t="shared" si="45"/>
        <v>129334</v>
      </c>
      <c r="K95" s="47">
        <f t="shared" si="46"/>
        <v>128054</v>
      </c>
      <c r="L95" s="71"/>
      <c r="M95" s="50"/>
      <c r="N95" s="50"/>
      <c r="O95" s="50"/>
      <c r="P95" s="50">
        <v>128054</v>
      </c>
      <c r="Q95" s="50"/>
      <c r="R95" s="1089"/>
      <c r="S95" s="74">
        <f t="shared" si="47"/>
        <v>1280</v>
      </c>
      <c r="T95" s="71">
        <v>1280</v>
      </c>
      <c r="U95" s="58"/>
      <c r="V95" s="901"/>
      <c r="W95" s="1864">
        <f t="shared" si="41"/>
        <v>0</v>
      </c>
      <c r="X95" s="1873">
        <v>129334</v>
      </c>
    </row>
    <row r="96" spans="2:24" x14ac:dyDescent="0.25">
      <c r="B96" s="1077"/>
      <c r="C96" s="112"/>
      <c r="D96" s="117" t="s">
        <v>123</v>
      </c>
      <c r="E96" s="117"/>
      <c r="F96" s="117"/>
      <c r="G96" s="117"/>
      <c r="H96" s="117"/>
      <c r="I96" s="702">
        <f t="shared" si="44"/>
        <v>0</v>
      </c>
      <c r="J96" s="99">
        <f t="shared" si="45"/>
        <v>0</v>
      </c>
      <c r="K96" s="47">
        <f t="shared" si="46"/>
        <v>0</v>
      </c>
      <c r="L96" s="71"/>
      <c r="M96" s="50"/>
      <c r="N96" s="50"/>
      <c r="O96" s="50"/>
      <c r="P96" s="50"/>
      <c r="Q96" s="50"/>
      <c r="R96" s="1089"/>
      <c r="S96" s="74">
        <f t="shared" si="47"/>
        <v>0</v>
      </c>
      <c r="T96" s="71"/>
      <c r="U96" s="58"/>
      <c r="V96" s="901"/>
      <c r="W96" s="1864">
        <f t="shared" si="41"/>
        <v>0</v>
      </c>
    </row>
    <row r="97" spans="2:24" x14ac:dyDescent="0.25">
      <c r="B97" s="1077"/>
      <c r="C97" s="112"/>
      <c r="D97" s="117" t="s">
        <v>229</v>
      </c>
      <c r="E97" s="117"/>
      <c r="F97" s="117"/>
      <c r="G97" s="117"/>
      <c r="H97" s="117"/>
      <c r="I97" s="702">
        <f t="shared" si="44"/>
        <v>1.6501836636859728E-4</v>
      </c>
      <c r="J97" s="99">
        <f t="shared" si="45"/>
        <v>5000</v>
      </c>
      <c r="K97" s="47">
        <f t="shared" si="46"/>
        <v>4950</v>
      </c>
      <c r="L97" s="71"/>
      <c r="M97" s="50"/>
      <c r="N97" s="50"/>
      <c r="O97" s="50"/>
      <c r="P97" s="50">
        <v>4950</v>
      </c>
      <c r="Q97" s="50"/>
      <c r="R97" s="1089"/>
      <c r="S97" s="74">
        <f t="shared" si="47"/>
        <v>50</v>
      </c>
      <c r="T97" s="71">
        <v>50</v>
      </c>
      <c r="U97" s="58"/>
      <c r="V97" s="901"/>
      <c r="W97" s="1864">
        <f t="shared" si="41"/>
        <v>0</v>
      </c>
      <c r="X97" s="1873">
        <v>5000</v>
      </c>
    </row>
    <row r="98" spans="2:24" x14ac:dyDescent="0.25">
      <c r="B98" s="1077"/>
      <c r="C98" s="112"/>
      <c r="D98" s="117" t="s">
        <v>230</v>
      </c>
      <c r="E98" s="117"/>
      <c r="F98" s="117"/>
      <c r="G98" s="705" t="str">
        <f>IF(AND(J98&lt;&gt;0,'6E'!I53=0),"Complete Form 6E","")</f>
        <v/>
      </c>
      <c r="H98" s="117"/>
      <c r="I98" s="702">
        <f t="shared" si="44"/>
        <v>2.8985410045297567E-2</v>
      </c>
      <c r="J98" s="99">
        <f t="shared" si="45"/>
        <v>878248</v>
      </c>
      <c r="K98" s="47">
        <f t="shared" si="46"/>
        <v>874537</v>
      </c>
      <c r="L98" s="71">
        <f>438294-262836+52924+1</f>
        <v>228383</v>
      </c>
      <c r="M98" s="50"/>
      <c r="N98" s="50"/>
      <c r="O98" s="50"/>
      <c r="P98" s="50">
        <f>436268+262811-52925</f>
        <v>646154</v>
      </c>
      <c r="Q98" s="50"/>
      <c r="R98" s="1089"/>
      <c r="S98" s="74">
        <f t="shared" si="47"/>
        <v>3711</v>
      </c>
      <c r="T98" s="71">
        <f>743+990+495+743+693+50-3</f>
        <v>3711</v>
      </c>
      <c r="U98" s="58"/>
      <c r="V98" s="901"/>
      <c r="W98" s="1864">
        <f t="shared" si="41"/>
        <v>25</v>
      </c>
      <c r="X98" s="1873">
        <f>75000+100000+50000+75000+503273+70000+5000</f>
        <v>878273</v>
      </c>
    </row>
    <row r="99" spans="2:24" x14ac:dyDescent="0.25">
      <c r="B99" s="1077"/>
      <c r="C99" s="112"/>
      <c r="D99" s="116" t="s">
        <v>231</v>
      </c>
      <c r="E99" s="116"/>
      <c r="F99" s="116"/>
      <c r="G99" s="116"/>
      <c r="H99" s="116"/>
      <c r="I99" s="702">
        <f t="shared" si="44"/>
        <v>0</v>
      </c>
      <c r="J99" s="99">
        <f t="shared" si="45"/>
        <v>0</v>
      </c>
      <c r="K99" s="47">
        <f t="shared" si="46"/>
        <v>0</v>
      </c>
      <c r="L99" s="71"/>
      <c r="M99" s="50"/>
      <c r="N99" s="50"/>
      <c r="O99" s="50"/>
      <c r="P99" s="50"/>
      <c r="Q99" s="50"/>
      <c r="R99" s="1089"/>
      <c r="S99" s="74">
        <f t="shared" si="47"/>
        <v>0</v>
      </c>
      <c r="T99" s="71"/>
      <c r="U99" s="58"/>
      <c r="V99" s="901"/>
      <c r="W99" s="1864">
        <f t="shared" si="41"/>
        <v>0</v>
      </c>
    </row>
    <row r="100" spans="2:24" x14ac:dyDescent="0.25">
      <c r="B100" s="1077"/>
      <c r="C100" s="112"/>
      <c r="D100" s="116" t="s">
        <v>232</v>
      </c>
      <c r="E100" s="116"/>
      <c r="F100" s="116"/>
      <c r="G100" s="116"/>
      <c r="H100" s="116"/>
      <c r="I100" s="702">
        <f t="shared" si="44"/>
        <v>0</v>
      </c>
      <c r="J100" s="99">
        <f t="shared" si="45"/>
        <v>0</v>
      </c>
      <c r="K100" s="47">
        <f t="shared" si="46"/>
        <v>0</v>
      </c>
      <c r="L100" s="71"/>
      <c r="M100" s="50"/>
      <c r="N100" s="50"/>
      <c r="O100" s="50"/>
      <c r="P100" s="50"/>
      <c r="Q100" s="50"/>
      <c r="R100" s="1089"/>
      <c r="S100" s="74">
        <f t="shared" si="47"/>
        <v>0</v>
      </c>
      <c r="T100" s="71"/>
      <c r="U100" s="58"/>
      <c r="V100" s="901"/>
      <c r="W100" s="1864">
        <f t="shared" si="41"/>
        <v>0</v>
      </c>
    </row>
    <row r="101" spans="2:24" x14ac:dyDescent="0.25">
      <c r="B101" s="1077"/>
      <c r="C101" s="112"/>
      <c r="D101" s="116" t="s">
        <v>233</v>
      </c>
      <c r="E101" s="116"/>
      <c r="F101" s="116"/>
      <c r="G101" s="116"/>
      <c r="H101" s="116"/>
      <c r="I101" s="702">
        <f t="shared" si="44"/>
        <v>0</v>
      </c>
      <c r="J101" s="99">
        <f t="shared" si="45"/>
        <v>0</v>
      </c>
      <c r="K101" s="47">
        <f t="shared" si="46"/>
        <v>0</v>
      </c>
      <c r="L101" s="71"/>
      <c r="M101" s="50"/>
      <c r="N101" s="50"/>
      <c r="O101" s="50"/>
      <c r="P101" s="50"/>
      <c r="Q101" s="50"/>
      <c r="R101" s="1089"/>
      <c r="S101" s="74">
        <f t="shared" si="47"/>
        <v>0</v>
      </c>
      <c r="T101" s="71"/>
      <c r="U101" s="58"/>
      <c r="V101" s="901"/>
      <c r="W101" s="1864">
        <f t="shared" si="41"/>
        <v>0</v>
      </c>
    </row>
    <row r="102" spans="2:24" x14ac:dyDescent="0.25">
      <c r="B102" s="1077"/>
      <c r="C102" s="112"/>
      <c r="D102" s="117" t="s">
        <v>234</v>
      </c>
      <c r="E102" s="117"/>
      <c r="F102" s="117"/>
      <c r="G102" s="117"/>
      <c r="H102" s="117"/>
      <c r="I102" s="702">
        <f t="shared" si="44"/>
        <v>4.9505509910579182E-4</v>
      </c>
      <c r="J102" s="99">
        <f t="shared" si="45"/>
        <v>15000</v>
      </c>
      <c r="K102" s="47">
        <f t="shared" si="46"/>
        <v>15000</v>
      </c>
      <c r="L102" s="71"/>
      <c r="M102" s="50"/>
      <c r="N102" s="50"/>
      <c r="O102" s="50"/>
      <c r="P102" s="50">
        <v>15000</v>
      </c>
      <c r="Q102" s="50"/>
      <c r="R102" s="1089"/>
      <c r="S102" s="74">
        <f t="shared" si="47"/>
        <v>0</v>
      </c>
      <c r="T102" s="71"/>
      <c r="U102" s="58"/>
      <c r="V102" s="901"/>
      <c r="W102" s="1864">
        <f t="shared" si="41"/>
        <v>0</v>
      </c>
      <c r="X102" s="1873">
        <v>15000</v>
      </c>
    </row>
    <row r="103" spans="2:24" x14ac:dyDescent="0.25">
      <c r="B103" s="1077"/>
      <c r="C103" s="112"/>
      <c r="D103" s="116" t="s">
        <v>235</v>
      </c>
      <c r="E103" s="116"/>
      <c r="F103" s="116"/>
      <c r="G103" s="116"/>
      <c r="H103" s="116"/>
      <c r="I103" s="702">
        <f t="shared" si="44"/>
        <v>1.1551285645801811E-3</v>
      </c>
      <c r="J103" s="99">
        <f t="shared" si="45"/>
        <v>35000</v>
      </c>
      <c r="K103" s="47">
        <f t="shared" si="46"/>
        <v>35000</v>
      </c>
      <c r="L103" s="71"/>
      <c r="M103" s="50"/>
      <c r="N103" s="50"/>
      <c r="O103" s="50"/>
      <c r="P103" s="50">
        <v>35000</v>
      </c>
      <c r="Q103" s="50"/>
      <c r="R103" s="1089"/>
      <c r="S103" s="74">
        <f t="shared" si="47"/>
        <v>0</v>
      </c>
      <c r="T103" s="71"/>
      <c r="U103" s="58"/>
      <c r="V103" s="901"/>
      <c r="W103" s="1864">
        <f t="shared" si="41"/>
        <v>0</v>
      </c>
      <c r="X103" s="1873">
        <v>35000</v>
      </c>
    </row>
    <row r="104" spans="2:24" x14ac:dyDescent="0.25">
      <c r="B104" s="1077"/>
      <c r="C104" s="112"/>
      <c r="D104" s="117" t="s">
        <v>651</v>
      </c>
      <c r="E104" s="117"/>
      <c r="F104" s="117"/>
      <c r="G104" s="117"/>
      <c r="H104" s="117"/>
      <c r="I104" s="702">
        <f t="shared" si="44"/>
        <v>0</v>
      </c>
      <c r="J104" s="100">
        <f t="shared" si="45"/>
        <v>0</v>
      </c>
      <c r="K104" s="47">
        <f t="shared" si="46"/>
        <v>0</v>
      </c>
      <c r="L104" s="77"/>
      <c r="M104" s="1866"/>
      <c r="N104" s="53"/>
      <c r="O104" s="53"/>
      <c r="P104" s="53"/>
      <c r="Q104" s="53"/>
      <c r="R104" s="1089"/>
      <c r="S104" s="75">
        <f t="shared" si="47"/>
        <v>0</v>
      </c>
      <c r="T104" s="77"/>
      <c r="U104" s="81"/>
      <c r="V104" s="901"/>
      <c r="W104" s="1864">
        <f t="shared" si="41"/>
        <v>0</v>
      </c>
    </row>
    <row r="105" spans="2:24" ht="15.75" thickBot="1" x14ac:dyDescent="0.3">
      <c r="B105" s="1077"/>
      <c r="C105" s="112"/>
      <c r="D105" s="111"/>
      <c r="E105" s="111"/>
      <c r="F105" s="111"/>
      <c r="G105" s="115" t="s">
        <v>176</v>
      </c>
      <c r="H105" s="115"/>
      <c r="I105" s="703">
        <f t="shared" si="44"/>
        <v>3.8369476481907312E-2</v>
      </c>
      <c r="J105" s="101">
        <f>SUM(J94:J104)</f>
        <v>1162582</v>
      </c>
      <c r="K105" s="62">
        <f>SUM(K94:K104)</f>
        <v>1157541</v>
      </c>
      <c r="L105" s="1091">
        <f>SUM(L94:L104)</f>
        <v>228383</v>
      </c>
      <c r="M105" s="1092">
        <f t="shared" ref="M105:Q105" si="48">SUM(M94:M104)</f>
        <v>0</v>
      </c>
      <c r="N105" s="1092">
        <f t="shared" si="48"/>
        <v>0</v>
      </c>
      <c r="O105" s="1092">
        <f t="shared" si="48"/>
        <v>0</v>
      </c>
      <c r="P105" s="1092">
        <f t="shared" si="48"/>
        <v>929158</v>
      </c>
      <c r="Q105" s="1092">
        <f t="shared" si="48"/>
        <v>0</v>
      </c>
      <c r="R105" s="1093"/>
      <c r="S105" s="1094">
        <f>SUM(S94:S104)</f>
        <v>5041</v>
      </c>
      <c r="T105" s="1091">
        <f t="shared" ref="T105:U105" si="49">SUM(T94:T104)</f>
        <v>5041</v>
      </c>
      <c r="U105" s="1095">
        <f t="shared" si="49"/>
        <v>0</v>
      </c>
      <c r="V105" s="901"/>
      <c r="W105" s="1864"/>
    </row>
    <row r="106" spans="2:24" ht="9" customHeight="1" thickBot="1" x14ac:dyDescent="0.3">
      <c r="B106" s="1097"/>
      <c r="C106" s="89"/>
      <c r="D106" s="90"/>
      <c r="E106" s="90"/>
      <c r="F106" s="90"/>
      <c r="G106" s="90"/>
      <c r="H106" s="90"/>
      <c r="I106" s="921"/>
      <c r="J106" s="1098"/>
      <c r="K106" s="1107"/>
      <c r="L106" s="91"/>
      <c r="M106" s="91"/>
      <c r="N106" s="91"/>
      <c r="O106" s="91"/>
      <c r="P106" s="1107"/>
      <c r="Q106" s="91"/>
      <c r="R106" s="1108"/>
      <c r="S106" s="91"/>
      <c r="T106" s="91"/>
      <c r="U106" s="91"/>
      <c r="V106" s="922"/>
      <c r="W106" s="1864"/>
    </row>
    <row r="107" spans="2:24" ht="3.75" customHeight="1" x14ac:dyDescent="0.25">
      <c r="B107" s="1077"/>
      <c r="C107" s="114"/>
      <c r="D107" s="115"/>
      <c r="E107" s="115"/>
      <c r="F107" s="115"/>
      <c r="G107" s="115"/>
      <c r="H107" s="115"/>
      <c r="I107" s="1079"/>
      <c r="J107" s="1079"/>
      <c r="K107" s="112"/>
      <c r="L107" s="42"/>
      <c r="M107" s="42"/>
      <c r="N107" s="42"/>
      <c r="O107" s="42"/>
      <c r="P107" s="112"/>
      <c r="Q107" s="42"/>
      <c r="R107" s="1089"/>
      <c r="S107" s="42"/>
      <c r="T107" s="42"/>
      <c r="U107" s="42"/>
      <c r="V107" s="901"/>
      <c r="W107" s="1864"/>
    </row>
    <row r="108" spans="2:24" ht="15.75" thickBot="1" x14ac:dyDescent="0.3">
      <c r="B108" s="1077"/>
      <c r="C108" s="145" t="s">
        <v>237</v>
      </c>
      <c r="D108" s="145"/>
      <c r="E108" s="145"/>
      <c r="F108" s="145"/>
      <c r="G108" s="145"/>
      <c r="H108" s="114"/>
      <c r="I108" s="114"/>
      <c r="J108" s="114"/>
      <c r="K108" s="114"/>
      <c r="L108" s="42"/>
      <c r="M108" s="42"/>
      <c r="N108" s="42"/>
      <c r="O108" s="42"/>
      <c r="P108" s="135"/>
      <c r="Q108" s="42"/>
      <c r="R108" s="1089"/>
      <c r="S108" s="42"/>
      <c r="T108" s="42"/>
      <c r="U108" s="42"/>
      <c r="V108" s="901"/>
      <c r="W108" s="1864"/>
    </row>
    <row r="109" spans="2:24" x14ac:dyDescent="0.25">
      <c r="B109" s="1077"/>
      <c r="C109" s="135"/>
      <c r="D109" s="264" t="s">
        <v>238</v>
      </c>
      <c r="E109" s="264"/>
      <c r="F109" s="264"/>
      <c r="G109" s="264"/>
      <c r="H109" s="264"/>
      <c r="I109" s="701">
        <f t="shared" ref="I109:I116" si="50">IFERROR(J109/J$118," ")</f>
        <v>2.5330319237579684E-3</v>
      </c>
      <c r="J109" s="95">
        <f t="shared" ref="J109:J115" si="51">K109+S109</f>
        <v>76750</v>
      </c>
      <c r="K109" s="59">
        <f t="shared" ref="K109:K115" si="52">SUM(L109:Q109)</f>
        <v>76354</v>
      </c>
      <c r="L109" s="69"/>
      <c r="M109" s="49"/>
      <c r="N109" s="49"/>
      <c r="O109" s="49"/>
      <c r="P109" s="49">
        <v>76354</v>
      </c>
      <c r="Q109" s="49"/>
      <c r="R109" s="1087"/>
      <c r="S109" s="61">
        <f t="shared" ref="S109:S115" si="53">SUM(T109:U109)</f>
        <v>396</v>
      </c>
      <c r="T109" s="69">
        <v>396</v>
      </c>
      <c r="U109" s="57"/>
      <c r="V109" s="901"/>
      <c r="W109" s="1864">
        <f t="shared" si="41"/>
        <v>0</v>
      </c>
      <c r="X109" s="1873">
        <v>76750</v>
      </c>
    </row>
    <row r="110" spans="2:24" x14ac:dyDescent="0.25">
      <c r="B110" s="1077"/>
      <c r="C110" s="135"/>
      <c r="D110" s="111" t="s">
        <v>239</v>
      </c>
      <c r="E110" s="111"/>
      <c r="F110" s="111"/>
      <c r="G110" s="111"/>
      <c r="H110" s="111"/>
      <c r="I110" s="702">
        <f t="shared" si="50"/>
        <v>1.3201469309487783E-3</v>
      </c>
      <c r="J110" s="96">
        <f t="shared" si="51"/>
        <v>40000</v>
      </c>
      <c r="K110" s="63">
        <f t="shared" si="52"/>
        <v>39240</v>
      </c>
      <c r="L110" s="71"/>
      <c r="M110" s="50"/>
      <c r="N110" s="50"/>
      <c r="O110" s="50"/>
      <c r="P110" s="50">
        <v>39240</v>
      </c>
      <c r="Q110" s="50"/>
      <c r="R110" s="1089"/>
      <c r="S110" s="78">
        <f t="shared" si="53"/>
        <v>760</v>
      </c>
      <c r="T110" s="71">
        <v>760</v>
      </c>
      <c r="U110" s="58"/>
      <c r="V110" s="901"/>
      <c r="W110" s="1864">
        <f t="shared" si="41"/>
        <v>0</v>
      </c>
      <c r="X110" s="1873">
        <v>40000</v>
      </c>
    </row>
    <row r="111" spans="2:24" x14ac:dyDescent="0.25">
      <c r="B111" s="1077"/>
      <c r="C111" s="112"/>
      <c r="D111" s="111" t="s">
        <v>240</v>
      </c>
      <c r="E111" s="111"/>
      <c r="F111" s="111"/>
      <c r="G111" s="111"/>
      <c r="H111" s="111"/>
      <c r="I111" s="702">
        <f t="shared" si="50"/>
        <v>0</v>
      </c>
      <c r="J111" s="96">
        <f t="shared" si="51"/>
        <v>0</v>
      </c>
      <c r="K111" s="63">
        <f t="shared" si="52"/>
        <v>0</v>
      </c>
      <c r="L111" s="71"/>
      <c r="M111" s="50"/>
      <c r="N111" s="50"/>
      <c r="O111" s="50"/>
      <c r="P111" s="50"/>
      <c r="Q111" s="50"/>
      <c r="R111" s="1089"/>
      <c r="S111" s="78">
        <f t="shared" si="53"/>
        <v>0</v>
      </c>
      <c r="T111" s="71"/>
      <c r="U111" s="58"/>
      <c r="V111" s="901"/>
      <c r="W111" s="1864">
        <f t="shared" si="41"/>
        <v>0</v>
      </c>
    </row>
    <row r="112" spans="2:24" x14ac:dyDescent="0.25">
      <c r="B112" s="1077"/>
      <c r="C112" s="112"/>
      <c r="D112" s="111" t="s">
        <v>241</v>
      </c>
      <c r="E112" s="111"/>
      <c r="F112" s="111"/>
      <c r="G112" s="111"/>
      <c r="H112" s="111"/>
      <c r="I112" s="702">
        <f>IFERROR(J112/J$118," ")</f>
        <v>0</v>
      </c>
      <c r="J112" s="96">
        <f t="shared" si="51"/>
        <v>0</v>
      </c>
      <c r="K112" s="63">
        <f t="shared" si="52"/>
        <v>0</v>
      </c>
      <c r="L112" s="71"/>
      <c r="M112" s="50"/>
      <c r="N112" s="50"/>
      <c r="O112" s="50"/>
      <c r="P112" s="50"/>
      <c r="Q112" s="50"/>
      <c r="R112" s="1089"/>
      <c r="S112" s="78">
        <f t="shared" si="53"/>
        <v>0</v>
      </c>
      <c r="T112" s="71"/>
      <c r="U112" s="58"/>
      <c r="V112" s="901"/>
      <c r="W112" s="1864">
        <f t="shared" si="41"/>
        <v>0</v>
      </c>
    </row>
    <row r="113" spans="2:25" x14ac:dyDescent="0.25">
      <c r="B113" s="1077"/>
      <c r="C113" s="112"/>
      <c r="D113" s="111" t="s">
        <v>242</v>
      </c>
      <c r="E113" s="111"/>
      <c r="F113" s="111"/>
      <c r="G113" s="111"/>
      <c r="H113" s="111"/>
      <c r="I113" s="702">
        <f t="shared" si="50"/>
        <v>0</v>
      </c>
      <c r="J113" s="96">
        <f t="shared" si="51"/>
        <v>0</v>
      </c>
      <c r="K113" s="63">
        <f t="shared" si="52"/>
        <v>0</v>
      </c>
      <c r="L113" s="71"/>
      <c r="M113" s="50"/>
      <c r="N113" s="50"/>
      <c r="O113" s="50"/>
      <c r="P113" s="50"/>
      <c r="Q113" s="50"/>
      <c r="R113" s="1089"/>
      <c r="S113" s="78">
        <f t="shared" si="53"/>
        <v>0</v>
      </c>
      <c r="T113" s="71"/>
      <c r="U113" s="58"/>
      <c r="V113" s="901"/>
      <c r="W113" s="1864">
        <f t="shared" si="41"/>
        <v>0</v>
      </c>
    </row>
    <row r="114" spans="2:25" x14ac:dyDescent="0.25">
      <c r="B114" s="1077"/>
      <c r="C114" s="112"/>
      <c r="D114" s="111" t="s">
        <v>243</v>
      </c>
      <c r="E114" s="111"/>
      <c r="F114" s="111"/>
      <c r="G114" s="111"/>
      <c r="H114" s="111"/>
      <c r="I114" s="702">
        <f t="shared" si="50"/>
        <v>0</v>
      </c>
      <c r="J114" s="96">
        <f t="shared" si="51"/>
        <v>0</v>
      </c>
      <c r="K114" s="63">
        <f t="shared" si="52"/>
        <v>0</v>
      </c>
      <c r="L114" s="71"/>
      <c r="M114" s="50"/>
      <c r="N114" s="50"/>
      <c r="O114" s="50"/>
      <c r="P114" s="50"/>
      <c r="Q114" s="50"/>
      <c r="R114" s="1089"/>
      <c r="S114" s="78">
        <f t="shared" si="53"/>
        <v>0</v>
      </c>
      <c r="T114" s="71"/>
      <c r="U114" s="58"/>
      <c r="V114" s="901"/>
      <c r="W114" s="1864">
        <f t="shared" si="41"/>
        <v>0</v>
      </c>
    </row>
    <row r="115" spans="2:25" x14ac:dyDescent="0.25">
      <c r="B115" s="1077"/>
      <c r="C115" s="112"/>
      <c r="D115" s="111" t="s">
        <v>244</v>
      </c>
      <c r="E115" s="111"/>
      <c r="F115" s="111"/>
      <c r="G115" s="111"/>
      <c r="H115" s="111"/>
      <c r="I115" s="704">
        <f t="shared" si="50"/>
        <v>0</v>
      </c>
      <c r="J115" s="97">
        <f t="shared" si="51"/>
        <v>0</v>
      </c>
      <c r="K115" s="63">
        <f t="shared" si="52"/>
        <v>0</v>
      </c>
      <c r="L115" s="77"/>
      <c r="M115" s="53"/>
      <c r="N115" s="53"/>
      <c r="O115" s="53"/>
      <c r="P115" s="53"/>
      <c r="Q115" s="53"/>
      <c r="R115" s="1089"/>
      <c r="S115" s="79">
        <f t="shared" si="53"/>
        <v>0</v>
      </c>
      <c r="T115" s="77"/>
      <c r="U115" s="81"/>
      <c r="V115" s="901"/>
      <c r="W115" s="1864">
        <f t="shared" si="41"/>
        <v>0</v>
      </c>
    </row>
    <row r="116" spans="2:25" ht="15.75" thickBot="1" x14ac:dyDescent="0.3">
      <c r="B116" s="1077"/>
      <c r="C116" s="112"/>
      <c r="D116" s="111"/>
      <c r="E116" s="111"/>
      <c r="F116" s="111"/>
      <c r="G116" s="115" t="s">
        <v>176</v>
      </c>
      <c r="H116" s="115"/>
      <c r="I116" s="703">
        <f t="shared" si="50"/>
        <v>3.8531788547067469E-3</v>
      </c>
      <c r="J116" s="101">
        <f>SUM(J109:J115)</f>
        <v>116750</v>
      </c>
      <c r="K116" s="62">
        <f>SUM(K109:K115)</f>
        <v>115594</v>
      </c>
      <c r="L116" s="1091">
        <f>SUM(L109:L115)</f>
        <v>0</v>
      </c>
      <c r="M116" s="1092">
        <f t="shared" ref="M116:Q116" si="54">SUM(M109:M115)</f>
        <v>0</v>
      </c>
      <c r="N116" s="1092">
        <f t="shared" si="54"/>
        <v>0</v>
      </c>
      <c r="O116" s="1092">
        <f t="shared" si="54"/>
        <v>0</v>
      </c>
      <c r="P116" s="1092">
        <f t="shared" si="54"/>
        <v>115594</v>
      </c>
      <c r="Q116" s="1092">
        <f t="shared" si="54"/>
        <v>0</v>
      </c>
      <c r="R116" s="1093"/>
      <c r="S116" s="1094">
        <f>SUM(S109:S115)</f>
        <v>1156</v>
      </c>
      <c r="T116" s="1091">
        <f t="shared" ref="T116:U116" si="55">SUM(T109:T115)</f>
        <v>1156</v>
      </c>
      <c r="U116" s="1095">
        <f t="shared" si="55"/>
        <v>0</v>
      </c>
      <c r="V116" s="901"/>
      <c r="W116" s="1864"/>
    </row>
    <row r="117" spans="2:25" ht="7.5" customHeight="1" thickBot="1" x14ac:dyDescent="0.3">
      <c r="B117" s="1077"/>
      <c r="C117" s="117"/>
      <c r="D117" s="111"/>
      <c r="E117" s="111"/>
      <c r="F117" s="111"/>
      <c r="G117" s="111"/>
      <c r="H117" s="111"/>
      <c r="I117" s="112"/>
      <c r="J117" s="46"/>
      <c r="K117" s="112"/>
      <c r="L117" s="46"/>
      <c r="M117" s="46"/>
      <c r="N117" s="46"/>
      <c r="O117" s="46"/>
      <c r="P117" s="112"/>
      <c r="Q117" s="46"/>
      <c r="R117" s="1089"/>
      <c r="S117" s="46"/>
      <c r="T117" s="46"/>
      <c r="U117" s="46"/>
      <c r="V117" s="901"/>
      <c r="W117" s="1864"/>
    </row>
    <row r="118" spans="2:25" ht="15.75" thickBot="1" x14ac:dyDescent="0.3">
      <c r="B118" s="1077"/>
      <c r="C118" s="266" t="s">
        <v>245</v>
      </c>
      <c r="D118" s="267"/>
      <c r="E118" s="267"/>
      <c r="F118" s="267"/>
      <c r="G118" s="267"/>
      <c r="H118" s="267"/>
      <c r="I118" s="93"/>
      <c r="J118" s="84">
        <f>J26+J45+J61+J66+J74+J85+J91+J105+J116</f>
        <v>30299657.607999999</v>
      </c>
      <c r="K118" s="60">
        <f>K26+K45+K61+K66+K74+K85+K91+K105+K116</f>
        <v>30049851.607999999</v>
      </c>
      <c r="L118" s="1109"/>
      <c r="M118" s="1109"/>
      <c r="N118" s="1109"/>
      <c r="O118" s="1109"/>
      <c r="P118" s="1109"/>
      <c r="Q118" s="1109"/>
      <c r="R118" s="1087"/>
      <c r="S118" s="80">
        <f>S26+S45+S61+S66+S74+S85+S91+S105+S116</f>
        <v>249806</v>
      </c>
      <c r="T118" s="1109"/>
      <c r="U118" s="1110"/>
      <c r="V118" s="901"/>
      <c r="W118" s="1864">
        <f t="shared" si="41"/>
        <v>-30299657.607999999</v>
      </c>
    </row>
    <row r="119" spans="2:25" ht="15.75" thickBot="1" x14ac:dyDescent="0.3">
      <c r="B119" s="1077"/>
      <c r="C119" s="268" t="s">
        <v>246</v>
      </c>
      <c r="D119" s="269"/>
      <c r="E119" s="269"/>
      <c r="F119" s="269"/>
      <c r="G119" s="269"/>
      <c r="H119" s="269"/>
      <c r="I119" s="94"/>
      <c r="J119" s="83">
        <f>K119+S119</f>
        <v>30299657.607999999</v>
      </c>
      <c r="K119" s="62">
        <f>SUM(L119:Q119)</f>
        <v>30049851.607999999</v>
      </c>
      <c r="L119" s="1111">
        <f>L26+L45+L61+L66+L74+L85+L91+L105+L116</f>
        <v>11980000.607999999</v>
      </c>
      <c r="M119" s="1112">
        <f t="shared" ref="M119:Q119" si="56">M26+M45+M61+M66+M74+M85+M91+M105+M116</f>
        <v>1000000</v>
      </c>
      <c r="N119" s="1112">
        <f t="shared" si="56"/>
        <v>1313231</v>
      </c>
      <c r="O119" s="1112">
        <f t="shared" si="56"/>
        <v>6932376</v>
      </c>
      <c r="P119" s="1112">
        <f t="shared" si="56"/>
        <v>8824244</v>
      </c>
      <c r="Q119" s="1112">
        <f t="shared" si="56"/>
        <v>0</v>
      </c>
      <c r="R119" s="1113"/>
      <c r="S119" s="1094">
        <f>SUM(T119:U119)</f>
        <v>249806</v>
      </c>
      <c r="T119" s="1111">
        <f>T26+T45+T61+T66+T74+T85+T91+T105+T116</f>
        <v>249806</v>
      </c>
      <c r="U119" s="1114">
        <f t="shared" ref="U119" si="57">U26+U45+U61+U66+U74+U85+U91+U105+U116</f>
        <v>0</v>
      </c>
      <c r="V119" s="901"/>
      <c r="W119" s="1864">
        <f t="shared" si="41"/>
        <v>328324.39200000092</v>
      </c>
      <c r="X119" s="1873">
        <f>SUM(X20:X118)</f>
        <v>30627982</v>
      </c>
      <c r="Y119" s="1872">
        <f>X119-30627127</f>
        <v>855</v>
      </c>
    </row>
    <row r="120" spans="2:25" x14ac:dyDescent="0.25">
      <c r="B120" s="1077"/>
      <c r="C120" s="706"/>
      <c r="D120" s="706"/>
      <c r="E120" s="706"/>
      <c r="F120" s="706"/>
      <c r="G120" s="706"/>
      <c r="H120" s="706"/>
      <c r="I120" s="707"/>
      <c r="J120" s="813"/>
      <c r="K120" s="708" t="str">
        <f>IF(J119&lt;&gt;('7A'!F35+'7A'!F43),"WARNING: Sources on Form 6A do not match Sources on Form 7A","")</f>
        <v/>
      </c>
      <c r="L120" s="42"/>
      <c r="M120" s="42"/>
      <c r="N120" s="42"/>
      <c r="O120" s="42"/>
      <c r="P120" s="42"/>
      <c r="Q120" s="42"/>
      <c r="R120" s="1115"/>
      <c r="S120" s="42"/>
      <c r="T120" s="42"/>
      <c r="U120" s="42"/>
      <c r="V120" s="901"/>
      <c r="W120" s="1864"/>
    </row>
    <row r="121" spans="2:25" ht="9" customHeight="1" thickBot="1" x14ac:dyDescent="0.3">
      <c r="B121" s="1097"/>
      <c r="C121" s="1116"/>
      <c r="D121" s="1116"/>
      <c r="E121" s="1116"/>
      <c r="F121" s="1116"/>
      <c r="G121" s="1116"/>
      <c r="H121" s="1116"/>
      <c r="I121" s="1116"/>
      <c r="J121" s="1117" t="s">
        <v>35</v>
      </c>
      <c r="K121" s="1116"/>
      <c r="L121" s="1116"/>
      <c r="M121" s="1116"/>
      <c r="N121" s="1116"/>
      <c r="O121" s="1116"/>
      <c r="P121" s="1116"/>
      <c r="Q121" s="1116"/>
      <c r="R121" s="1116"/>
      <c r="S121" s="1116"/>
      <c r="T121" s="1116"/>
      <c r="U121" s="1116"/>
      <c r="V121" s="1118"/>
      <c r="W121" s="1864"/>
    </row>
    <row r="122" spans="2:25" hidden="1" x14ac:dyDescent="0.25">
      <c r="J122" s="1864"/>
      <c r="L122" s="1871">
        <v>11980000</v>
      </c>
      <c r="M122" s="1871">
        <v>1000000</v>
      </c>
      <c r="N122" s="1871">
        <v>1313231</v>
      </c>
      <c r="O122" s="1871">
        <v>6932376</v>
      </c>
      <c r="P122" s="1871">
        <v>8824244</v>
      </c>
      <c r="Q122" s="1871"/>
      <c r="R122" s="1871"/>
      <c r="S122" s="1871"/>
      <c r="T122" s="1871">
        <v>249805</v>
      </c>
      <c r="U122" s="1871"/>
    </row>
    <row r="123" spans="2:25" hidden="1" x14ac:dyDescent="0.25">
      <c r="L123" s="1871">
        <f t="shared" ref="L123:M123" si="58">L119-L122</f>
        <v>0.60799999907612801</v>
      </c>
      <c r="M123" s="1871">
        <f t="shared" si="58"/>
        <v>0</v>
      </c>
      <c r="N123" s="1871">
        <f>N119-N122</f>
        <v>0</v>
      </c>
      <c r="O123" s="1871">
        <f t="shared" ref="O123:T123" si="59">O119-O122</f>
        <v>0</v>
      </c>
      <c r="P123" s="1871">
        <f t="shared" si="59"/>
        <v>0</v>
      </c>
      <c r="Q123" s="1871">
        <f t="shared" si="59"/>
        <v>0</v>
      </c>
      <c r="R123" s="1871">
        <f t="shared" si="59"/>
        <v>0</v>
      </c>
      <c r="S123" s="1871"/>
      <c r="T123" s="1871">
        <f t="shared" si="59"/>
        <v>1</v>
      </c>
      <c r="U123" s="1871"/>
    </row>
    <row r="125" spans="2:25" x14ac:dyDescent="0.25">
      <c r="L125" s="1872"/>
    </row>
  </sheetData>
  <sheetProtection password="9F6B" sheet="1" objects="1" scenarios="1" formatCells="0" formatColumns="0" formatRows="0"/>
  <mergeCells count="20">
    <mergeCell ref="E25:G25"/>
    <mergeCell ref="E44:G44"/>
    <mergeCell ref="E60:G60"/>
    <mergeCell ref="E84:G84"/>
    <mergeCell ref="E90:G90"/>
    <mergeCell ref="C11:U11"/>
    <mergeCell ref="S15:U15"/>
    <mergeCell ref="K15:Q15"/>
    <mergeCell ref="J15:J18"/>
    <mergeCell ref="K16:K18"/>
    <mergeCell ref="S16:S18"/>
    <mergeCell ref="Q17:Q18"/>
    <mergeCell ref="T17:T18"/>
    <mergeCell ref="U17:U18"/>
    <mergeCell ref="L17:L18"/>
    <mergeCell ref="M17:M18"/>
    <mergeCell ref="N17:N18"/>
    <mergeCell ref="O17:O18"/>
    <mergeCell ref="P17:P18"/>
    <mergeCell ref="I15:I18"/>
  </mergeCells>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dataValidation allowBlank="1" showInputMessage="1" showErrorMessage="1" promptTitle="Rehab Contingency %" prompt="Defined as Rehab Contingency divided by the sum of Rehab, Contractor Profit, Contractor Overhead, and Bond Premium amounts_x000a__x000a_% =J27 / (J23+J24+J25+J34)" sqref="G35"/>
  </dataValidations>
  <pageMargins left="0.25" right="0.25" top="0.75" bottom="0.75" header="0.3" footer="0.3"/>
  <pageSetup scale="76" fitToHeight="4" orientation="landscape" r:id="rId1"/>
  <headerFooter>
    <oddFooter>&amp;LForm 6A
Development Budgets&amp;CCFA Forms&amp;REdition: 2015
Version: 1.1</oddFooter>
  </headerFooter>
  <rowBreaks count="3" manualBreakCount="3">
    <brk id="46" min="1" max="21" man="1"/>
    <brk id="75" min="1" max="21" man="1"/>
    <brk id="106" min="1" max="21" man="1"/>
  </rowBreaks>
  <drawing r:id="rId2"/>
  <extLst>
    <ext xmlns:x14="http://schemas.microsoft.com/office/spreadsheetml/2009/9/main" uri="{78C0D931-6437-407d-A8EE-F0AAD7539E65}">
      <x14:conditionalFormattings>
        <x14:conditionalFormatting xmlns:xm="http://schemas.microsoft.com/office/excel/2006/main">
          <x14:cfRule type="expression" priority="1" id="{E0D291F1-C0C2-4059-970D-21F4BCB98A24}">
            <xm:f>$K$119&lt;&gt;('7A'!$F$35+'7A'!$F$43)</xm:f>
            <x14:dxf>
              <font>
                <color rgb="FF990000"/>
              </font>
              <fill>
                <patternFill>
                  <bgColor theme="5" tint="0.79998168889431442"/>
                </patternFill>
              </fill>
            </x14:dxf>
          </x14:cfRule>
          <xm:sqref>K119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5:L102"/>
  <sheetViews>
    <sheetView showGridLines="0" topLeftCell="A40" zoomScaleNormal="100" workbookViewId="0">
      <selection activeCell="F46" sqref="F46"/>
    </sheetView>
  </sheetViews>
  <sheetFormatPr defaultRowHeight="15" x14ac:dyDescent="0.25"/>
  <cols>
    <col min="1" max="2" width="1.7109375" style="843" customWidth="1"/>
    <col min="3" max="3" width="2.85546875" style="843" customWidth="1"/>
    <col min="4" max="4" width="5.7109375" style="843" customWidth="1"/>
    <col min="5" max="5" width="8.5703125" style="843" customWidth="1"/>
    <col min="6" max="6" width="12.85546875" style="843" customWidth="1"/>
    <col min="7" max="7" width="10.7109375" style="843" customWidth="1"/>
    <col min="8" max="8" width="1.42578125" style="843" customWidth="1"/>
    <col min="9" max="9" width="12.5703125" style="843" bestFit="1" customWidth="1"/>
    <col min="10" max="10" width="19.28515625" style="843" customWidth="1"/>
    <col min="11" max="11" width="40.7109375" style="843" customWidth="1"/>
    <col min="12" max="12" width="1.7109375" style="843" customWidth="1"/>
    <col min="13" max="16384" width="9.140625" style="843"/>
  </cols>
  <sheetData>
    <row r="5" spans="2:12" ht="15.75" thickBot="1" x14ac:dyDescent="0.3"/>
    <row r="6" spans="2:12" ht="9" customHeight="1" x14ac:dyDescent="0.25">
      <c r="B6" s="1120"/>
      <c r="C6" s="1121"/>
      <c r="D6" s="1121"/>
      <c r="E6" s="1121"/>
      <c r="F6" s="1121"/>
      <c r="G6" s="1121"/>
      <c r="H6" s="1121"/>
      <c r="I6" s="1121"/>
      <c r="J6" s="1121"/>
      <c r="K6" s="1121"/>
      <c r="L6" s="1122"/>
    </row>
    <row r="7" spans="2:12" ht="18.75" x14ac:dyDescent="0.3">
      <c r="B7" s="1123"/>
      <c r="C7" s="1917" t="s">
        <v>1269</v>
      </c>
      <c r="D7" s="1917"/>
      <c r="E7" s="1917"/>
      <c r="F7" s="1917"/>
      <c r="G7" s="1917"/>
      <c r="H7" s="1917"/>
      <c r="I7" s="1917"/>
      <c r="J7" s="1917"/>
      <c r="K7" s="1917"/>
      <c r="L7" s="1124"/>
    </row>
    <row r="8" spans="2:12" x14ac:dyDescent="0.25">
      <c r="B8" s="1123"/>
      <c r="C8" s="1125"/>
      <c r="D8" s="1125"/>
      <c r="E8" s="1125"/>
      <c r="F8" s="1125"/>
      <c r="G8" s="1125"/>
      <c r="H8" s="1125"/>
      <c r="I8" s="1125"/>
      <c r="J8" s="1125"/>
      <c r="K8" s="1125"/>
      <c r="L8" s="1124"/>
    </row>
    <row r="9" spans="2:12" x14ac:dyDescent="0.25">
      <c r="B9" s="1123"/>
      <c r="C9" s="813"/>
      <c r="D9" s="807" t="s">
        <v>63</v>
      </c>
      <c r="E9" s="1126"/>
      <c r="F9" s="1127" t="str">
        <f>IF('1A'!G5="","Enter Project Name on Form 1A",'1A'!G5)</f>
        <v>Liberty Bank Building</v>
      </c>
      <c r="G9" s="1127"/>
      <c r="H9" s="929"/>
      <c r="I9" s="1127"/>
      <c r="J9" s="1127"/>
      <c r="K9" s="1128"/>
      <c r="L9" s="1124"/>
    </row>
    <row r="10" spans="2:12" ht="7.5" customHeight="1" thickBot="1" x14ac:dyDescent="0.3">
      <c r="B10" s="1129"/>
      <c r="C10" s="1130"/>
      <c r="D10" s="1130"/>
      <c r="E10" s="1130"/>
      <c r="F10" s="1130"/>
      <c r="G10" s="1130"/>
      <c r="H10" s="1130"/>
      <c r="I10" s="1130"/>
      <c r="J10" s="1130"/>
      <c r="K10" s="1079"/>
      <c r="L10" s="1124"/>
    </row>
    <row r="11" spans="2:12" x14ac:dyDescent="0.25">
      <c r="B11" s="1129"/>
      <c r="C11" s="135"/>
      <c r="D11" s="135"/>
      <c r="E11" s="135"/>
      <c r="F11" s="135"/>
      <c r="G11" s="135"/>
      <c r="H11" s="135"/>
      <c r="I11" s="2086" t="s">
        <v>166</v>
      </c>
      <c r="J11" s="2087"/>
      <c r="K11" s="2088"/>
      <c r="L11" s="1124"/>
    </row>
    <row r="12" spans="2:12" ht="37.5" customHeight="1" thickBot="1" x14ac:dyDescent="0.3">
      <c r="B12" s="1129"/>
      <c r="C12" s="136"/>
      <c r="D12" s="112"/>
      <c r="E12" s="112"/>
      <c r="F12" s="137"/>
      <c r="G12" s="137"/>
      <c r="H12" s="137"/>
      <c r="I12" s="274" t="s">
        <v>247</v>
      </c>
      <c r="J12" s="2089" t="s">
        <v>248</v>
      </c>
      <c r="K12" s="2090"/>
      <c r="L12" s="1124"/>
    </row>
    <row r="13" spans="2:12" ht="15.75" thickBot="1" x14ac:dyDescent="0.3">
      <c r="B13" s="1129"/>
      <c r="C13" s="127" t="s">
        <v>170</v>
      </c>
      <c r="D13" s="128"/>
      <c r="E13" s="128"/>
      <c r="F13" s="129"/>
      <c r="G13" s="129"/>
      <c r="H13" s="129"/>
      <c r="I13" s="108"/>
      <c r="J13" s="108"/>
      <c r="K13" s="1125"/>
      <c r="L13" s="1124"/>
    </row>
    <row r="14" spans="2:12" x14ac:dyDescent="0.25">
      <c r="B14" s="1129"/>
      <c r="C14" s="1079"/>
      <c r="D14" s="260" t="s">
        <v>171</v>
      </c>
      <c r="E14" s="260"/>
      <c r="F14" s="260"/>
      <c r="G14" s="260"/>
      <c r="H14" s="261"/>
      <c r="I14" s="764">
        <f>'6A'!K20</f>
        <v>554456</v>
      </c>
      <c r="J14" s="2082" t="s">
        <v>1516</v>
      </c>
      <c r="K14" s="2083"/>
      <c r="L14" s="1124"/>
    </row>
    <row r="15" spans="2:12" x14ac:dyDescent="0.25">
      <c r="B15" s="1129"/>
      <c r="C15" s="1079"/>
      <c r="D15" s="262" t="s">
        <v>172</v>
      </c>
      <c r="E15" s="262"/>
      <c r="F15" s="262"/>
      <c r="G15" s="262"/>
      <c r="H15" s="263"/>
      <c r="I15" s="109">
        <f>'6A'!K21</f>
        <v>0</v>
      </c>
      <c r="J15" s="2078"/>
      <c r="K15" s="2079"/>
      <c r="L15" s="1124"/>
    </row>
    <row r="16" spans="2:12" x14ac:dyDescent="0.25">
      <c r="B16" s="1129"/>
      <c r="C16" s="1079"/>
      <c r="D16" s="262" t="s">
        <v>173</v>
      </c>
      <c r="E16" s="262"/>
      <c r="F16" s="262"/>
      <c r="G16" s="262"/>
      <c r="H16" s="263"/>
      <c r="I16" s="109">
        <f>'6A'!K22</f>
        <v>0</v>
      </c>
      <c r="J16" s="2078"/>
      <c r="K16" s="2079"/>
      <c r="L16" s="1124"/>
    </row>
    <row r="17" spans="2:12" x14ac:dyDescent="0.25">
      <c r="B17" s="1129"/>
      <c r="C17" s="1079"/>
      <c r="D17" s="262" t="s">
        <v>174</v>
      </c>
      <c r="E17" s="262"/>
      <c r="F17" s="262"/>
      <c r="G17" s="262"/>
      <c r="H17" s="263"/>
      <c r="I17" s="109">
        <f>'6A'!K23</f>
        <v>15000</v>
      </c>
      <c r="J17" s="2078" t="s">
        <v>1546</v>
      </c>
      <c r="K17" s="2079"/>
      <c r="L17" s="1124"/>
    </row>
    <row r="18" spans="2:12" x14ac:dyDescent="0.25">
      <c r="B18" s="1129"/>
      <c r="C18" s="1079"/>
      <c r="D18" s="262" t="s">
        <v>175</v>
      </c>
      <c r="E18" s="262"/>
      <c r="F18" s="262"/>
      <c r="G18" s="262"/>
      <c r="H18" s="263"/>
      <c r="I18" s="109">
        <f>'6A'!K24</f>
        <v>0</v>
      </c>
      <c r="J18" s="2078"/>
      <c r="K18" s="2079"/>
      <c r="L18" s="1124"/>
    </row>
    <row r="19" spans="2:12" ht="15.75" thickBot="1" x14ac:dyDescent="0.3">
      <c r="B19" s="1129"/>
      <c r="C19" s="1079"/>
      <c r="D19" s="262" t="s">
        <v>249</v>
      </c>
      <c r="E19" s="262"/>
      <c r="F19" s="262"/>
      <c r="G19" s="262"/>
      <c r="H19" s="263"/>
      <c r="I19" s="110">
        <f>'6A'!K25</f>
        <v>5000</v>
      </c>
      <c r="J19" s="2080" t="s">
        <v>1541</v>
      </c>
      <c r="K19" s="2081"/>
      <c r="L19" s="1124"/>
    </row>
    <row r="20" spans="2:12" ht="3.75" customHeight="1" x14ac:dyDescent="0.25">
      <c r="B20" s="1129"/>
      <c r="C20" s="114"/>
      <c r="D20" s="115"/>
      <c r="E20" s="115"/>
      <c r="F20" s="111"/>
      <c r="G20" s="111"/>
      <c r="H20" s="111"/>
      <c r="I20" s="104"/>
      <c r="J20" s="104"/>
      <c r="K20" s="1125"/>
      <c r="L20" s="1124"/>
    </row>
    <row r="21" spans="2:12" ht="15.75" thickBot="1" x14ac:dyDescent="0.3">
      <c r="B21" s="1129"/>
      <c r="C21" s="127" t="s">
        <v>177</v>
      </c>
      <c r="D21" s="128"/>
      <c r="E21" s="128"/>
      <c r="F21" s="129"/>
      <c r="G21" s="129"/>
      <c r="H21" s="129"/>
      <c r="I21" s="105"/>
      <c r="J21" s="105"/>
      <c r="K21" s="1079"/>
      <c r="L21" s="1124"/>
    </row>
    <row r="22" spans="2:12" x14ac:dyDescent="0.25">
      <c r="B22" s="1129"/>
      <c r="C22" s="1079"/>
      <c r="D22" s="260" t="s">
        <v>178</v>
      </c>
      <c r="E22" s="260"/>
      <c r="F22" s="260"/>
      <c r="G22" s="260"/>
      <c r="H22" s="261"/>
      <c r="I22" s="764">
        <f>'6A'!K29</f>
        <v>0</v>
      </c>
      <c r="J22" s="2082"/>
      <c r="K22" s="2083"/>
      <c r="L22" s="1124"/>
    </row>
    <row r="23" spans="2:12" x14ac:dyDescent="0.25">
      <c r="B23" s="1129"/>
      <c r="C23" s="1079"/>
      <c r="D23" s="262" t="s">
        <v>179</v>
      </c>
      <c r="E23" s="262"/>
      <c r="F23" s="262"/>
      <c r="G23" s="262"/>
      <c r="H23" s="263"/>
      <c r="I23" s="109">
        <f>'6A'!K30</f>
        <v>16714684</v>
      </c>
      <c r="J23" s="2078" t="s">
        <v>1542</v>
      </c>
      <c r="K23" s="2079"/>
      <c r="L23" s="1124"/>
    </row>
    <row r="24" spans="2:12" x14ac:dyDescent="0.25">
      <c r="B24" s="1129"/>
      <c r="C24" s="1079"/>
      <c r="D24" s="262" t="s">
        <v>180</v>
      </c>
      <c r="E24" s="262"/>
      <c r="F24" s="262"/>
      <c r="G24" s="262"/>
      <c r="H24" s="263"/>
      <c r="I24" s="109">
        <f>'6A'!K31</f>
        <v>0</v>
      </c>
      <c r="J24" s="2078"/>
      <c r="K24" s="2079"/>
      <c r="L24" s="1124"/>
    </row>
    <row r="25" spans="2:12" x14ac:dyDescent="0.25">
      <c r="B25" s="1129"/>
      <c r="C25" s="1079"/>
      <c r="D25" s="262" t="s">
        <v>181</v>
      </c>
      <c r="E25" s="262"/>
      <c r="F25" s="262"/>
      <c r="G25" s="262"/>
      <c r="H25" s="263"/>
      <c r="I25" s="109">
        <f>'6A'!K32</f>
        <v>0</v>
      </c>
      <c r="J25" s="2078"/>
      <c r="K25" s="2079"/>
      <c r="L25" s="1124"/>
    </row>
    <row r="26" spans="2:12" x14ac:dyDescent="0.25">
      <c r="B26" s="1129"/>
      <c r="C26" s="1079"/>
      <c r="D26" s="262" t="s">
        <v>182</v>
      </c>
      <c r="E26" s="262"/>
      <c r="F26" s="262"/>
      <c r="G26" s="262"/>
      <c r="H26" s="263"/>
      <c r="I26" s="109">
        <f>'6A'!K33</f>
        <v>0</v>
      </c>
      <c r="J26" s="2078"/>
      <c r="K26" s="2079"/>
      <c r="L26" s="1124"/>
    </row>
    <row r="27" spans="2:12" x14ac:dyDescent="0.25">
      <c r="B27" s="1129"/>
      <c r="C27" s="1079"/>
      <c r="D27" s="262" t="s">
        <v>183</v>
      </c>
      <c r="E27" s="262"/>
      <c r="F27" s="262"/>
      <c r="G27" s="262"/>
      <c r="H27" s="263"/>
      <c r="I27" s="109">
        <f>'6A'!K34</f>
        <v>1053025</v>
      </c>
      <c r="J27" s="2078" t="s">
        <v>1543</v>
      </c>
      <c r="K27" s="2079"/>
      <c r="L27" s="1124"/>
    </row>
    <row r="28" spans="2:12" x14ac:dyDescent="0.25">
      <c r="B28" s="1129"/>
      <c r="C28" s="1079"/>
      <c r="D28" s="262" t="s">
        <v>184</v>
      </c>
      <c r="E28" s="262"/>
      <c r="F28" s="262"/>
      <c r="G28" s="262"/>
      <c r="H28" s="263"/>
      <c r="I28" s="109">
        <f>'6A'!K35</f>
        <v>0</v>
      </c>
      <c r="J28" s="2078"/>
      <c r="K28" s="2079"/>
      <c r="L28" s="1124"/>
    </row>
    <row r="29" spans="2:12" x14ac:dyDescent="0.25">
      <c r="B29" s="1129"/>
      <c r="C29" s="1079"/>
      <c r="D29" s="262" t="s">
        <v>185</v>
      </c>
      <c r="E29" s="262"/>
      <c r="F29" s="262"/>
      <c r="G29" s="262"/>
      <c r="H29" s="263"/>
      <c r="I29" s="109">
        <f>'6A'!K36</f>
        <v>0</v>
      </c>
      <c r="J29" s="2078"/>
      <c r="K29" s="2079"/>
      <c r="L29" s="1124"/>
    </row>
    <row r="30" spans="2:12" x14ac:dyDescent="0.25">
      <c r="B30" s="1129"/>
      <c r="C30" s="1079"/>
      <c r="D30" s="262" t="s">
        <v>186</v>
      </c>
      <c r="E30" s="262"/>
      <c r="F30" s="262"/>
      <c r="G30" s="262"/>
      <c r="H30" s="263"/>
      <c r="I30" s="109">
        <f>'6A'!K37</f>
        <v>0</v>
      </c>
      <c r="J30" s="2078"/>
      <c r="K30" s="2079"/>
      <c r="L30" s="1124"/>
    </row>
    <row r="31" spans="2:12" x14ac:dyDescent="0.25">
      <c r="B31" s="1129"/>
      <c r="C31" s="1079"/>
      <c r="D31" s="262" t="s">
        <v>187</v>
      </c>
      <c r="E31" s="262"/>
      <c r="F31" s="262"/>
      <c r="G31" s="262"/>
      <c r="H31" s="263"/>
      <c r="I31" s="109">
        <f>'6A'!K38</f>
        <v>0</v>
      </c>
      <c r="J31" s="2078"/>
      <c r="K31" s="2079"/>
      <c r="L31" s="1124"/>
    </row>
    <row r="32" spans="2:12" x14ac:dyDescent="0.25">
      <c r="B32" s="1129"/>
      <c r="C32" s="1079"/>
      <c r="D32" s="262" t="s">
        <v>188</v>
      </c>
      <c r="E32" s="262"/>
      <c r="F32" s="262"/>
      <c r="G32" s="262"/>
      <c r="H32" s="263"/>
      <c r="I32" s="109">
        <f>'6A'!K39</f>
        <v>0</v>
      </c>
      <c r="J32" s="2078"/>
      <c r="K32" s="2079"/>
      <c r="L32" s="1124"/>
    </row>
    <row r="33" spans="2:12" x14ac:dyDescent="0.25">
      <c r="B33" s="1129"/>
      <c r="C33" s="1079"/>
      <c r="D33" s="262" t="s">
        <v>189</v>
      </c>
      <c r="E33" s="262"/>
      <c r="F33" s="262"/>
      <c r="G33" s="262"/>
      <c r="H33" s="263"/>
      <c r="I33" s="109">
        <f>'6A'!K40</f>
        <v>440594</v>
      </c>
      <c r="J33" s="2078" t="s">
        <v>1544</v>
      </c>
      <c r="K33" s="2079"/>
      <c r="L33" s="1124"/>
    </row>
    <row r="34" spans="2:12" x14ac:dyDescent="0.25">
      <c r="B34" s="1129"/>
      <c r="C34" s="1079"/>
      <c r="D34" s="262" t="s">
        <v>190</v>
      </c>
      <c r="E34" s="262"/>
      <c r="F34" s="262"/>
      <c r="G34" s="262"/>
      <c r="H34" s="263"/>
      <c r="I34" s="109">
        <f>'6A'!K41</f>
        <v>1684839.608</v>
      </c>
      <c r="J34" s="2078" t="s">
        <v>1545</v>
      </c>
      <c r="K34" s="2079"/>
      <c r="L34" s="1124"/>
    </row>
    <row r="35" spans="2:12" x14ac:dyDescent="0.25">
      <c r="B35" s="1129"/>
      <c r="C35" s="1079"/>
      <c r="D35" s="262" t="s">
        <v>191</v>
      </c>
      <c r="E35" s="262"/>
      <c r="F35" s="262"/>
      <c r="G35" s="262"/>
      <c r="H35" s="263"/>
      <c r="I35" s="109">
        <f>'6A'!K42</f>
        <v>0</v>
      </c>
      <c r="J35" s="2078"/>
      <c r="K35" s="2079"/>
      <c r="L35" s="1124"/>
    </row>
    <row r="36" spans="2:12" x14ac:dyDescent="0.25">
      <c r="B36" s="1129"/>
      <c r="C36" s="1079"/>
      <c r="D36" s="262" t="s">
        <v>192</v>
      </c>
      <c r="E36" s="262"/>
      <c r="F36" s="262"/>
      <c r="G36" s="262"/>
      <c r="H36" s="263"/>
      <c r="I36" s="109">
        <f>'6A'!K43</f>
        <v>25000</v>
      </c>
      <c r="J36" s="2078" t="s">
        <v>1547</v>
      </c>
      <c r="K36" s="2079"/>
      <c r="L36" s="1124"/>
    </row>
    <row r="37" spans="2:12" ht="15.75" thickBot="1" x14ac:dyDescent="0.3">
      <c r="B37" s="1129"/>
      <c r="C37" s="1079"/>
      <c r="D37" s="262" t="s">
        <v>250</v>
      </c>
      <c r="E37" s="262"/>
      <c r="F37" s="262"/>
      <c r="G37" s="262"/>
      <c r="H37" s="263"/>
      <c r="I37" s="110">
        <f>'6A'!K44</f>
        <v>2239768</v>
      </c>
      <c r="J37" s="2080" t="s">
        <v>1548</v>
      </c>
      <c r="K37" s="2081"/>
      <c r="L37" s="1124"/>
    </row>
    <row r="38" spans="2:12" ht="3.75" customHeight="1" x14ac:dyDescent="0.25">
      <c r="B38" s="1129"/>
      <c r="C38" s="114"/>
      <c r="D38" s="115"/>
      <c r="E38" s="115"/>
      <c r="F38" s="111"/>
      <c r="G38" s="111"/>
      <c r="H38" s="111"/>
      <c r="I38" s="104"/>
      <c r="J38" s="104"/>
      <c r="K38" s="1125"/>
      <c r="L38" s="1124"/>
    </row>
    <row r="39" spans="2:12" ht="15.75" thickBot="1" x14ac:dyDescent="0.3">
      <c r="B39" s="1129"/>
      <c r="C39" s="127" t="s">
        <v>193</v>
      </c>
      <c r="D39" s="128"/>
      <c r="E39" s="128"/>
      <c r="F39" s="129"/>
      <c r="G39" s="129"/>
      <c r="H39" s="129"/>
      <c r="I39" s="104"/>
      <c r="J39" s="104"/>
      <c r="K39" s="1079"/>
      <c r="L39" s="1124"/>
    </row>
    <row r="40" spans="2:12" x14ac:dyDescent="0.25">
      <c r="B40" s="1129"/>
      <c r="C40" s="1079"/>
      <c r="D40" s="260" t="s">
        <v>194</v>
      </c>
      <c r="E40" s="260"/>
      <c r="F40" s="260"/>
      <c r="G40" s="260"/>
      <c r="H40" s="261"/>
      <c r="I40" s="764">
        <f>'6A'!K48</f>
        <v>9901</v>
      </c>
      <c r="J40" s="2082" t="s">
        <v>1549</v>
      </c>
      <c r="K40" s="2083"/>
      <c r="L40" s="1124"/>
    </row>
    <row r="41" spans="2:12" x14ac:dyDescent="0.25">
      <c r="B41" s="1129"/>
      <c r="C41" s="1079"/>
      <c r="D41" s="262" t="s">
        <v>195</v>
      </c>
      <c r="E41" s="262"/>
      <c r="F41" s="262"/>
      <c r="G41" s="262"/>
      <c r="H41" s="263"/>
      <c r="I41" s="109">
        <f>'6A'!K49</f>
        <v>9901</v>
      </c>
      <c r="J41" s="2078" t="s">
        <v>1550</v>
      </c>
      <c r="K41" s="2079"/>
      <c r="L41" s="1124"/>
    </row>
    <row r="42" spans="2:12" x14ac:dyDescent="0.25">
      <c r="B42" s="1129"/>
      <c r="C42" s="1079"/>
      <c r="D42" s="262" t="s">
        <v>196</v>
      </c>
      <c r="E42" s="262"/>
      <c r="F42" s="262"/>
      <c r="G42" s="262"/>
      <c r="H42" s="263"/>
      <c r="I42" s="109">
        <f>'6A'!K50</f>
        <v>1223018</v>
      </c>
      <c r="J42" s="2078" t="s">
        <v>1519</v>
      </c>
      <c r="K42" s="2079"/>
      <c r="L42" s="1124"/>
    </row>
    <row r="43" spans="2:12" x14ac:dyDescent="0.25">
      <c r="B43" s="1129"/>
      <c r="C43" s="1079"/>
      <c r="D43" s="262" t="s">
        <v>197</v>
      </c>
      <c r="E43" s="262"/>
      <c r="F43" s="262"/>
      <c r="G43" s="262"/>
      <c r="H43" s="263"/>
      <c r="I43" s="109">
        <f>'6A'!K51</f>
        <v>9901</v>
      </c>
      <c r="J43" s="2078" t="s">
        <v>1551</v>
      </c>
      <c r="K43" s="2079"/>
      <c r="L43" s="1124"/>
    </row>
    <row r="44" spans="2:12" x14ac:dyDescent="0.25">
      <c r="B44" s="1129"/>
      <c r="C44" s="1079"/>
      <c r="D44" s="262" t="s">
        <v>198</v>
      </c>
      <c r="E44" s="262"/>
      <c r="F44" s="262"/>
      <c r="G44" s="262"/>
      <c r="H44" s="263"/>
      <c r="I44" s="109">
        <f>'6A'!K52</f>
        <v>19802</v>
      </c>
      <c r="J44" s="2078" t="s">
        <v>1552</v>
      </c>
      <c r="K44" s="2079"/>
      <c r="L44" s="1124"/>
    </row>
    <row r="45" spans="2:12" x14ac:dyDescent="0.25">
      <c r="B45" s="1129"/>
      <c r="C45" s="1079"/>
      <c r="D45" s="262" t="s">
        <v>199</v>
      </c>
      <c r="E45" s="262"/>
      <c r="F45" s="262"/>
      <c r="G45" s="262"/>
      <c r="H45" s="263"/>
      <c r="I45" s="109">
        <f>'6A'!K53</f>
        <v>24752</v>
      </c>
      <c r="J45" s="2078" t="s">
        <v>1553</v>
      </c>
      <c r="K45" s="2079"/>
      <c r="L45" s="1124"/>
    </row>
    <row r="46" spans="2:12" ht="26.25" customHeight="1" x14ac:dyDescent="0.25">
      <c r="B46" s="1129"/>
      <c r="C46" s="1079"/>
      <c r="D46" s="262" t="s">
        <v>200</v>
      </c>
      <c r="E46" s="262"/>
      <c r="F46" s="262"/>
      <c r="G46" s="262"/>
      <c r="H46" s="263"/>
      <c r="I46" s="109">
        <f>'6A'!K54</f>
        <v>29703</v>
      </c>
      <c r="J46" s="2084" t="s">
        <v>1554</v>
      </c>
      <c r="K46" s="2085"/>
      <c r="L46" s="1124"/>
    </row>
    <row r="47" spans="2:12" x14ac:dyDescent="0.25">
      <c r="B47" s="1129"/>
      <c r="C47" s="1079"/>
      <c r="D47" s="262" t="s">
        <v>201</v>
      </c>
      <c r="E47" s="262"/>
      <c r="F47" s="262"/>
      <c r="G47" s="262"/>
      <c r="H47" s="263"/>
      <c r="I47" s="109">
        <f>'6A'!K55</f>
        <v>0</v>
      </c>
      <c r="J47" s="2078"/>
      <c r="K47" s="2079"/>
      <c r="L47" s="1124"/>
    </row>
    <row r="48" spans="2:12" x14ac:dyDescent="0.25">
      <c r="B48" s="1129"/>
      <c r="C48" s="1079"/>
      <c r="D48" s="262" t="s">
        <v>202</v>
      </c>
      <c r="E48" s="262"/>
      <c r="F48" s="262"/>
      <c r="G48" s="262"/>
      <c r="H48" s="263"/>
      <c r="I48" s="109">
        <f>'6A'!K56</f>
        <v>2443643</v>
      </c>
      <c r="J48" s="2078" t="s">
        <v>1555</v>
      </c>
      <c r="K48" s="2079"/>
      <c r="L48" s="1124"/>
    </row>
    <row r="49" spans="2:12" x14ac:dyDescent="0.25">
      <c r="B49" s="1129"/>
      <c r="C49" s="1079"/>
      <c r="D49" s="262" t="s">
        <v>203</v>
      </c>
      <c r="E49" s="262"/>
      <c r="F49" s="262"/>
      <c r="G49" s="262"/>
      <c r="H49" s="263"/>
      <c r="I49" s="109">
        <f>'6A'!K57</f>
        <v>0</v>
      </c>
      <c r="J49" s="2078"/>
      <c r="K49" s="2079"/>
      <c r="L49" s="1124"/>
    </row>
    <row r="50" spans="2:12" x14ac:dyDescent="0.25">
      <c r="B50" s="1129"/>
      <c r="C50" s="1079"/>
      <c r="D50" s="262" t="s">
        <v>204</v>
      </c>
      <c r="E50" s="262"/>
      <c r="F50" s="262"/>
      <c r="G50" s="262"/>
      <c r="H50" s="263"/>
      <c r="I50" s="109">
        <f>'6A'!K58</f>
        <v>84158</v>
      </c>
      <c r="J50" s="2078" t="s">
        <v>1520</v>
      </c>
      <c r="K50" s="2079"/>
      <c r="L50" s="1124"/>
    </row>
    <row r="51" spans="2:12" x14ac:dyDescent="0.25">
      <c r="B51" s="1129"/>
      <c r="C51" s="1131"/>
      <c r="D51" s="161" t="s">
        <v>205</v>
      </c>
      <c r="E51" s="161"/>
      <c r="F51" s="161"/>
      <c r="G51" s="161"/>
      <c r="H51" s="161"/>
      <c r="I51" s="109">
        <f>'6A'!K59</f>
        <v>190398</v>
      </c>
      <c r="J51" s="2078" t="s">
        <v>1556</v>
      </c>
      <c r="K51" s="2079"/>
      <c r="L51" s="1124"/>
    </row>
    <row r="52" spans="2:12" ht="15.75" thickBot="1" x14ac:dyDescent="0.3">
      <c r="B52" s="1129"/>
      <c r="C52" s="1079"/>
      <c r="D52" s="262" t="s">
        <v>249</v>
      </c>
      <c r="E52" s="262"/>
      <c r="F52" s="262"/>
      <c r="G52" s="262"/>
      <c r="H52" s="263"/>
      <c r="I52" s="110">
        <f>'6A'!K60</f>
        <v>74257</v>
      </c>
      <c r="J52" s="2080" t="s">
        <v>1521</v>
      </c>
      <c r="K52" s="2081"/>
      <c r="L52" s="1124"/>
    </row>
    <row r="53" spans="2:12" ht="3.75" customHeight="1" x14ac:dyDescent="0.25">
      <c r="B53" s="1129"/>
      <c r="C53" s="114"/>
      <c r="D53" s="115"/>
      <c r="E53" s="115"/>
      <c r="F53" s="111"/>
      <c r="G53" s="111"/>
      <c r="H53" s="111"/>
      <c r="I53" s="104"/>
      <c r="J53" s="104"/>
      <c r="K53" s="1125"/>
      <c r="L53" s="1124"/>
    </row>
    <row r="54" spans="2:12" ht="15.75" thickBot="1" x14ac:dyDescent="0.3">
      <c r="B54" s="1129"/>
      <c r="C54" s="127" t="s">
        <v>206</v>
      </c>
      <c r="D54" s="128"/>
      <c r="E54" s="128"/>
      <c r="F54" s="129"/>
      <c r="G54" s="129"/>
      <c r="H54" s="129"/>
      <c r="I54" s="104"/>
      <c r="J54" s="104"/>
      <c r="K54" s="1079"/>
      <c r="L54" s="1124"/>
    </row>
    <row r="55" spans="2:12" x14ac:dyDescent="0.25">
      <c r="B55" s="1129"/>
      <c r="C55" s="1079"/>
      <c r="D55" s="260" t="s">
        <v>207</v>
      </c>
      <c r="E55" s="260"/>
      <c r="F55" s="260"/>
      <c r="G55" s="260"/>
      <c r="H55" s="261"/>
      <c r="I55" s="764">
        <f>'6A'!K64</f>
        <v>4000</v>
      </c>
      <c r="J55" s="2082" t="s">
        <v>1557</v>
      </c>
      <c r="K55" s="2083"/>
      <c r="L55" s="1124"/>
    </row>
    <row r="56" spans="2:12" ht="15.75" thickBot="1" x14ac:dyDescent="0.3">
      <c r="B56" s="1129"/>
      <c r="C56" s="1079"/>
      <c r="D56" s="262" t="s">
        <v>208</v>
      </c>
      <c r="E56" s="262"/>
      <c r="F56" s="262"/>
      <c r="G56" s="262"/>
      <c r="H56" s="263"/>
      <c r="I56" s="110">
        <f>'6A'!K65</f>
        <v>84250</v>
      </c>
      <c r="J56" s="2080" t="s">
        <v>1558</v>
      </c>
      <c r="K56" s="2081"/>
      <c r="L56" s="1124"/>
    </row>
    <row r="57" spans="2:12" ht="9" customHeight="1" thickBot="1" x14ac:dyDescent="0.3">
      <c r="B57" s="1132"/>
      <c r="C57" s="124"/>
      <c r="D57" s="125"/>
      <c r="E57" s="125"/>
      <c r="F57" s="124"/>
      <c r="G57" s="124"/>
      <c r="H57" s="124"/>
      <c r="I57" s="106"/>
      <c r="J57" s="106"/>
      <c r="K57" s="1133"/>
      <c r="L57" s="1134"/>
    </row>
    <row r="58" spans="2:12" ht="15.75" thickBot="1" x14ac:dyDescent="0.3">
      <c r="B58" s="1129"/>
      <c r="C58" s="127" t="s">
        <v>209</v>
      </c>
      <c r="D58" s="128"/>
      <c r="E58" s="128"/>
      <c r="F58" s="129"/>
      <c r="G58" s="129"/>
      <c r="H58" s="129"/>
      <c r="I58" s="104"/>
      <c r="J58" s="104"/>
      <c r="K58" s="1079"/>
      <c r="L58" s="1124"/>
    </row>
    <row r="59" spans="2:12" x14ac:dyDescent="0.25">
      <c r="B59" s="1129"/>
      <c r="C59" s="1079"/>
      <c r="D59" s="260" t="s">
        <v>210</v>
      </c>
      <c r="E59" s="260"/>
      <c r="F59" s="260"/>
      <c r="G59" s="260"/>
      <c r="H59" s="261"/>
      <c r="I59" s="764">
        <f>'6A'!K69</f>
        <v>153500</v>
      </c>
      <c r="J59" s="2082" t="s">
        <v>1559</v>
      </c>
      <c r="K59" s="2083"/>
      <c r="L59" s="1135"/>
    </row>
    <row r="60" spans="2:12" x14ac:dyDescent="0.25">
      <c r="B60" s="1129"/>
      <c r="C60" s="1079"/>
      <c r="D60" s="262" t="s">
        <v>211</v>
      </c>
      <c r="E60" s="262"/>
      <c r="F60" s="262"/>
      <c r="G60" s="262"/>
      <c r="H60" s="263"/>
      <c r="I60" s="109">
        <f>'6A'!K70</f>
        <v>12000</v>
      </c>
      <c r="J60" s="2078" t="s">
        <v>1560</v>
      </c>
      <c r="K60" s="2079"/>
      <c r="L60" s="1124"/>
    </row>
    <row r="61" spans="2:12" x14ac:dyDescent="0.25">
      <c r="B61" s="1129"/>
      <c r="C61" s="1079"/>
      <c r="D61" s="262" t="s">
        <v>212</v>
      </c>
      <c r="E61" s="262"/>
      <c r="F61" s="262"/>
      <c r="G61" s="262"/>
      <c r="H61" s="263"/>
      <c r="I61" s="109">
        <f>'6A'!K71</f>
        <v>75000</v>
      </c>
      <c r="J61" s="2078" t="s">
        <v>1561</v>
      </c>
      <c r="K61" s="2079"/>
      <c r="L61" s="1124"/>
    </row>
    <row r="62" spans="2:12" x14ac:dyDescent="0.25">
      <c r="B62" s="1129"/>
      <c r="C62" s="1079"/>
      <c r="D62" s="262" t="s">
        <v>213</v>
      </c>
      <c r="E62" s="262"/>
      <c r="F62" s="262"/>
      <c r="G62" s="262"/>
      <c r="H62" s="263"/>
      <c r="I62" s="109">
        <f>'6A'!K72</f>
        <v>360213</v>
      </c>
      <c r="J62" s="2078" t="s">
        <v>1562</v>
      </c>
      <c r="K62" s="2079"/>
      <c r="L62" s="1124"/>
    </row>
    <row r="63" spans="2:12" ht="15.75" thickBot="1" x14ac:dyDescent="0.3">
      <c r="B63" s="1129"/>
      <c r="C63" s="1079"/>
      <c r="D63" s="262" t="s">
        <v>214</v>
      </c>
      <c r="E63" s="262"/>
      <c r="F63" s="262"/>
      <c r="G63" s="262"/>
      <c r="H63" s="263"/>
      <c r="I63" s="110">
        <f>'6A'!K73</f>
        <v>327467</v>
      </c>
      <c r="J63" s="2080" t="str">
        <f>J62</f>
        <v>Calculated based on draw schedule</v>
      </c>
      <c r="K63" s="2081"/>
      <c r="L63" s="1124"/>
    </row>
    <row r="64" spans="2:12" ht="4.5" customHeight="1" x14ac:dyDescent="0.25">
      <c r="B64" s="1129"/>
      <c r="C64" s="111"/>
      <c r="D64" s="115"/>
      <c r="E64" s="115"/>
      <c r="F64" s="111"/>
      <c r="G64" s="111"/>
      <c r="H64" s="111"/>
      <c r="I64" s="104"/>
      <c r="J64" s="104"/>
      <c r="K64" s="1125"/>
      <c r="L64" s="1124"/>
    </row>
    <row r="65" spans="2:12" ht="15.75" thickBot="1" x14ac:dyDescent="0.3">
      <c r="B65" s="1129"/>
      <c r="C65" s="127" t="s">
        <v>215</v>
      </c>
      <c r="D65" s="128"/>
      <c r="E65" s="128"/>
      <c r="F65" s="129"/>
      <c r="G65" s="129"/>
      <c r="H65" s="129"/>
      <c r="I65" s="104"/>
      <c r="J65" s="104"/>
      <c r="K65" s="1079"/>
      <c r="L65" s="1124"/>
    </row>
    <row r="66" spans="2:12" x14ac:dyDescent="0.25">
      <c r="B66" s="1129"/>
      <c r="C66" s="1079"/>
      <c r="D66" s="260" t="s">
        <v>216</v>
      </c>
      <c r="E66" s="260"/>
      <c r="F66" s="260"/>
      <c r="G66" s="260"/>
      <c r="H66" s="261"/>
      <c r="I66" s="764">
        <f>'6A'!K77</f>
        <v>0</v>
      </c>
      <c r="J66" s="2082"/>
      <c r="K66" s="2083"/>
      <c r="L66" s="1124"/>
    </row>
    <row r="67" spans="2:12" x14ac:dyDescent="0.25">
      <c r="B67" s="1129"/>
      <c r="C67" s="1079"/>
      <c r="D67" s="262" t="s">
        <v>217</v>
      </c>
      <c r="E67" s="262"/>
      <c r="F67" s="262"/>
      <c r="G67" s="262"/>
      <c r="H67" s="263"/>
      <c r="I67" s="109">
        <f>'6A'!K78</f>
        <v>0</v>
      </c>
      <c r="J67" s="2078"/>
      <c r="K67" s="2079"/>
      <c r="L67" s="1124"/>
    </row>
    <row r="68" spans="2:12" x14ac:dyDescent="0.25">
      <c r="B68" s="1129"/>
      <c r="C68" s="1079"/>
      <c r="D68" s="262" t="s">
        <v>218</v>
      </c>
      <c r="E68" s="262"/>
      <c r="F68" s="262"/>
      <c r="G68" s="262"/>
      <c r="H68" s="263"/>
      <c r="I68" s="109">
        <f>'6A'!K79</f>
        <v>0</v>
      </c>
      <c r="J68" s="2078"/>
      <c r="K68" s="2079"/>
      <c r="L68" s="1124"/>
    </row>
    <row r="69" spans="2:12" x14ac:dyDescent="0.25">
      <c r="B69" s="1129"/>
      <c r="C69" s="1079"/>
      <c r="D69" s="262" t="s">
        <v>219</v>
      </c>
      <c r="E69" s="262"/>
      <c r="F69" s="262"/>
      <c r="G69" s="262"/>
      <c r="H69" s="263"/>
      <c r="I69" s="109">
        <f>'6A'!K80</f>
        <v>112063</v>
      </c>
      <c r="J69" s="2078" t="s">
        <v>1563</v>
      </c>
      <c r="K69" s="2079"/>
      <c r="L69" s="1124"/>
    </row>
    <row r="70" spans="2:12" x14ac:dyDescent="0.25">
      <c r="B70" s="1129"/>
      <c r="C70" s="1079"/>
      <c r="D70" s="262" t="s">
        <v>220</v>
      </c>
      <c r="E70" s="262"/>
      <c r="F70" s="262"/>
      <c r="G70" s="262"/>
      <c r="H70" s="263"/>
      <c r="I70" s="109">
        <f>'6A'!K81</f>
        <v>40000</v>
      </c>
      <c r="J70" s="2078" t="s">
        <v>1564</v>
      </c>
      <c r="K70" s="2079"/>
      <c r="L70" s="1124"/>
    </row>
    <row r="71" spans="2:12" x14ac:dyDescent="0.25">
      <c r="B71" s="1129"/>
      <c r="C71" s="1079"/>
      <c r="D71" s="262" t="s">
        <v>221</v>
      </c>
      <c r="E71" s="262"/>
      <c r="F71" s="262"/>
      <c r="G71" s="262"/>
      <c r="H71" s="263"/>
      <c r="I71" s="109">
        <f>'6A'!K82</f>
        <v>0</v>
      </c>
      <c r="J71" s="2078"/>
      <c r="K71" s="2079"/>
      <c r="L71" s="1124"/>
    </row>
    <row r="72" spans="2:12" x14ac:dyDescent="0.25">
      <c r="B72" s="1129"/>
      <c r="C72" s="1079"/>
      <c r="D72" s="262" t="s">
        <v>222</v>
      </c>
      <c r="E72" s="262"/>
      <c r="F72" s="262"/>
      <c r="G72" s="262"/>
      <c r="H72" s="263"/>
      <c r="I72" s="109">
        <f>'6A'!K83</f>
        <v>20000</v>
      </c>
      <c r="J72" s="2078" t="s">
        <v>1565</v>
      </c>
      <c r="K72" s="2079"/>
      <c r="L72" s="1124"/>
    </row>
    <row r="73" spans="2:12" ht="15.75" thickBot="1" x14ac:dyDescent="0.3">
      <c r="B73" s="1129"/>
      <c r="C73" s="1079"/>
      <c r="D73" s="262" t="s">
        <v>249</v>
      </c>
      <c r="E73" s="262"/>
      <c r="F73" s="262"/>
      <c r="G73" s="262"/>
      <c r="H73" s="263"/>
      <c r="I73" s="110">
        <f>'6A'!K84</f>
        <v>30000</v>
      </c>
      <c r="J73" s="2080" t="s">
        <v>1566</v>
      </c>
      <c r="K73" s="2081"/>
      <c r="L73" s="1124"/>
    </row>
    <row r="74" spans="2:12" ht="3.75" customHeight="1" x14ac:dyDescent="0.25">
      <c r="B74" s="1129"/>
      <c r="C74" s="114"/>
      <c r="D74" s="115"/>
      <c r="E74" s="115"/>
      <c r="F74" s="111"/>
      <c r="G74" s="111"/>
      <c r="H74" s="111"/>
      <c r="I74" s="104"/>
      <c r="J74" s="104"/>
      <c r="K74" s="1125"/>
      <c r="L74" s="1124"/>
    </row>
    <row r="75" spans="2:12" ht="15.75" thickBot="1" x14ac:dyDescent="0.3">
      <c r="B75" s="1129"/>
      <c r="C75" s="127" t="s">
        <v>223</v>
      </c>
      <c r="D75" s="128"/>
      <c r="E75" s="128"/>
      <c r="F75" s="129"/>
      <c r="G75" s="129"/>
      <c r="H75" s="129"/>
      <c r="I75" s="107"/>
      <c r="J75" s="273"/>
      <c r="K75" s="902"/>
      <c r="L75" s="1124"/>
    </row>
    <row r="76" spans="2:12" x14ac:dyDescent="0.25">
      <c r="B76" s="1129"/>
      <c r="C76" s="1079"/>
      <c r="D76" s="260" t="s">
        <v>224</v>
      </c>
      <c r="E76" s="260"/>
      <c r="F76" s="260"/>
      <c r="G76" s="260"/>
      <c r="H76" s="261"/>
      <c r="I76" s="764">
        <f>'6A'!K88</f>
        <v>591423</v>
      </c>
      <c r="J76" s="2082" t="s">
        <v>1567</v>
      </c>
      <c r="K76" s="2083"/>
      <c r="L76" s="1124"/>
    </row>
    <row r="77" spans="2:12" x14ac:dyDescent="0.25">
      <c r="B77" s="1129"/>
      <c r="C77" s="1079"/>
      <c r="D77" s="262" t="s">
        <v>225</v>
      </c>
      <c r="E77" s="262"/>
      <c r="F77" s="262"/>
      <c r="G77" s="262"/>
      <c r="H77" s="263"/>
      <c r="I77" s="109">
        <f>'6A'!K89</f>
        <v>115000</v>
      </c>
      <c r="J77" s="2078" t="s">
        <v>1568</v>
      </c>
      <c r="K77" s="2079"/>
      <c r="L77" s="1124"/>
    </row>
    <row r="78" spans="2:12" ht="15.75" thickBot="1" x14ac:dyDescent="0.3">
      <c r="B78" s="1129"/>
      <c r="C78" s="1079"/>
      <c r="D78" s="262" t="s">
        <v>251</v>
      </c>
      <c r="E78" s="262"/>
      <c r="F78" s="262"/>
      <c r="G78" s="262"/>
      <c r="H78" s="263"/>
      <c r="I78" s="110">
        <f>'6A'!K90</f>
        <v>0</v>
      </c>
      <c r="J78" s="2080"/>
      <c r="K78" s="2081"/>
      <c r="L78" s="1124"/>
    </row>
    <row r="79" spans="2:12" ht="3.75" customHeight="1" x14ac:dyDescent="0.25">
      <c r="B79" s="1129"/>
      <c r="C79" s="114"/>
      <c r="D79" s="115"/>
      <c r="E79" s="115"/>
      <c r="F79" s="111"/>
      <c r="G79" s="111"/>
      <c r="H79" s="111"/>
      <c r="I79" s="104"/>
      <c r="J79" s="104"/>
      <c r="K79" s="1125"/>
      <c r="L79" s="1124"/>
    </row>
    <row r="80" spans="2:12" ht="15.75" thickBot="1" x14ac:dyDescent="0.3">
      <c r="B80" s="1129"/>
      <c r="C80" s="127" t="s">
        <v>226</v>
      </c>
      <c r="D80" s="128"/>
      <c r="E80" s="128"/>
      <c r="F80" s="129"/>
      <c r="G80" s="129"/>
      <c r="H80" s="129"/>
      <c r="I80" s="107"/>
      <c r="J80" s="273"/>
      <c r="K80" s="902"/>
      <c r="L80" s="1124"/>
    </row>
    <row r="81" spans="2:12" x14ac:dyDescent="0.25">
      <c r="B81" s="1129"/>
      <c r="C81" s="1079"/>
      <c r="D81" s="260" t="s">
        <v>227</v>
      </c>
      <c r="E81" s="260"/>
      <c r="F81" s="260"/>
      <c r="G81" s="260"/>
      <c r="H81" s="261"/>
      <c r="I81" s="764">
        <f>'6A'!K94</f>
        <v>100000</v>
      </c>
      <c r="J81" s="2082" t="s">
        <v>1569</v>
      </c>
      <c r="K81" s="2083"/>
      <c r="L81" s="1124"/>
    </row>
    <row r="82" spans="2:12" x14ac:dyDescent="0.25">
      <c r="B82" s="1129"/>
      <c r="C82" s="1079"/>
      <c r="D82" s="262" t="s">
        <v>228</v>
      </c>
      <c r="E82" s="262"/>
      <c r="F82" s="262"/>
      <c r="G82" s="262"/>
      <c r="H82" s="263"/>
      <c r="I82" s="109">
        <f>'6A'!K95</f>
        <v>128054</v>
      </c>
      <c r="J82" s="2078" t="s">
        <v>1570</v>
      </c>
      <c r="K82" s="2079"/>
      <c r="L82" s="1124"/>
    </row>
    <row r="83" spans="2:12" x14ac:dyDescent="0.25">
      <c r="B83" s="1129"/>
      <c r="C83" s="1079"/>
      <c r="D83" s="262" t="s">
        <v>123</v>
      </c>
      <c r="E83" s="262"/>
      <c r="F83" s="262"/>
      <c r="G83" s="262"/>
      <c r="H83" s="263"/>
      <c r="I83" s="109">
        <f>'6A'!K96</f>
        <v>0</v>
      </c>
      <c r="J83" s="2078"/>
      <c r="K83" s="2079"/>
      <c r="L83" s="1124"/>
    </row>
    <row r="84" spans="2:12" x14ac:dyDescent="0.25">
      <c r="B84" s="1129"/>
      <c r="C84" s="1079"/>
      <c r="D84" s="262" t="s">
        <v>229</v>
      </c>
      <c r="E84" s="262"/>
      <c r="F84" s="262"/>
      <c r="G84" s="262"/>
      <c r="H84" s="263"/>
      <c r="I84" s="109">
        <f>'6A'!K97</f>
        <v>4950</v>
      </c>
      <c r="J84" s="2078" t="s">
        <v>1571</v>
      </c>
      <c r="K84" s="2079"/>
      <c r="L84" s="1124"/>
    </row>
    <row r="85" spans="2:12" ht="21.75" customHeight="1" x14ac:dyDescent="0.25">
      <c r="B85" s="1129"/>
      <c r="C85" s="1079"/>
      <c r="D85" s="262" t="s">
        <v>230</v>
      </c>
      <c r="E85" s="262"/>
      <c r="F85" s="262"/>
      <c r="G85" s="262"/>
      <c r="H85" s="263"/>
      <c r="I85" s="109">
        <f>'6A'!K98</f>
        <v>874537</v>
      </c>
      <c r="J85" s="2084" t="s">
        <v>1572</v>
      </c>
      <c r="K85" s="2085"/>
      <c r="L85" s="1124"/>
    </row>
    <row r="86" spans="2:12" x14ac:dyDescent="0.25">
      <c r="B86" s="1129"/>
      <c r="C86" s="1079"/>
      <c r="D86" s="262" t="s">
        <v>231</v>
      </c>
      <c r="E86" s="262"/>
      <c r="F86" s="262"/>
      <c r="G86" s="262"/>
      <c r="H86" s="263"/>
      <c r="I86" s="109">
        <f>'6A'!K99</f>
        <v>0</v>
      </c>
      <c r="J86" s="2078"/>
      <c r="K86" s="2079"/>
      <c r="L86" s="1124"/>
    </row>
    <row r="87" spans="2:12" x14ac:dyDescent="0.25">
      <c r="B87" s="1129"/>
      <c r="C87" s="1079"/>
      <c r="D87" s="262" t="s">
        <v>232</v>
      </c>
      <c r="E87" s="262"/>
      <c r="F87" s="262"/>
      <c r="G87" s="262"/>
      <c r="H87" s="263"/>
      <c r="I87" s="109">
        <f>'6A'!K100</f>
        <v>0</v>
      </c>
      <c r="J87" s="2078"/>
      <c r="K87" s="2079"/>
      <c r="L87" s="1124"/>
    </row>
    <row r="88" spans="2:12" x14ac:dyDescent="0.25">
      <c r="B88" s="1129"/>
      <c r="C88" s="1079"/>
      <c r="D88" s="262" t="s">
        <v>233</v>
      </c>
      <c r="E88" s="262"/>
      <c r="F88" s="262"/>
      <c r="G88" s="262"/>
      <c r="H88" s="263"/>
      <c r="I88" s="109">
        <f>'6A'!K101</f>
        <v>0</v>
      </c>
      <c r="J88" s="2078"/>
      <c r="K88" s="2079"/>
      <c r="L88" s="1124"/>
    </row>
    <row r="89" spans="2:12" x14ac:dyDescent="0.25">
      <c r="B89" s="1129"/>
      <c r="C89" s="1079"/>
      <c r="D89" s="262" t="s">
        <v>234</v>
      </c>
      <c r="E89" s="262"/>
      <c r="F89" s="262"/>
      <c r="G89" s="262"/>
      <c r="H89" s="263"/>
      <c r="I89" s="109">
        <f>'6A'!K102</f>
        <v>15000</v>
      </c>
      <c r="J89" s="2078" t="s">
        <v>1571</v>
      </c>
      <c r="K89" s="2079"/>
      <c r="L89" s="1124"/>
    </row>
    <row r="90" spans="2:12" x14ac:dyDescent="0.25">
      <c r="B90" s="1129"/>
      <c r="C90" s="1079"/>
      <c r="D90" s="262" t="s">
        <v>235</v>
      </c>
      <c r="E90" s="262"/>
      <c r="F90" s="262"/>
      <c r="G90" s="262"/>
      <c r="H90" s="263"/>
      <c r="I90" s="109">
        <f>'6A'!K103</f>
        <v>35000</v>
      </c>
      <c r="J90" s="2078" t="s">
        <v>1571</v>
      </c>
      <c r="K90" s="2079"/>
      <c r="L90" s="1124"/>
    </row>
    <row r="91" spans="2:12" ht="15.75" thickBot="1" x14ac:dyDescent="0.3">
      <c r="B91" s="1129"/>
      <c r="C91" s="1079"/>
      <c r="D91" s="262" t="s">
        <v>236</v>
      </c>
      <c r="E91" s="262"/>
      <c r="F91" s="262"/>
      <c r="G91" s="262"/>
      <c r="H91" s="263"/>
      <c r="I91" s="110">
        <f>'6A'!K104</f>
        <v>0</v>
      </c>
      <c r="J91" s="2080"/>
      <c r="K91" s="2081"/>
      <c r="L91" s="1124"/>
    </row>
    <row r="92" spans="2:12" ht="3.75" customHeight="1" x14ac:dyDescent="0.25">
      <c r="B92" s="1129"/>
      <c r="C92" s="114"/>
      <c r="D92" s="115"/>
      <c r="E92" s="115"/>
      <c r="F92" s="111"/>
      <c r="G92" s="111"/>
      <c r="H92" s="111"/>
      <c r="I92" s="104"/>
      <c r="J92" s="104"/>
      <c r="K92" s="902"/>
      <c r="L92" s="1124"/>
    </row>
    <row r="93" spans="2:12" ht="15.75" thickBot="1" x14ac:dyDescent="0.3">
      <c r="B93" s="1129"/>
      <c r="C93" s="127" t="s">
        <v>237</v>
      </c>
      <c r="D93" s="128"/>
      <c r="E93" s="128"/>
      <c r="F93" s="129"/>
      <c r="G93" s="129"/>
      <c r="H93" s="129"/>
      <c r="I93" s="104"/>
      <c r="J93" s="104"/>
      <c r="K93" s="1130"/>
      <c r="L93" s="1136"/>
    </row>
    <row r="94" spans="2:12" x14ac:dyDescent="0.25">
      <c r="B94" s="1129"/>
      <c r="C94" s="1137"/>
      <c r="D94" s="260" t="s">
        <v>238</v>
      </c>
      <c r="E94" s="260"/>
      <c r="F94" s="260"/>
      <c r="G94" s="260"/>
      <c r="H94" s="261"/>
      <c r="I94" s="764">
        <f>'6A'!K109</f>
        <v>76354</v>
      </c>
      <c r="J94" s="2082" t="s">
        <v>1573</v>
      </c>
      <c r="K94" s="2083"/>
      <c r="L94" s="1136"/>
    </row>
    <row r="95" spans="2:12" x14ac:dyDescent="0.25">
      <c r="B95" s="1129"/>
      <c r="C95" s="1137"/>
      <c r="D95" s="262" t="s">
        <v>239</v>
      </c>
      <c r="E95" s="262"/>
      <c r="F95" s="262"/>
      <c r="G95" s="262"/>
      <c r="H95" s="263"/>
      <c r="I95" s="109">
        <f>'6A'!K110</f>
        <v>39240</v>
      </c>
      <c r="J95" s="2078" t="s">
        <v>1571</v>
      </c>
      <c r="K95" s="2079"/>
      <c r="L95" s="1136"/>
    </row>
    <row r="96" spans="2:12" x14ac:dyDescent="0.25">
      <c r="B96" s="1129"/>
      <c r="C96" s="1079"/>
      <c r="D96" s="262" t="s">
        <v>240</v>
      </c>
      <c r="E96" s="262"/>
      <c r="F96" s="262"/>
      <c r="G96" s="262"/>
      <c r="H96" s="263"/>
      <c r="I96" s="109">
        <f>'6A'!K111</f>
        <v>0</v>
      </c>
      <c r="J96" s="2078"/>
      <c r="K96" s="2079"/>
      <c r="L96" s="1124"/>
    </row>
    <row r="97" spans="2:12" x14ac:dyDescent="0.25">
      <c r="B97" s="1129"/>
      <c r="C97" s="1079"/>
      <c r="D97" s="262" t="s">
        <v>241</v>
      </c>
      <c r="E97" s="262"/>
      <c r="F97" s="262"/>
      <c r="G97" s="262"/>
      <c r="H97" s="263"/>
      <c r="I97" s="109">
        <f>'6A'!K112</f>
        <v>0</v>
      </c>
      <c r="J97" s="2078"/>
      <c r="K97" s="2079"/>
      <c r="L97" s="1124"/>
    </row>
    <row r="98" spans="2:12" x14ac:dyDescent="0.25">
      <c r="B98" s="1129"/>
      <c r="C98" s="1079"/>
      <c r="D98" s="262" t="s">
        <v>242</v>
      </c>
      <c r="E98" s="262"/>
      <c r="F98" s="262"/>
      <c r="G98" s="262"/>
      <c r="H98" s="263"/>
      <c r="I98" s="109">
        <f>'6A'!K113</f>
        <v>0</v>
      </c>
      <c r="J98" s="2078"/>
      <c r="K98" s="2079"/>
      <c r="L98" s="1124"/>
    </row>
    <row r="99" spans="2:12" x14ac:dyDescent="0.25">
      <c r="B99" s="1129"/>
      <c r="C99" s="1079"/>
      <c r="D99" s="262" t="s">
        <v>243</v>
      </c>
      <c r="E99" s="262"/>
      <c r="F99" s="262"/>
      <c r="G99" s="262"/>
      <c r="H99" s="263"/>
      <c r="I99" s="109">
        <f>'6A'!K114</f>
        <v>0</v>
      </c>
      <c r="J99" s="2078"/>
      <c r="K99" s="2079"/>
      <c r="L99" s="1124"/>
    </row>
    <row r="100" spans="2:12" ht="15.75" thickBot="1" x14ac:dyDescent="0.3">
      <c r="B100" s="1129"/>
      <c r="C100" s="1079"/>
      <c r="D100" s="262" t="s">
        <v>244</v>
      </c>
      <c r="E100" s="262"/>
      <c r="F100" s="262"/>
      <c r="G100" s="262"/>
      <c r="H100" s="263"/>
      <c r="I100" s="110">
        <f>'6A'!K115</f>
        <v>0</v>
      </c>
      <c r="J100" s="2080"/>
      <c r="K100" s="2081"/>
      <c r="L100" s="1124"/>
    </row>
    <row r="101" spans="2:12" ht="15.75" thickBot="1" x14ac:dyDescent="0.3">
      <c r="B101" s="1132"/>
      <c r="C101" s="102"/>
      <c r="D101" s="1138"/>
      <c r="E101" s="1138"/>
      <c r="F101" s="102"/>
      <c r="G101" s="102"/>
      <c r="H101" s="102"/>
      <c r="I101" s="103"/>
      <c r="J101" s="103"/>
      <c r="K101" s="1133"/>
      <c r="L101" s="1134"/>
    </row>
    <row r="102" spans="2:12" x14ac:dyDescent="0.25">
      <c r="I102" s="1119"/>
    </row>
  </sheetData>
  <sheetProtection password="9F6B" sheet="1" objects="1" scenarios="1" formatCells="0" formatColumns="0" formatRows="0"/>
  <mergeCells count="74">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6" fitToHeight="2" orientation="portrait" r:id="rId1"/>
  <headerFooter>
    <oddFooter>&amp;LForm 6B
Development Budget Details&amp;CCFA Forms&amp;REdition: 2015
Version: 1.1</oddFooter>
  </headerFooter>
  <rowBreaks count="1" manualBreakCount="1">
    <brk id="57" min="1"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9:O123"/>
  <sheetViews>
    <sheetView showGridLines="0" topLeftCell="A94" zoomScaleNormal="100" workbookViewId="0">
      <selection activeCell="N118" sqref="N118:O118"/>
    </sheetView>
  </sheetViews>
  <sheetFormatPr defaultRowHeight="15" x14ac:dyDescent="0.25"/>
  <cols>
    <col min="1" max="2" width="1.7109375" style="843" customWidth="1"/>
    <col min="3" max="3" width="2.85546875" style="843" customWidth="1"/>
    <col min="4" max="4" width="5.7109375" style="843" customWidth="1"/>
    <col min="5" max="5" width="8.5703125" style="843" customWidth="1"/>
    <col min="6" max="6" width="12.85546875" style="843" customWidth="1"/>
    <col min="7" max="7" width="10.7109375" style="843" customWidth="1"/>
    <col min="8" max="8" width="0.7109375" style="843" customWidth="1"/>
    <col min="9" max="9" width="12.5703125" style="843" customWidth="1"/>
    <col min="10" max="10" width="11.42578125" style="843" customWidth="1"/>
    <col min="11" max="11" width="12.140625" style="843" customWidth="1"/>
    <col min="12" max="12" width="1.7109375" style="843" customWidth="1"/>
    <col min="13" max="14" width="9.140625" style="843"/>
    <col min="15" max="15" width="12.5703125" style="843" bestFit="1" customWidth="1"/>
    <col min="16" max="16384" width="9.140625" style="843"/>
  </cols>
  <sheetData>
    <row r="9" spans="2:12" ht="15.75" thickBot="1" x14ac:dyDescent="0.3"/>
    <row r="10" spans="2:12" x14ac:dyDescent="0.25">
      <c r="B10" s="1139"/>
      <c r="C10" s="1140"/>
      <c r="D10" s="1140"/>
      <c r="E10" s="1140"/>
      <c r="F10" s="1140"/>
      <c r="G10" s="1140"/>
      <c r="H10" s="1140"/>
      <c r="I10" s="1140"/>
      <c r="J10" s="1140"/>
      <c r="K10" s="1140"/>
      <c r="L10" s="1141"/>
    </row>
    <row r="11" spans="2:12" ht="18.75" x14ac:dyDescent="0.3">
      <c r="B11" s="1142"/>
      <c r="C11" s="1937" t="s">
        <v>252</v>
      </c>
      <c r="D11" s="1937"/>
      <c r="E11" s="1937"/>
      <c r="F11" s="1937"/>
      <c r="G11" s="1937"/>
      <c r="H11" s="1937"/>
      <c r="I11" s="1937"/>
      <c r="J11" s="1937"/>
      <c r="K11" s="1937"/>
      <c r="L11" s="1143"/>
    </row>
    <row r="12" spans="2:12" x14ac:dyDescent="0.25">
      <c r="B12" s="1142"/>
      <c r="C12" s="902"/>
      <c r="D12" s="902"/>
      <c r="E12" s="902"/>
      <c r="F12" s="902"/>
      <c r="G12" s="902"/>
      <c r="H12" s="902"/>
      <c r="I12" s="902"/>
      <c r="J12" s="902"/>
      <c r="K12" s="902"/>
      <c r="L12" s="1143"/>
    </row>
    <row r="13" spans="2:12" x14ac:dyDescent="0.25">
      <c r="B13" s="1142"/>
      <c r="C13" s="813"/>
      <c r="D13" s="258" t="s">
        <v>63</v>
      </c>
      <c r="E13" s="1126"/>
      <c r="F13" s="1956" t="str">
        <f>IF('1A'!G5="","Enter Project Name on Form 1A",'1A'!G5)</f>
        <v>Liberty Bank Building</v>
      </c>
      <c r="G13" s="1956"/>
      <c r="H13" s="1956"/>
      <c r="I13" s="1956"/>
      <c r="J13" s="1956"/>
      <c r="K13" s="1956"/>
      <c r="L13" s="1143"/>
    </row>
    <row r="14" spans="2:12" ht="15.75" thickBot="1" x14ac:dyDescent="0.3">
      <c r="B14" s="246"/>
      <c r="C14" s="902"/>
      <c r="D14" s="130"/>
      <c r="E14" s="130"/>
      <c r="F14" s="130"/>
      <c r="G14" s="130"/>
      <c r="H14" s="130"/>
      <c r="I14" s="130"/>
      <c r="J14" s="130"/>
      <c r="K14" s="902"/>
      <c r="L14" s="1143"/>
    </row>
    <row r="15" spans="2:12" x14ac:dyDescent="0.25">
      <c r="B15" s="246"/>
      <c r="C15" s="135"/>
      <c r="D15" s="135"/>
      <c r="E15" s="135"/>
      <c r="F15" s="135"/>
      <c r="G15" s="135"/>
      <c r="H15" s="135"/>
      <c r="I15" s="2058" t="s">
        <v>166</v>
      </c>
      <c r="J15" s="2059"/>
      <c r="K15" s="2091"/>
      <c r="L15" s="1143"/>
    </row>
    <row r="16" spans="2:12" x14ac:dyDescent="0.25">
      <c r="B16" s="246"/>
      <c r="C16" s="135"/>
      <c r="D16" s="135"/>
      <c r="E16" s="135"/>
      <c r="F16" s="135"/>
      <c r="G16" s="135"/>
      <c r="H16" s="135"/>
      <c r="I16" s="2106" t="s">
        <v>253</v>
      </c>
      <c r="J16" s="2101" t="s">
        <v>254</v>
      </c>
      <c r="K16" s="2102"/>
      <c r="L16" s="1143"/>
    </row>
    <row r="17" spans="2:12" x14ac:dyDescent="0.25">
      <c r="B17" s="246"/>
      <c r="C17" s="136"/>
      <c r="D17" s="112"/>
      <c r="E17" s="112"/>
      <c r="F17" s="137"/>
      <c r="G17" s="137"/>
      <c r="H17" s="137"/>
      <c r="I17" s="2106"/>
      <c r="J17" s="2103" t="s">
        <v>23</v>
      </c>
      <c r="K17" s="2108" t="s">
        <v>654</v>
      </c>
      <c r="L17" s="1143"/>
    </row>
    <row r="18" spans="2:12" x14ac:dyDescent="0.25">
      <c r="B18" s="246"/>
      <c r="C18" s="112"/>
      <c r="D18" s="138"/>
      <c r="E18" s="138"/>
      <c r="F18" s="139"/>
      <c r="G18" s="139"/>
      <c r="H18" s="139"/>
      <c r="I18" s="2106"/>
      <c r="J18" s="2104"/>
      <c r="K18" s="2109"/>
      <c r="L18" s="1143"/>
    </row>
    <row r="19" spans="2:12" ht="15.75" thickBot="1" x14ac:dyDescent="0.3">
      <c r="B19" s="246"/>
      <c r="C19" s="112"/>
      <c r="D19" s="138"/>
      <c r="E19" s="138"/>
      <c r="F19" s="139"/>
      <c r="G19" s="139"/>
      <c r="H19" s="139"/>
      <c r="I19" s="2107"/>
      <c r="J19" s="2105"/>
      <c r="K19" s="2110"/>
      <c r="L19" s="1143"/>
    </row>
    <row r="20" spans="2:12" ht="15.75" thickBot="1" x14ac:dyDescent="0.3">
      <c r="B20" s="246"/>
      <c r="C20" s="127" t="s">
        <v>170</v>
      </c>
      <c r="D20" s="128"/>
      <c r="E20" s="128"/>
      <c r="F20" s="129"/>
      <c r="G20" s="129"/>
      <c r="H20" s="129"/>
      <c r="I20" s="151"/>
      <c r="J20" s="131"/>
      <c r="K20" s="902"/>
      <c r="L20" s="1143"/>
    </row>
    <row r="21" spans="2:12" x14ac:dyDescent="0.25">
      <c r="B21" s="246"/>
      <c r="C21" s="902"/>
      <c r="D21" s="161" t="s">
        <v>171</v>
      </c>
      <c r="E21" s="111"/>
      <c r="F21" s="112"/>
      <c r="G21" s="112"/>
      <c r="H21" s="112"/>
      <c r="I21" s="164">
        <f>'6A'!K20</f>
        <v>554456</v>
      </c>
      <c r="J21" s="176"/>
      <c r="K21" s="177"/>
      <c r="L21" s="1143"/>
    </row>
    <row r="22" spans="2:12" x14ac:dyDescent="0.25">
      <c r="B22" s="246"/>
      <c r="C22" s="902"/>
      <c r="D22" s="161" t="s">
        <v>172</v>
      </c>
      <c r="E22" s="111"/>
      <c r="F22" s="112"/>
      <c r="G22" s="112"/>
      <c r="H22" s="112"/>
      <c r="I22" s="166">
        <f>'6A'!K21</f>
        <v>0</v>
      </c>
      <c r="J22" s="158"/>
      <c r="K22" s="178"/>
      <c r="L22" s="1143"/>
    </row>
    <row r="23" spans="2:12" x14ac:dyDescent="0.25">
      <c r="B23" s="246"/>
      <c r="C23" s="902"/>
      <c r="D23" s="160" t="s">
        <v>173</v>
      </c>
      <c r="E23" s="111"/>
      <c r="F23" s="113"/>
      <c r="G23" s="113"/>
      <c r="H23" s="113"/>
      <c r="I23" s="166">
        <f>'6A'!K22</f>
        <v>0</v>
      </c>
      <c r="J23" s="158"/>
      <c r="K23" s="178"/>
      <c r="L23" s="1143"/>
    </row>
    <row r="24" spans="2:12" x14ac:dyDescent="0.25">
      <c r="B24" s="246"/>
      <c r="C24" s="902"/>
      <c r="D24" s="160" t="s">
        <v>174</v>
      </c>
      <c r="E24" s="111"/>
      <c r="F24" s="113"/>
      <c r="G24" s="113"/>
      <c r="H24" s="113"/>
      <c r="I24" s="166">
        <f>'6A'!K23</f>
        <v>15000</v>
      </c>
      <c r="J24" s="158"/>
      <c r="K24" s="178"/>
      <c r="L24" s="1143"/>
    </row>
    <row r="25" spans="2:12" x14ac:dyDescent="0.25">
      <c r="B25" s="246"/>
      <c r="C25" s="902"/>
      <c r="D25" s="150" t="s">
        <v>175</v>
      </c>
      <c r="E25" s="111"/>
      <c r="F25" s="113"/>
      <c r="G25" s="113"/>
      <c r="H25" s="113"/>
      <c r="I25" s="166">
        <f>'6A'!K24</f>
        <v>0</v>
      </c>
      <c r="J25" s="158"/>
      <c r="K25" s="178"/>
      <c r="L25" s="1143"/>
    </row>
    <row r="26" spans="2:12" x14ac:dyDescent="0.25">
      <c r="B26" s="246"/>
      <c r="C26" s="902"/>
      <c r="D26" s="117" t="s">
        <v>481</v>
      </c>
      <c r="E26" s="2111" t="str">
        <f>(IF(AND(I26&lt;&gt;0,'6A'!E25=""),"Enter Item on Form 6A",'6A'!E25))</f>
        <v>Acquistion legal</v>
      </c>
      <c r="F26" s="2112"/>
      <c r="G26" s="2113"/>
      <c r="H26" s="1145"/>
      <c r="I26" s="189">
        <f>'6A'!K25</f>
        <v>5000</v>
      </c>
      <c r="J26" s="190"/>
      <c r="K26" s="191"/>
      <c r="L26" s="1143"/>
    </row>
    <row r="27" spans="2:12" ht="15.75" thickBot="1" x14ac:dyDescent="0.3">
      <c r="B27" s="246"/>
      <c r="C27" s="112"/>
      <c r="D27" s="111"/>
      <c r="E27" s="111"/>
      <c r="F27" s="902"/>
      <c r="G27" s="115" t="s">
        <v>176</v>
      </c>
      <c r="H27" s="159"/>
      <c r="I27" s="188">
        <f>SUM(I21:I26)</f>
        <v>574456</v>
      </c>
      <c r="J27" s="163">
        <f>SUM(J22:J26)</f>
        <v>0</v>
      </c>
      <c r="K27" s="168">
        <v>0</v>
      </c>
      <c r="L27" s="1143"/>
    </row>
    <row r="28" spans="2:12" ht="3.75" customHeight="1" x14ac:dyDescent="0.25">
      <c r="B28" s="246"/>
      <c r="C28" s="114"/>
      <c r="D28" s="115"/>
      <c r="E28" s="115"/>
      <c r="F28" s="111"/>
      <c r="G28" s="111"/>
      <c r="H28" s="111"/>
      <c r="I28" s="140"/>
      <c r="J28" s="140"/>
      <c r="K28" s="140"/>
      <c r="L28" s="1143"/>
    </row>
    <row r="29" spans="2:12" ht="15.75" thickBot="1" x14ac:dyDescent="0.3">
      <c r="B29" s="246"/>
      <c r="C29" s="145" t="s">
        <v>177</v>
      </c>
      <c r="D29" s="146"/>
      <c r="E29" s="146"/>
      <c r="F29" s="147"/>
      <c r="G29" s="147"/>
      <c r="H29" s="147"/>
      <c r="I29" s="141"/>
      <c r="J29" s="140"/>
      <c r="K29" s="140"/>
      <c r="L29" s="1143"/>
    </row>
    <row r="30" spans="2:12" x14ac:dyDescent="0.25">
      <c r="B30" s="246"/>
      <c r="C30" s="902"/>
      <c r="D30" s="160" t="s">
        <v>178</v>
      </c>
      <c r="E30" s="111"/>
      <c r="F30" s="113"/>
      <c r="G30" s="113"/>
      <c r="H30" s="113"/>
      <c r="I30" s="164">
        <f>'6A'!K29</f>
        <v>0</v>
      </c>
      <c r="J30" s="165"/>
      <c r="K30" s="169"/>
      <c r="L30" s="1143"/>
    </row>
    <row r="31" spans="2:12" x14ac:dyDescent="0.25">
      <c r="B31" s="246"/>
      <c r="C31" s="902"/>
      <c r="D31" s="160" t="s">
        <v>179</v>
      </c>
      <c r="E31" s="111"/>
      <c r="F31" s="116"/>
      <c r="G31" s="116"/>
      <c r="H31" s="116"/>
      <c r="I31" s="166">
        <f>'6A'!K30</f>
        <v>16714684</v>
      </c>
      <c r="J31" s="158"/>
      <c r="K31" s="170">
        <f>I31</f>
        <v>16714684</v>
      </c>
      <c r="L31" s="1143"/>
    </row>
    <row r="32" spans="2:12" x14ac:dyDescent="0.25">
      <c r="B32" s="246"/>
      <c r="C32" s="902"/>
      <c r="D32" s="160" t="s">
        <v>180</v>
      </c>
      <c r="E32" s="111"/>
      <c r="F32" s="116"/>
      <c r="G32" s="116"/>
      <c r="H32" s="116"/>
      <c r="I32" s="166">
        <f>'6A'!K31</f>
        <v>0</v>
      </c>
      <c r="J32" s="158"/>
      <c r="K32" s="170"/>
      <c r="L32" s="1143"/>
    </row>
    <row r="33" spans="2:12" x14ac:dyDescent="0.25">
      <c r="B33" s="246"/>
      <c r="C33" s="902"/>
      <c r="D33" s="160" t="s">
        <v>181</v>
      </c>
      <c r="E33" s="111"/>
      <c r="F33" s="116"/>
      <c r="G33" s="116"/>
      <c r="H33" s="116"/>
      <c r="I33" s="166">
        <f>'6A'!K32</f>
        <v>0</v>
      </c>
      <c r="J33" s="158"/>
      <c r="K33" s="170"/>
      <c r="L33" s="1143"/>
    </row>
    <row r="34" spans="2:12" x14ac:dyDescent="0.25">
      <c r="B34" s="246"/>
      <c r="C34" s="902"/>
      <c r="D34" s="160" t="s">
        <v>182</v>
      </c>
      <c r="E34" s="111"/>
      <c r="F34" s="116"/>
      <c r="G34" s="116"/>
      <c r="H34" s="116"/>
      <c r="I34" s="166">
        <f>'6A'!K33</f>
        <v>0</v>
      </c>
      <c r="J34" s="158"/>
      <c r="K34" s="170"/>
      <c r="L34" s="1143"/>
    </row>
    <row r="35" spans="2:12" x14ac:dyDescent="0.25">
      <c r="B35" s="246"/>
      <c r="C35" s="902"/>
      <c r="D35" s="160" t="s">
        <v>183</v>
      </c>
      <c r="E35" s="111"/>
      <c r="F35" s="117"/>
      <c r="G35" s="117"/>
      <c r="H35" s="117"/>
      <c r="I35" s="166">
        <f>'6A'!K34</f>
        <v>1053025</v>
      </c>
      <c r="J35" s="158"/>
      <c r="K35" s="170">
        <f>I35</f>
        <v>1053025</v>
      </c>
      <c r="L35" s="1143"/>
    </row>
    <row r="36" spans="2:12" x14ac:dyDescent="0.25">
      <c r="B36" s="246"/>
      <c r="C36" s="902"/>
      <c r="D36" s="160" t="s">
        <v>184</v>
      </c>
      <c r="E36" s="111"/>
      <c r="F36" s="117"/>
      <c r="G36" s="117"/>
      <c r="H36" s="117"/>
      <c r="I36" s="166">
        <f>'6A'!K35</f>
        <v>0</v>
      </c>
      <c r="J36" s="158"/>
      <c r="K36" s="170"/>
      <c r="L36" s="1143"/>
    </row>
    <row r="37" spans="2:12" x14ac:dyDescent="0.25">
      <c r="B37" s="246"/>
      <c r="C37" s="902"/>
      <c r="D37" s="160" t="s">
        <v>185</v>
      </c>
      <c r="E37" s="111"/>
      <c r="F37" s="118"/>
      <c r="G37" s="118"/>
      <c r="H37" s="118"/>
      <c r="I37" s="166">
        <f>'6A'!K36</f>
        <v>0</v>
      </c>
      <c r="J37" s="158"/>
      <c r="K37" s="170"/>
      <c r="L37" s="1143"/>
    </row>
    <row r="38" spans="2:12" x14ac:dyDescent="0.25">
      <c r="B38" s="246"/>
      <c r="C38" s="902"/>
      <c r="D38" s="160" t="s">
        <v>186</v>
      </c>
      <c r="E38" s="111"/>
      <c r="F38" s="118"/>
      <c r="G38" s="118"/>
      <c r="H38" s="118"/>
      <c r="I38" s="166">
        <f>'6A'!K37</f>
        <v>0</v>
      </c>
      <c r="J38" s="158"/>
      <c r="K38" s="170"/>
      <c r="L38" s="1143"/>
    </row>
    <row r="39" spans="2:12" x14ac:dyDescent="0.25">
      <c r="B39" s="246"/>
      <c r="C39" s="902"/>
      <c r="D39" s="160" t="s">
        <v>187</v>
      </c>
      <c r="E39" s="111"/>
      <c r="F39" s="119"/>
      <c r="G39" s="119"/>
      <c r="H39" s="119"/>
      <c r="I39" s="166">
        <f>'6A'!K38</f>
        <v>0</v>
      </c>
      <c r="J39" s="207"/>
      <c r="K39" s="179"/>
      <c r="L39" s="1143"/>
    </row>
    <row r="40" spans="2:12" x14ac:dyDescent="0.25">
      <c r="B40" s="246"/>
      <c r="C40" s="902"/>
      <c r="D40" s="160" t="s">
        <v>256</v>
      </c>
      <c r="E40" s="111"/>
      <c r="F40" s="119"/>
      <c r="G40" s="119"/>
      <c r="H40" s="119"/>
      <c r="I40" s="166">
        <f>'6A'!K39</f>
        <v>0</v>
      </c>
      <c r="J40" s="158"/>
      <c r="K40" s="170"/>
      <c r="L40" s="1143"/>
    </row>
    <row r="41" spans="2:12" x14ac:dyDescent="0.25">
      <c r="B41" s="246"/>
      <c r="C41" s="902"/>
      <c r="D41" s="160" t="s">
        <v>257</v>
      </c>
      <c r="E41" s="111"/>
      <c r="F41" s="119"/>
      <c r="G41" s="119"/>
      <c r="H41" s="119"/>
      <c r="I41" s="166">
        <f>'6A'!K40</f>
        <v>440594</v>
      </c>
      <c r="J41" s="158"/>
      <c r="K41" s="170"/>
      <c r="L41" s="1143"/>
    </row>
    <row r="42" spans="2:12" x14ac:dyDescent="0.25">
      <c r="B42" s="246"/>
      <c r="C42" s="902"/>
      <c r="D42" s="160" t="s">
        <v>190</v>
      </c>
      <c r="E42" s="119"/>
      <c r="F42" s="120"/>
      <c r="G42" s="120"/>
      <c r="H42" s="120"/>
      <c r="I42" s="166">
        <f>'6A'!K41</f>
        <v>1684839.608</v>
      </c>
      <c r="J42" s="158"/>
      <c r="K42" s="170">
        <f>I42</f>
        <v>1684839.608</v>
      </c>
      <c r="L42" s="1143"/>
    </row>
    <row r="43" spans="2:12" x14ac:dyDescent="0.25">
      <c r="B43" s="246"/>
      <c r="C43" s="902"/>
      <c r="D43" s="160" t="s">
        <v>191</v>
      </c>
      <c r="E43" s="111"/>
      <c r="F43" s="118"/>
      <c r="G43" s="118"/>
      <c r="H43" s="118"/>
      <c r="I43" s="166">
        <f>'6A'!K42</f>
        <v>0</v>
      </c>
      <c r="J43" s="158"/>
      <c r="K43" s="170"/>
      <c r="L43" s="1143"/>
    </row>
    <row r="44" spans="2:12" x14ac:dyDescent="0.25">
      <c r="B44" s="246"/>
      <c r="C44" s="902"/>
      <c r="D44" s="160" t="s">
        <v>192</v>
      </c>
      <c r="E44" s="111"/>
      <c r="F44" s="119"/>
      <c r="G44" s="119"/>
      <c r="H44" s="119"/>
      <c r="I44" s="166">
        <f>'6A'!K43</f>
        <v>25000</v>
      </c>
      <c r="J44" s="158"/>
      <c r="K44" s="170">
        <f>I44</f>
        <v>25000</v>
      </c>
      <c r="L44" s="1143"/>
    </row>
    <row r="45" spans="2:12" x14ac:dyDescent="0.25">
      <c r="B45" s="246"/>
      <c r="C45" s="902"/>
      <c r="D45" s="117" t="s">
        <v>481</v>
      </c>
      <c r="E45" s="2111" t="str">
        <f>(IF(AND(I45&lt;&gt;0,'6A'!E44=""),"Enter Item on Form 6A",'6A'!E44))</f>
        <v>Escalation and Design Contingency</v>
      </c>
      <c r="F45" s="2112"/>
      <c r="G45" s="2113"/>
      <c r="H45" s="1145"/>
      <c r="I45" s="189">
        <f>'6A'!K44</f>
        <v>2239768</v>
      </c>
      <c r="J45" s="192"/>
      <c r="K45" s="193">
        <f>I45</f>
        <v>2239768</v>
      </c>
      <c r="L45" s="1143"/>
    </row>
    <row r="46" spans="2:12" ht="15.75" thickBot="1" x14ac:dyDescent="0.3">
      <c r="B46" s="246"/>
      <c r="C46" s="112"/>
      <c r="D46" s="111"/>
      <c r="E46" s="111"/>
      <c r="F46" s="902"/>
      <c r="G46" s="115" t="s">
        <v>176</v>
      </c>
      <c r="H46" s="159"/>
      <c r="I46" s="188">
        <f>SUM(I30:I45)</f>
        <v>22157910.607999999</v>
      </c>
      <c r="J46" s="163">
        <f>(SUM(J30:J38))+(SUM(J40:J45))</f>
        <v>0</v>
      </c>
      <c r="K46" s="171">
        <f>(SUM(K30:K38))+(SUM(K40:K45))</f>
        <v>21717316.607999999</v>
      </c>
      <c r="L46" s="1143"/>
    </row>
    <row r="47" spans="2:12" ht="3.75" customHeight="1" x14ac:dyDescent="0.25">
      <c r="B47" s="246"/>
      <c r="C47" s="114"/>
      <c r="D47" s="115"/>
      <c r="E47" s="115"/>
      <c r="F47" s="111"/>
      <c r="G47" s="111"/>
      <c r="H47" s="111"/>
      <c r="I47" s="140"/>
      <c r="J47" s="140"/>
      <c r="K47" s="140"/>
      <c r="L47" s="1143"/>
    </row>
    <row r="48" spans="2:12" ht="15.75" thickBot="1" x14ac:dyDescent="0.3">
      <c r="B48" s="246"/>
      <c r="C48" s="148" t="s">
        <v>193</v>
      </c>
      <c r="D48" s="148"/>
      <c r="E48" s="148"/>
      <c r="F48" s="148"/>
      <c r="G48" s="148"/>
      <c r="H48" s="148"/>
      <c r="I48" s="140"/>
      <c r="J48" s="142"/>
      <c r="K48" s="142"/>
      <c r="L48" s="1143"/>
    </row>
    <row r="49" spans="2:12" x14ac:dyDescent="0.25">
      <c r="B49" s="246"/>
      <c r="C49" s="902"/>
      <c r="D49" s="160" t="s">
        <v>194</v>
      </c>
      <c r="E49" s="111"/>
      <c r="F49" s="113"/>
      <c r="G49" s="113"/>
      <c r="H49" s="113"/>
      <c r="I49" s="164">
        <f>'6A'!K48</f>
        <v>9901</v>
      </c>
      <c r="J49" s="180"/>
      <c r="K49" s="181"/>
      <c r="L49" s="1143"/>
    </row>
    <row r="50" spans="2:12" x14ac:dyDescent="0.25">
      <c r="B50" s="246"/>
      <c r="C50" s="902"/>
      <c r="D50" s="160" t="s">
        <v>195</v>
      </c>
      <c r="E50" s="111"/>
      <c r="F50" s="113"/>
      <c r="G50" s="113"/>
      <c r="H50" s="113"/>
      <c r="I50" s="166">
        <f>'6A'!K49</f>
        <v>9901</v>
      </c>
      <c r="J50" s="158"/>
      <c r="K50" s="170">
        <f>I50</f>
        <v>9901</v>
      </c>
      <c r="L50" s="1143"/>
    </row>
    <row r="51" spans="2:12" x14ac:dyDescent="0.25">
      <c r="B51" s="246"/>
      <c r="C51" s="902"/>
      <c r="D51" s="160" t="s">
        <v>196</v>
      </c>
      <c r="E51" s="111"/>
      <c r="F51" s="113"/>
      <c r="G51" s="113"/>
      <c r="H51" s="113"/>
      <c r="I51" s="166">
        <f>'6A'!K50</f>
        <v>1223018</v>
      </c>
      <c r="J51" s="158"/>
      <c r="K51" s="170">
        <f t="shared" ref="K51:K61" si="0">I51</f>
        <v>1223018</v>
      </c>
      <c r="L51" s="1143"/>
    </row>
    <row r="52" spans="2:12" x14ac:dyDescent="0.25">
      <c r="B52" s="246"/>
      <c r="C52" s="902"/>
      <c r="D52" s="160" t="s">
        <v>197</v>
      </c>
      <c r="E52" s="111"/>
      <c r="F52" s="113"/>
      <c r="G52" s="113"/>
      <c r="H52" s="113"/>
      <c r="I52" s="166">
        <f>'6A'!K51</f>
        <v>9901</v>
      </c>
      <c r="J52" s="158"/>
      <c r="K52" s="170">
        <f t="shared" si="0"/>
        <v>9901</v>
      </c>
      <c r="L52" s="1143"/>
    </row>
    <row r="53" spans="2:12" x14ac:dyDescent="0.25">
      <c r="B53" s="246"/>
      <c r="C53" s="902"/>
      <c r="D53" s="150" t="s">
        <v>198</v>
      </c>
      <c r="E53" s="121"/>
      <c r="F53" s="113"/>
      <c r="G53" s="113"/>
      <c r="H53" s="113"/>
      <c r="I53" s="166">
        <f>'6A'!K52</f>
        <v>19802</v>
      </c>
      <c r="J53" s="158"/>
      <c r="K53" s="170">
        <f t="shared" si="0"/>
        <v>19802</v>
      </c>
      <c r="L53" s="1143"/>
    </row>
    <row r="54" spans="2:12" x14ac:dyDescent="0.25">
      <c r="B54" s="246"/>
      <c r="C54" s="902"/>
      <c r="D54" s="160" t="s">
        <v>199</v>
      </c>
      <c r="E54" s="122"/>
      <c r="F54" s="113"/>
      <c r="G54" s="113"/>
      <c r="H54" s="113"/>
      <c r="I54" s="166">
        <f>'6A'!K53</f>
        <v>24752</v>
      </c>
      <c r="J54" s="158"/>
      <c r="K54" s="170">
        <f t="shared" si="0"/>
        <v>24752</v>
      </c>
      <c r="L54" s="1143"/>
    </row>
    <row r="55" spans="2:12" x14ac:dyDescent="0.25">
      <c r="B55" s="246"/>
      <c r="C55" s="902"/>
      <c r="D55" s="160" t="s">
        <v>200</v>
      </c>
      <c r="E55" s="123"/>
      <c r="F55" s="113"/>
      <c r="G55" s="113"/>
      <c r="H55" s="113"/>
      <c r="I55" s="166">
        <f>'6A'!K54</f>
        <v>29703</v>
      </c>
      <c r="J55" s="158"/>
      <c r="K55" s="170">
        <f t="shared" si="0"/>
        <v>29703</v>
      </c>
      <c r="L55" s="1143"/>
    </row>
    <row r="56" spans="2:12" x14ac:dyDescent="0.25">
      <c r="B56" s="246"/>
      <c r="C56" s="902"/>
      <c r="D56" s="160" t="s">
        <v>201</v>
      </c>
      <c r="E56" s="111"/>
      <c r="F56" s="117"/>
      <c r="G56" s="117"/>
      <c r="H56" s="117"/>
      <c r="I56" s="166">
        <f>'6A'!K55</f>
        <v>0</v>
      </c>
      <c r="J56" s="158"/>
      <c r="K56" s="170">
        <f t="shared" si="0"/>
        <v>0</v>
      </c>
      <c r="L56" s="1143"/>
    </row>
    <row r="57" spans="2:12" x14ac:dyDescent="0.25">
      <c r="B57" s="246"/>
      <c r="C57" s="902"/>
      <c r="D57" s="150" t="s">
        <v>202</v>
      </c>
      <c r="E57" s="111"/>
      <c r="F57" s="113"/>
      <c r="G57" s="113"/>
      <c r="H57" s="113"/>
      <c r="I57" s="166">
        <f>'6A'!K56</f>
        <v>2443643</v>
      </c>
      <c r="J57" s="158"/>
      <c r="K57" s="170">
        <f t="shared" si="0"/>
        <v>2443643</v>
      </c>
      <c r="L57" s="1143"/>
    </row>
    <row r="58" spans="2:12" x14ac:dyDescent="0.25">
      <c r="B58" s="246"/>
      <c r="C58" s="902"/>
      <c r="D58" s="150" t="s">
        <v>258</v>
      </c>
      <c r="E58" s="111"/>
      <c r="F58" s="113"/>
      <c r="G58" s="113"/>
      <c r="H58" s="113"/>
      <c r="I58" s="166">
        <f>'6A'!K57</f>
        <v>0</v>
      </c>
      <c r="J58" s="158"/>
      <c r="K58" s="170">
        <f t="shared" si="0"/>
        <v>0</v>
      </c>
      <c r="L58" s="1143"/>
    </row>
    <row r="59" spans="2:12" x14ac:dyDescent="0.25">
      <c r="B59" s="246"/>
      <c r="C59" s="902"/>
      <c r="D59" s="150" t="s">
        <v>204</v>
      </c>
      <c r="E59" s="117"/>
      <c r="F59" s="902"/>
      <c r="G59" s="1146"/>
      <c r="H59" s="1146"/>
      <c r="I59" s="166">
        <f>'6A'!K58</f>
        <v>84158</v>
      </c>
      <c r="J59" s="158"/>
      <c r="K59" s="170">
        <f t="shared" si="0"/>
        <v>84158</v>
      </c>
      <c r="L59" s="1143"/>
    </row>
    <row r="60" spans="2:12" x14ac:dyDescent="0.25">
      <c r="B60" s="246"/>
      <c r="C60" s="902"/>
      <c r="D60" s="150" t="s">
        <v>205</v>
      </c>
      <c r="E60" s="117"/>
      <c r="F60" s="902"/>
      <c r="G60" s="1146"/>
      <c r="H60" s="1146"/>
      <c r="I60" s="166">
        <f>'6A'!K59</f>
        <v>190398</v>
      </c>
      <c r="J60" s="158"/>
      <c r="K60" s="170">
        <f t="shared" si="0"/>
        <v>190398</v>
      </c>
      <c r="L60" s="1143"/>
    </row>
    <row r="61" spans="2:12" x14ac:dyDescent="0.25">
      <c r="B61" s="246"/>
      <c r="C61" s="902"/>
      <c r="D61" s="117" t="s">
        <v>481</v>
      </c>
      <c r="E61" s="2111" t="str">
        <f>(IF(AND(I61&lt;&gt;0,'6A'!E60=""),"Enter Item on Form 6A",'6A'!E60))</f>
        <v>SIT, Envelope review, balancing</v>
      </c>
      <c r="F61" s="2112"/>
      <c r="G61" s="2113"/>
      <c r="H61" s="1145"/>
      <c r="I61" s="189">
        <f>'6A'!K60</f>
        <v>74257</v>
      </c>
      <c r="J61" s="192"/>
      <c r="K61" s="1875">
        <f t="shared" si="0"/>
        <v>74257</v>
      </c>
      <c r="L61" s="1143"/>
    </row>
    <row r="62" spans="2:12" ht="15.75" thickBot="1" x14ac:dyDescent="0.3">
      <c r="B62" s="246"/>
      <c r="C62" s="112"/>
      <c r="D62" s="111"/>
      <c r="E62" s="111"/>
      <c r="F62" s="902"/>
      <c r="G62" s="115" t="s">
        <v>176</v>
      </c>
      <c r="H62" s="159"/>
      <c r="I62" s="188">
        <f>SUM(I49:I61)</f>
        <v>4119434</v>
      </c>
      <c r="J62" s="163">
        <f>SUM(J50:J61)</f>
        <v>0</v>
      </c>
      <c r="K62" s="171">
        <f>SUM(K50:K61)</f>
        <v>4109533</v>
      </c>
      <c r="L62" s="1143"/>
    </row>
    <row r="63" spans="2:12" ht="9" customHeight="1" thickBot="1" x14ac:dyDescent="0.3">
      <c r="B63" s="1147"/>
      <c r="C63" s="202"/>
      <c r="D63" s="202"/>
      <c r="E63" s="202"/>
      <c r="F63" s="203"/>
      <c r="G63" s="203"/>
      <c r="H63" s="203"/>
      <c r="I63" s="204"/>
      <c r="J63" s="205"/>
      <c r="K63" s="205"/>
      <c r="L63" s="1148"/>
    </row>
    <row r="64" spans="2:12" ht="15.75" thickBot="1" x14ac:dyDescent="0.3">
      <c r="B64" s="246"/>
      <c r="C64" s="198" t="s">
        <v>206</v>
      </c>
      <c r="D64" s="199"/>
      <c r="E64" s="199"/>
      <c r="F64" s="200"/>
      <c r="G64" s="200"/>
      <c r="H64" s="200"/>
      <c r="I64" s="201"/>
      <c r="J64" s="140"/>
      <c r="K64" s="140"/>
      <c r="L64" s="1143"/>
    </row>
    <row r="65" spans="2:12" x14ac:dyDescent="0.25">
      <c r="B65" s="246"/>
      <c r="C65" s="902"/>
      <c r="D65" s="154" t="s">
        <v>207</v>
      </c>
      <c r="E65" s="115"/>
      <c r="F65" s="111"/>
      <c r="G65" s="111"/>
      <c r="H65" s="111"/>
      <c r="I65" s="164">
        <f>'6A'!K64</f>
        <v>4000</v>
      </c>
      <c r="J65" s="182"/>
      <c r="K65" s="183"/>
      <c r="L65" s="1143"/>
    </row>
    <row r="66" spans="2:12" x14ac:dyDescent="0.25">
      <c r="B66" s="246"/>
      <c r="C66" s="902"/>
      <c r="D66" s="154" t="s">
        <v>208</v>
      </c>
      <c r="E66" s="115"/>
      <c r="F66" s="111"/>
      <c r="G66" s="111"/>
      <c r="H66" s="111"/>
      <c r="I66" s="189">
        <f>'6A'!K65</f>
        <v>84250</v>
      </c>
      <c r="J66" s="194"/>
      <c r="K66" s="195"/>
      <c r="L66" s="1143"/>
    </row>
    <row r="67" spans="2:12" ht="15.75" thickBot="1" x14ac:dyDescent="0.3">
      <c r="B67" s="246"/>
      <c r="C67" s="902"/>
      <c r="D67" s="115"/>
      <c r="E67" s="902"/>
      <c r="F67" s="111"/>
      <c r="G67" s="115" t="s">
        <v>176</v>
      </c>
      <c r="H67" s="111"/>
      <c r="I67" s="188">
        <f>SUM(I65:I66)</f>
        <v>88250</v>
      </c>
      <c r="J67" s="163">
        <v>0</v>
      </c>
      <c r="K67" s="171">
        <v>0</v>
      </c>
      <c r="L67" s="1143"/>
    </row>
    <row r="68" spans="2:12" ht="3.75" customHeight="1" x14ac:dyDescent="0.25">
      <c r="B68" s="246"/>
      <c r="C68" s="902"/>
      <c r="D68" s="115"/>
      <c r="E68" s="902"/>
      <c r="F68" s="111"/>
      <c r="G68" s="111"/>
      <c r="H68" s="111"/>
      <c r="I68" s="140"/>
      <c r="J68" s="140"/>
      <c r="K68" s="140"/>
      <c r="L68" s="1143"/>
    </row>
    <row r="69" spans="2:12" ht="15.75" thickBot="1" x14ac:dyDescent="0.3">
      <c r="B69" s="246"/>
      <c r="C69" s="145" t="s">
        <v>209</v>
      </c>
      <c r="D69" s="146"/>
      <c r="E69" s="146"/>
      <c r="F69" s="147"/>
      <c r="G69" s="147"/>
      <c r="H69" s="147"/>
      <c r="I69" s="140"/>
      <c r="J69" s="140"/>
      <c r="K69" s="140"/>
      <c r="L69" s="1143"/>
    </row>
    <row r="70" spans="2:12" x14ac:dyDescent="0.25">
      <c r="B70" s="246"/>
      <c r="C70" s="902"/>
      <c r="D70" s="160" t="s">
        <v>210</v>
      </c>
      <c r="E70" s="115"/>
      <c r="F70" s="111"/>
      <c r="G70" s="111"/>
      <c r="H70" s="111"/>
      <c r="I70" s="164">
        <f>'6A'!K69</f>
        <v>153500</v>
      </c>
      <c r="J70" s="165"/>
      <c r="K70" s="172">
        <v>11920</v>
      </c>
      <c r="L70" s="1143"/>
    </row>
    <row r="71" spans="2:12" x14ac:dyDescent="0.25">
      <c r="B71" s="246"/>
      <c r="C71" s="902"/>
      <c r="D71" s="160" t="s">
        <v>211</v>
      </c>
      <c r="E71" s="115"/>
      <c r="F71" s="111"/>
      <c r="G71" s="111"/>
      <c r="H71" s="111"/>
      <c r="I71" s="166">
        <f>'6A'!K70</f>
        <v>12000</v>
      </c>
      <c r="J71" s="158"/>
      <c r="K71" s="170">
        <f>I71</f>
        <v>12000</v>
      </c>
      <c r="L71" s="1143"/>
    </row>
    <row r="72" spans="2:12" x14ac:dyDescent="0.25">
      <c r="B72" s="246"/>
      <c r="C72" s="902"/>
      <c r="D72" s="160" t="s">
        <v>212</v>
      </c>
      <c r="E72" s="115"/>
      <c r="F72" s="111"/>
      <c r="G72" s="111"/>
      <c r="H72" s="111"/>
      <c r="I72" s="166">
        <f>'6A'!K71</f>
        <v>75000</v>
      </c>
      <c r="J72" s="158"/>
      <c r="K72" s="170">
        <f t="shared" ref="K72" si="1">I72</f>
        <v>75000</v>
      </c>
      <c r="L72" s="1143"/>
    </row>
    <row r="73" spans="2:12" x14ac:dyDescent="0.25">
      <c r="B73" s="246"/>
      <c r="C73" s="902"/>
      <c r="D73" s="160" t="s">
        <v>213</v>
      </c>
      <c r="E73" s="115"/>
      <c r="F73" s="111"/>
      <c r="G73" s="111"/>
      <c r="H73" s="111"/>
      <c r="I73" s="166">
        <f>'6A'!K72</f>
        <v>360213</v>
      </c>
      <c r="J73" s="158"/>
      <c r="K73" s="170">
        <v>340031</v>
      </c>
      <c r="L73" s="1143"/>
    </row>
    <row r="74" spans="2:12" x14ac:dyDescent="0.25">
      <c r="B74" s="246"/>
      <c r="C74" s="902"/>
      <c r="D74" s="160" t="s">
        <v>214</v>
      </c>
      <c r="E74" s="115"/>
      <c r="F74" s="111"/>
      <c r="G74" s="111"/>
      <c r="H74" s="111"/>
      <c r="I74" s="189">
        <f>'6A'!K73</f>
        <v>327467</v>
      </c>
      <c r="J74" s="196"/>
      <c r="K74" s="197"/>
      <c r="L74" s="1143"/>
    </row>
    <row r="75" spans="2:12" ht="15.75" thickBot="1" x14ac:dyDescent="0.3">
      <c r="B75" s="246"/>
      <c r="C75" s="112"/>
      <c r="D75" s="111"/>
      <c r="E75" s="111"/>
      <c r="F75" s="902"/>
      <c r="G75" s="115" t="s">
        <v>176</v>
      </c>
      <c r="H75" s="159"/>
      <c r="I75" s="188">
        <f>SUM(I70:I74)</f>
        <v>928180</v>
      </c>
      <c r="J75" s="163">
        <f>SUM(J70:J73)</f>
        <v>0</v>
      </c>
      <c r="K75" s="171">
        <f>SUM(K70:K73)</f>
        <v>438951</v>
      </c>
      <c r="L75" s="1143"/>
    </row>
    <row r="76" spans="2:12" ht="3.75" customHeight="1" x14ac:dyDescent="0.25">
      <c r="B76" s="246"/>
      <c r="C76" s="114"/>
      <c r="D76" s="115"/>
      <c r="E76" s="115"/>
      <c r="F76" s="111"/>
      <c r="G76" s="111"/>
      <c r="H76" s="111"/>
      <c r="I76" s="140"/>
      <c r="J76" s="140"/>
      <c r="K76" s="140"/>
      <c r="L76" s="1143"/>
    </row>
    <row r="77" spans="2:12" ht="15.75" thickBot="1" x14ac:dyDescent="0.3">
      <c r="B77" s="246"/>
      <c r="C77" s="145" t="s">
        <v>215</v>
      </c>
      <c r="D77" s="146"/>
      <c r="E77" s="146"/>
      <c r="F77" s="147"/>
      <c r="G77" s="147"/>
      <c r="H77" s="147"/>
      <c r="I77" s="140"/>
      <c r="J77" s="140"/>
      <c r="K77" s="140"/>
      <c r="L77" s="1143"/>
    </row>
    <row r="78" spans="2:12" x14ac:dyDescent="0.25">
      <c r="B78" s="246"/>
      <c r="C78" s="902"/>
      <c r="D78" s="160" t="s">
        <v>216</v>
      </c>
      <c r="E78" s="115"/>
      <c r="F78" s="111"/>
      <c r="G78" s="111"/>
      <c r="H78" s="111"/>
      <c r="I78" s="164">
        <f>'6A'!K77</f>
        <v>0</v>
      </c>
      <c r="J78" s="182"/>
      <c r="K78" s="183"/>
      <c r="L78" s="1143"/>
    </row>
    <row r="79" spans="2:12" x14ac:dyDescent="0.25">
      <c r="B79" s="246"/>
      <c r="C79" s="902"/>
      <c r="D79" s="160" t="s">
        <v>217</v>
      </c>
      <c r="E79" s="115"/>
      <c r="F79" s="111"/>
      <c r="G79" s="111"/>
      <c r="H79" s="111"/>
      <c r="I79" s="166">
        <f>'6A'!K78</f>
        <v>0</v>
      </c>
      <c r="J79" s="184"/>
      <c r="K79" s="185"/>
      <c r="L79" s="1143"/>
    </row>
    <row r="80" spans="2:12" x14ac:dyDescent="0.25">
      <c r="B80" s="246"/>
      <c r="C80" s="902"/>
      <c r="D80" s="160" t="s">
        <v>218</v>
      </c>
      <c r="E80" s="115"/>
      <c r="F80" s="111"/>
      <c r="G80" s="111"/>
      <c r="H80" s="111"/>
      <c r="I80" s="166">
        <f>'6A'!K79</f>
        <v>0</v>
      </c>
      <c r="J80" s="184"/>
      <c r="K80" s="185"/>
      <c r="L80" s="1143"/>
    </row>
    <row r="81" spans="2:12" x14ac:dyDescent="0.25">
      <c r="B81" s="246"/>
      <c r="C81" s="902"/>
      <c r="D81" s="149" t="s">
        <v>219</v>
      </c>
      <c r="E81" s="111"/>
      <c r="F81" s="111"/>
      <c r="G81" s="111"/>
      <c r="H81" s="111"/>
      <c r="I81" s="166">
        <f>'6A'!K80</f>
        <v>112063</v>
      </c>
      <c r="J81" s="184"/>
      <c r="K81" s="185"/>
      <c r="L81" s="1143"/>
    </row>
    <row r="82" spans="2:12" x14ac:dyDescent="0.25">
      <c r="B82" s="246"/>
      <c r="C82" s="902"/>
      <c r="D82" s="155" t="s">
        <v>220</v>
      </c>
      <c r="E82" s="111"/>
      <c r="F82" s="111"/>
      <c r="G82" s="111"/>
      <c r="H82" s="111"/>
      <c r="I82" s="166">
        <f>'6A'!K81</f>
        <v>40000</v>
      </c>
      <c r="J82" s="184"/>
      <c r="K82" s="185"/>
      <c r="L82" s="1143"/>
    </row>
    <row r="83" spans="2:12" x14ac:dyDescent="0.25">
      <c r="B83" s="246"/>
      <c r="C83" s="902"/>
      <c r="D83" s="155" t="s">
        <v>221</v>
      </c>
      <c r="E83" s="111"/>
      <c r="F83" s="111"/>
      <c r="G83" s="111"/>
      <c r="H83" s="111"/>
      <c r="I83" s="166">
        <f>'6A'!K82</f>
        <v>0</v>
      </c>
      <c r="J83" s="184"/>
      <c r="K83" s="185"/>
      <c r="L83" s="1143"/>
    </row>
    <row r="84" spans="2:12" x14ac:dyDescent="0.25">
      <c r="B84" s="246"/>
      <c r="C84" s="902"/>
      <c r="D84" s="150" t="s">
        <v>222</v>
      </c>
      <c r="E84" s="115"/>
      <c r="F84" s="111"/>
      <c r="G84" s="111"/>
      <c r="H84" s="111"/>
      <c r="I84" s="166">
        <f>'6A'!K83</f>
        <v>20000</v>
      </c>
      <c r="J84" s="184"/>
      <c r="K84" s="185"/>
      <c r="L84" s="1143"/>
    </row>
    <row r="85" spans="2:12" x14ac:dyDescent="0.25">
      <c r="B85" s="246"/>
      <c r="C85" s="902"/>
      <c r="D85" s="117" t="s">
        <v>481</v>
      </c>
      <c r="E85" s="2111" t="str">
        <f>(IF(AND(I85&lt;&gt;0,'6A'!E84=""),"Enter Item on Form 6A",'6A'!E84))</f>
        <v>Title &amp; Escrow</v>
      </c>
      <c r="F85" s="2112"/>
      <c r="G85" s="2113"/>
      <c r="H85" s="1145"/>
      <c r="I85" s="189">
        <f>'6A'!K84</f>
        <v>30000</v>
      </c>
      <c r="J85" s="194"/>
      <c r="K85" s="195"/>
      <c r="L85" s="1143"/>
    </row>
    <row r="86" spans="2:12" ht="15.75" thickBot="1" x14ac:dyDescent="0.3">
      <c r="B86" s="246"/>
      <c r="C86" s="112"/>
      <c r="D86" s="111"/>
      <c r="E86" s="111"/>
      <c r="F86" s="902"/>
      <c r="G86" s="115" t="s">
        <v>176</v>
      </c>
      <c r="H86" s="159"/>
      <c r="I86" s="188">
        <f>SUM(I78:I85)</f>
        <v>202063</v>
      </c>
      <c r="J86" s="163">
        <v>0</v>
      </c>
      <c r="K86" s="171">
        <v>0</v>
      </c>
      <c r="L86" s="1143"/>
    </row>
    <row r="87" spans="2:12" ht="3.75" customHeight="1" x14ac:dyDescent="0.25">
      <c r="B87" s="246"/>
      <c r="C87" s="114"/>
      <c r="D87" s="115"/>
      <c r="E87" s="115"/>
      <c r="F87" s="111"/>
      <c r="G87" s="111"/>
      <c r="H87" s="111"/>
      <c r="I87" s="140"/>
      <c r="J87" s="140"/>
      <c r="K87" s="140"/>
      <c r="L87" s="1143"/>
    </row>
    <row r="88" spans="2:12" ht="15.75" thickBot="1" x14ac:dyDescent="0.3">
      <c r="B88" s="246"/>
      <c r="C88" s="145" t="s">
        <v>223</v>
      </c>
      <c r="D88" s="146"/>
      <c r="E88" s="146"/>
      <c r="F88" s="147"/>
      <c r="G88" s="147"/>
      <c r="H88" s="147"/>
      <c r="I88" s="143"/>
      <c r="J88" s="143"/>
      <c r="K88" s="152"/>
      <c r="L88" s="1143"/>
    </row>
    <row r="89" spans="2:12" x14ac:dyDescent="0.25">
      <c r="B89" s="246"/>
      <c r="C89" s="902"/>
      <c r="D89" s="156" t="s">
        <v>224</v>
      </c>
      <c r="E89" s="111"/>
      <c r="F89" s="118"/>
      <c r="G89" s="118"/>
      <c r="H89" s="118"/>
      <c r="I89" s="164">
        <f>'6A'!K88</f>
        <v>591423</v>
      </c>
      <c r="J89" s="182"/>
      <c r="K89" s="183"/>
      <c r="L89" s="1143"/>
    </row>
    <row r="90" spans="2:12" x14ac:dyDescent="0.25">
      <c r="B90" s="246"/>
      <c r="C90" s="902"/>
      <c r="D90" s="156" t="s">
        <v>225</v>
      </c>
      <c r="E90" s="111"/>
      <c r="F90" s="119"/>
      <c r="G90" s="119"/>
      <c r="H90" s="119"/>
      <c r="I90" s="166">
        <f>'6A'!K89</f>
        <v>115000</v>
      </c>
      <c r="J90" s="184"/>
      <c r="K90" s="185"/>
      <c r="L90" s="1143"/>
    </row>
    <row r="91" spans="2:12" x14ac:dyDescent="0.25">
      <c r="B91" s="246"/>
      <c r="C91" s="902"/>
      <c r="D91" s="117" t="s">
        <v>481</v>
      </c>
      <c r="E91" s="2111">
        <f>(IF(AND(I91&lt;&gt;0,'6A'!E90=""),"Enter Item on Form 6A",'6A'!E90))</f>
        <v>0</v>
      </c>
      <c r="F91" s="2112"/>
      <c r="G91" s="2113"/>
      <c r="H91" s="1145"/>
      <c r="I91" s="189">
        <f>'6A'!K90</f>
        <v>0</v>
      </c>
      <c r="J91" s="194"/>
      <c r="K91" s="195"/>
      <c r="L91" s="1143"/>
    </row>
    <row r="92" spans="2:12" ht="15.75" thickBot="1" x14ac:dyDescent="0.3">
      <c r="B92" s="246"/>
      <c r="C92" s="112"/>
      <c r="D92" s="111"/>
      <c r="E92" s="111"/>
      <c r="F92" s="902"/>
      <c r="G92" s="115" t="s">
        <v>176</v>
      </c>
      <c r="H92" s="159"/>
      <c r="I92" s="188">
        <f>SUM(I89:I91)</f>
        <v>706423</v>
      </c>
      <c r="J92" s="163">
        <v>0</v>
      </c>
      <c r="K92" s="171">
        <v>0</v>
      </c>
      <c r="L92" s="1143"/>
    </row>
    <row r="93" spans="2:12" ht="3.75" customHeight="1" x14ac:dyDescent="0.25">
      <c r="B93" s="246"/>
      <c r="C93" s="114"/>
      <c r="D93" s="115"/>
      <c r="E93" s="115"/>
      <c r="F93" s="111"/>
      <c r="G93" s="111"/>
      <c r="H93" s="111"/>
      <c r="I93" s="140"/>
      <c r="J93" s="140"/>
      <c r="K93" s="140"/>
      <c r="L93" s="1143"/>
    </row>
    <row r="94" spans="2:12" ht="15.75" thickBot="1" x14ac:dyDescent="0.3">
      <c r="B94" s="246"/>
      <c r="C94" s="145" t="s">
        <v>226</v>
      </c>
      <c r="D94" s="146"/>
      <c r="E94" s="146"/>
      <c r="F94" s="147"/>
      <c r="G94" s="147"/>
      <c r="H94" s="147"/>
      <c r="I94" s="153"/>
      <c r="J94" s="143"/>
      <c r="K94" s="152"/>
      <c r="L94" s="1143"/>
    </row>
    <row r="95" spans="2:12" x14ac:dyDescent="0.25">
      <c r="B95" s="246"/>
      <c r="C95" s="902"/>
      <c r="D95" s="150" t="s">
        <v>227</v>
      </c>
      <c r="E95" s="111"/>
      <c r="F95" s="118"/>
      <c r="G95" s="118"/>
      <c r="H95" s="118"/>
      <c r="I95" s="164">
        <f>'6A'!K94</f>
        <v>100000</v>
      </c>
      <c r="J95" s="165"/>
      <c r="K95" s="172">
        <f>I95*(1.5/4)</f>
        <v>37500</v>
      </c>
      <c r="L95" s="1143"/>
    </row>
    <row r="96" spans="2:12" x14ac:dyDescent="0.25">
      <c r="B96" s="246"/>
      <c r="C96" s="902"/>
      <c r="D96" s="150" t="s">
        <v>228</v>
      </c>
      <c r="E96" s="111"/>
      <c r="F96" s="119"/>
      <c r="G96" s="119"/>
      <c r="H96" s="119"/>
      <c r="I96" s="166">
        <f>'6A'!K95</f>
        <v>128054</v>
      </c>
      <c r="J96" s="158"/>
      <c r="K96" s="170">
        <f>I96</f>
        <v>128054</v>
      </c>
      <c r="L96" s="1143"/>
    </row>
    <row r="97" spans="2:12" x14ac:dyDescent="0.25">
      <c r="B97" s="246"/>
      <c r="C97" s="902"/>
      <c r="D97" s="150" t="s">
        <v>123</v>
      </c>
      <c r="E97" s="111"/>
      <c r="F97" s="111"/>
      <c r="G97" s="111"/>
      <c r="H97" s="111"/>
      <c r="I97" s="166">
        <f>'6A'!K96</f>
        <v>0</v>
      </c>
      <c r="J97" s="158"/>
      <c r="K97" s="170"/>
      <c r="L97" s="1143"/>
    </row>
    <row r="98" spans="2:12" x14ac:dyDescent="0.25">
      <c r="B98" s="246"/>
      <c r="C98" s="902"/>
      <c r="D98" s="150" t="s">
        <v>229</v>
      </c>
      <c r="E98" s="111"/>
      <c r="F98" s="111"/>
      <c r="G98" s="111"/>
      <c r="H98" s="111"/>
      <c r="I98" s="166">
        <f>'6A'!K97</f>
        <v>4950</v>
      </c>
      <c r="J98" s="158"/>
      <c r="K98" s="170">
        <f>I98</f>
        <v>4950</v>
      </c>
      <c r="L98" s="1143"/>
    </row>
    <row r="99" spans="2:12" x14ac:dyDescent="0.25">
      <c r="B99" s="246"/>
      <c r="C99" s="902"/>
      <c r="D99" s="150" t="s">
        <v>230</v>
      </c>
      <c r="E99" s="111"/>
      <c r="F99" s="111"/>
      <c r="G99" s="111"/>
      <c r="H99" s="111"/>
      <c r="I99" s="166">
        <f>'6A'!K98</f>
        <v>874537</v>
      </c>
      <c r="J99" s="158"/>
      <c r="K99" s="170">
        <v>416023</v>
      </c>
      <c r="L99" s="1143"/>
    </row>
    <row r="100" spans="2:12" x14ac:dyDescent="0.25">
      <c r="B100" s="246"/>
      <c r="C100" s="902"/>
      <c r="D100" s="149" t="s">
        <v>231</v>
      </c>
      <c r="E100" s="111"/>
      <c r="F100" s="111"/>
      <c r="G100" s="111"/>
      <c r="H100" s="111"/>
      <c r="I100" s="166">
        <f>'6A'!K99</f>
        <v>0</v>
      </c>
      <c r="J100" s="158"/>
      <c r="K100" s="170"/>
      <c r="L100" s="1143"/>
    </row>
    <row r="101" spans="2:12" x14ac:dyDescent="0.25">
      <c r="B101" s="246"/>
      <c r="C101" s="902"/>
      <c r="D101" s="149" t="s">
        <v>232</v>
      </c>
      <c r="E101" s="111"/>
      <c r="F101" s="111"/>
      <c r="G101" s="111"/>
      <c r="H101" s="111"/>
      <c r="I101" s="166">
        <f>'6A'!K100</f>
        <v>0</v>
      </c>
      <c r="J101" s="158"/>
      <c r="K101" s="170"/>
      <c r="L101" s="1143"/>
    </row>
    <row r="102" spans="2:12" x14ac:dyDescent="0.25">
      <c r="B102" s="246"/>
      <c r="C102" s="902"/>
      <c r="D102" s="155" t="s">
        <v>233</v>
      </c>
      <c r="E102" s="111"/>
      <c r="F102" s="111"/>
      <c r="G102" s="111"/>
      <c r="H102" s="111"/>
      <c r="I102" s="166">
        <f>'6A'!K101</f>
        <v>0</v>
      </c>
      <c r="J102" s="207"/>
      <c r="K102" s="179"/>
      <c r="L102" s="1143"/>
    </row>
    <row r="103" spans="2:12" x14ac:dyDescent="0.25">
      <c r="B103" s="246"/>
      <c r="C103" s="902"/>
      <c r="D103" s="150" t="s">
        <v>234</v>
      </c>
      <c r="E103" s="111"/>
      <c r="F103" s="111"/>
      <c r="G103" s="111"/>
      <c r="H103" s="111"/>
      <c r="I103" s="166">
        <f>'6A'!K102</f>
        <v>15000</v>
      </c>
      <c r="J103" s="158"/>
      <c r="K103" s="170">
        <f>I103</f>
        <v>15000</v>
      </c>
      <c r="L103" s="1143"/>
    </row>
    <row r="104" spans="2:12" x14ac:dyDescent="0.25">
      <c r="B104" s="246"/>
      <c r="C104" s="902"/>
      <c r="D104" s="149" t="s">
        <v>235</v>
      </c>
      <c r="E104" s="111"/>
      <c r="F104" s="111"/>
      <c r="G104" s="111"/>
      <c r="H104" s="111"/>
      <c r="I104" s="166">
        <f>'6A'!K103</f>
        <v>35000</v>
      </c>
      <c r="J104" s="186"/>
      <c r="K104" s="187"/>
      <c r="L104" s="1143"/>
    </row>
    <row r="105" spans="2:12" x14ac:dyDescent="0.25">
      <c r="B105" s="246"/>
      <c r="C105" s="902"/>
      <c r="D105" s="156" t="s">
        <v>236</v>
      </c>
      <c r="E105" s="126"/>
      <c r="F105" s="119"/>
      <c r="G105" s="119"/>
      <c r="H105" s="119"/>
      <c r="I105" s="189">
        <f>'6A'!K104</f>
        <v>0</v>
      </c>
      <c r="J105" s="194"/>
      <c r="K105" s="195"/>
      <c r="L105" s="1143"/>
    </row>
    <row r="106" spans="2:12" ht="15.75" thickBot="1" x14ac:dyDescent="0.3">
      <c r="B106" s="246"/>
      <c r="C106" s="112"/>
      <c r="D106" s="111"/>
      <c r="E106" s="111"/>
      <c r="F106" s="902"/>
      <c r="G106" s="115" t="s">
        <v>176</v>
      </c>
      <c r="H106" s="159"/>
      <c r="I106" s="188">
        <f>SUM(I95:I105)</f>
        <v>1157541</v>
      </c>
      <c r="J106" s="163">
        <f>SUM(J95:J101)+J103</f>
        <v>0</v>
      </c>
      <c r="K106" s="171">
        <f>SUM(K95:K101)+K103</f>
        <v>601527</v>
      </c>
      <c r="L106" s="1143"/>
    </row>
    <row r="107" spans="2:12" ht="9" customHeight="1" thickBot="1" x14ac:dyDescent="0.3">
      <c r="B107" s="1147"/>
      <c r="C107" s="206"/>
      <c r="D107" s="125"/>
      <c r="E107" s="125"/>
      <c r="F107" s="124"/>
      <c r="G107" s="124"/>
      <c r="H107" s="124"/>
      <c r="I107" s="157"/>
      <c r="J107" s="157"/>
      <c r="K107" s="157"/>
      <c r="L107" s="1148"/>
    </row>
    <row r="108" spans="2:12" ht="15.75" thickBot="1" x14ac:dyDescent="0.3">
      <c r="B108" s="246"/>
      <c r="C108" s="145" t="s">
        <v>237</v>
      </c>
      <c r="D108" s="146"/>
      <c r="E108" s="146"/>
      <c r="F108" s="147"/>
      <c r="G108" s="147"/>
      <c r="H108" s="147"/>
      <c r="I108" s="140"/>
      <c r="J108" s="140"/>
      <c r="K108" s="140"/>
      <c r="L108" s="248"/>
    </row>
    <row r="109" spans="2:12" x14ac:dyDescent="0.25">
      <c r="B109" s="246"/>
      <c r="C109" s="247"/>
      <c r="D109" s="160" t="s">
        <v>238</v>
      </c>
      <c r="E109" s="115"/>
      <c r="F109" s="111"/>
      <c r="G109" s="111"/>
      <c r="H109" s="111"/>
      <c r="I109" s="164">
        <f>'6A'!K109</f>
        <v>76354</v>
      </c>
      <c r="J109" s="182"/>
      <c r="K109" s="183"/>
      <c r="L109" s="248"/>
    </row>
    <row r="110" spans="2:12" x14ac:dyDescent="0.25">
      <c r="B110" s="246"/>
      <c r="C110" s="247"/>
      <c r="D110" s="160" t="s">
        <v>239</v>
      </c>
      <c r="E110" s="115"/>
      <c r="F110" s="111"/>
      <c r="G110" s="111"/>
      <c r="H110" s="111"/>
      <c r="I110" s="166">
        <f>'6A'!K110</f>
        <v>39240</v>
      </c>
      <c r="J110" s="184"/>
      <c r="K110" s="185"/>
      <c r="L110" s="248"/>
    </row>
    <row r="111" spans="2:12" x14ac:dyDescent="0.25">
      <c r="B111" s="246"/>
      <c r="C111" s="902"/>
      <c r="D111" s="160" t="s">
        <v>240</v>
      </c>
      <c r="E111" s="115"/>
      <c r="F111" s="111"/>
      <c r="G111" s="111"/>
      <c r="H111" s="111"/>
      <c r="I111" s="166">
        <f>'6A'!K111</f>
        <v>0</v>
      </c>
      <c r="J111" s="184"/>
      <c r="K111" s="185"/>
      <c r="L111" s="1143"/>
    </row>
    <row r="112" spans="2:12" x14ac:dyDescent="0.25">
      <c r="B112" s="246"/>
      <c r="C112" s="902"/>
      <c r="D112" s="160" t="s">
        <v>241</v>
      </c>
      <c r="E112" s="115"/>
      <c r="F112" s="111"/>
      <c r="G112" s="111"/>
      <c r="H112" s="111"/>
      <c r="I112" s="166">
        <f>'6A'!K112</f>
        <v>0</v>
      </c>
      <c r="J112" s="184"/>
      <c r="K112" s="185"/>
      <c r="L112" s="1143"/>
    </row>
    <row r="113" spans="2:15" x14ac:dyDescent="0.25">
      <c r="B113" s="246"/>
      <c r="C113" s="902"/>
      <c r="D113" s="160" t="s">
        <v>242</v>
      </c>
      <c r="E113" s="115"/>
      <c r="F113" s="111"/>
      <c r="G113" s="111"/>
      <c r="H113" s="111"/>
      <c r="I113" s="166">
        <f>'6A'!K113</f>
        <v>0</v>
      </c>
      <c r="J113" s="184"/>
      <c r="K113" s="185"/>
      <c r="L113" s="1143"/>
    </row>
    <row r="114" spans="2:15" x14ac:dyDescent="0.25">
      <c r="B114" s="246"/>
      <c r="C114" s="902"/>
      <c r="D114" s="160" t="s">
        <v>243</v>
      </c>
      <c r="E114" s="115"/>
      <c r="F114" s="111"/>
      <c r="G114" s="111"/>
      <c r="H114" s="111"/>
      <c r="I114" s="166">
        <f>'6A'!K114</f>
        <v>0</v>
      </c>
      <c r="J114" s="184"/>
      <c r="K114" s="185"/>
      <c r="L114" s="1143"/>
    </row>
    <row r="115" spans="2:15" x14ac:dyDescent="0.25">
      <c r="B115" s="246"/>
      <c r="C115" s="902"/>
      <c r="D115" s="160" t="s">
        <v>244</v>
      </c>
      <c r="E115" s="115"/>
      <c r="F115" s="111"/>
      <c r="G115" s="111"/>
      <c r="H115" s="111"/>
      <c r="I115" s="189">
        <f>'6A'!K115</f>
        <v>0</v>
      </c>
      <c r="J115" s="194"/>
      <c r="K115" s="195"/>
      <c r="L115" s="1143"/>
    </row>
    <row r="116" spans="2:15" ht="15.75" thickBot="1" x14ac:dyDescent="0.3">
      <c r="B116" s="246"/>
      <c r="C116" s="112"/>
      <c r="D116" s="902"/>
      <c r="E116" s="111"/>
      <c r="F116" s="902"/>
      <c r="G116" s="115" t="s">
        <v>176</v>
      </c>
      <c r="H116" s="159"/>
      <c r="I116" s="188">
        <f>SUM(I109:I115)</f>
        <v>115594</v>
      </c>
      <c r="J116" s="163">
        <v>0</v>
      </c>
      <c r="K116" s="171">
        <v>0</v>
      </c>
      <c r="L116" s="1143"/>
    </row>
    <row r="117" spans="2:15" ht="7.5" customHeight="1" thickBot="1" x14ac:dyDescent="0.3">
      <c r="B117" s="246"/>
      <c r="C117" s="133"/>
      <c r="D117" s="132"/>
      <c r="E117" s="132"/>
      <c r="F117" s="134"/>
      <c r="G117" s="134"/>
      <c r="H117" s="134"/>
      <c r="I117" s="144"/>
      <c r="J117" s="144"/>
      <c r="K117" s="144"/>
      <c r="L117" s="1143"/>
    </row>
    <row r="118" spans="2:15" ht="15.75" thickBot="1" x14ac:dyDescent="0.3">
      <c r="B118" s="246"/>
      <c r="C118" s="174" t="s">
        <v>259</v>
      </c>
      <c r="D118" s="175"/>
      <c r="E118" s="175"/>
      <c r="F118" s="175"/>
      <c r="G118" s="175"/>
      <c r="H118" s="175"/>
      <c r="I118" s="167">
        <f>I27+I46+I62+I67+I75+I86+I92+I106+I116</f>
        <v>30049851.607999999</v>
      </c>
      <c r="J118" s="162">
        <f>J27+J46+J62+J67+J75+J86+J92+J106+J116</f>
        <v>0</v>
      </c>
      <c r="K118" s="173">
        <f>K27+K46+K62+K67+K75+K86+K92+K106+K116</f>
        <v>26867327.607999999</v>
      </c>
      <c r="L118" s="1143"/>
      <c r="O118" s="1864"/>
    </row>
    <row r="119" spans="2:15" ht="7.5" customHeight="1" x14ac:dyDescent="0.25">
      <c r="B119" s="246"/>
      <c r="C119" s="247"/>
      <c r="D119" s="247"/>
      <c r="E119" s="247"/>
      <c r="F119" s="247"/>
      <c r="G119" s="247"/>
      <c r="H119" s="247"/>
      <c r="I119" s="902"/>
      <c r="J119" s="902"/>
      <c r="K119" s="902"/>
      <c r="L119" s="1143"/>
    </row>
    <row r="120" spans="2:15" x14ac:dyDescent="0.25">
      <c r="B120" s="246"/>
      <c r="C120" s="2092" t="s">
        <v>260</v>
      </c>
      <c r="D120" s="2093"/>
      <c r="E120" s="2093"/>
      <c r="F120" s="2093"/>
      <c r="G120" s="2093"/>
      <c r="H120" s="2093"/>
      <c r="I120" s="2093"/>
      <c r="J120" s="2093"/>
      <c r="K120" s="2094"/>
      <c r="L120" s="1143"/>
    </row>
    <row r="121" spans="2:15" x14ac:dyDescent="0.25">
      <c r="B121" s="246"/>
      <c r="C121" s="2095"/>
      <c r="D121" s="2096"/>
      <c r="E121" s="2096"/>
      <c r="F121" s="2096"/>
      <c r="G121" s="2096"/>
      <c r="H121" s="2096"/>
      <c r="I121" s="2096"/>
      <c r="J121" s="2096"/>
      <c r="K121" s="2097"/>
      <c r="L121" s="1143"/>
    </row>
    <row r="122" spans="2:15" x14ac:dyDescent="0.25">
      <c r="B122" s="246"/>
      <c r="C122" s="2098"/>
      <c r="D122" s="2099"/>
      <c r="E122" s="2099"/>
      <c r="F122" s="2099"/>
      <c r="G122" s="2099"/>
      <c r="H122" s="2099"/>
      <c r="I122" s="2099"/>
      <c r="J122" s="2099"/>
      <c r="K122" s="2100"/>
      <c r="L122" s="1143"/>
    </row>
    <row r="123" spans="2:15" ht="9" customHeight="1" thickBot="1" x14ac:dyDescent="0.3">
      <c r="B123" s="1149"/>
      <c r="C123" s="1150"/>
      <c r="D123" s="1150"/>
      <c r="E123" s="1150"/>
      <c r="F123" s="1150"/>
      <c r="G123" s="1150"/>
      <c r="H123" s="1150"/>
      <c r="I123" s="1150"/>
      <c r="J123" s="1150"/>
      <c r="K123" s="1150"/>
      <c r="L123" s="1148"/>
    </row>
  </sheetData>
  <sheetProtection password="9F6B" sheet="1" objects="1" scenarios="1" formatCells="0" formatColumns="0" formatRows="0"/>
  <mergeCells count="13">
    <mergeCell ref="C11:K11"/>
    <mergeCell ref="F13:K13"/>
    <mergeCell ref="I15:K15"/>
    <mergeCell ref="C120:K122"/>
    <mergeCell ref="J16:K16"/>
    <mergeCell ref="J17:J19"/>
    <mergeCell ref="I16:I19"/>
    <mergeCell ref="K17:K19"/>
    <mergeCell ref="E85:G85"/>
    <mergeCell ref="E26:G26"/>
    <mergeCell ref="E45:G45"/>
    <mergeCell ref="E61:G61"/>
    <mergeCell ref="E91:G91"/>
  </mergeCells>
  <pageMargins left="0.7" right="0.7" top="0.75" bottom="0.75" header="0.3" footer="0.3"/>
  <pageSetup scale="84" fitToHeight="2" orientation="portrait" r:id="rId1"/>
  <headerFooter>
    <oddFooter>&amp;LForm 6C
LIHTC Budget (Basis Calculation)&amp;CCFA Forms&amp;REdition: 2015
Version: 1.1</oddFooter>
  </headerFooter>
  <rowBreaks count="2" manualBreakCount="2">
    <brk id="63" min="1" max="11" man="1"/>
    <brk id="107" min="1"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5:H53"/>
  <sheetViews>
    <sheetView showGridLines="0" topLeftCell="A25" zoomScaleNormal="100" workbookViewId="0">
      <selection activeCell="G39" sqref="G39"/>
    </sheetView>
  </sheetViews>
  <sheetFormatPr defaultRowHeight="15" x14ac:dyDescent="0.25"/>
  <cols>
    <col min="1" max="2" width="1.7109375" style="849" customWidth="1"/>
    <col min="3" max="3" width="2.85546875" style="849" customWidth="1"/>
    <col min="4" max="4" width="14.28515625" style="849" customWidth="1"/>
    <col min="5" max="5" width="48.42578125" style="849" customWidth="1"/>
    <col min="6" max="7" width="11.42578125" style="849" customWidth="1"/>
    <col min="8" max="8" width="1.7109375" style="849" customWidth="1"/>
    <col min="9" max="16384" width="9.140625" style="849"/>
  </cols>
  <sheetData>
    <row r="5" spans="2:8" ht="9" customHeight="1" thickBot="1" x14ac:dyDescent="0.3"/>
    <row r="6" spans="2:8" ht="9" customHeight="1" x14ac:dyDescent="0.25">
      <c r="B6" s="1151"/>
      <c r="C6" s="1152"/>
      <c r="D6" s="1152"/>
      <c r="E6" s="1153"/>
      <c r="F6" s="1153"/>
      <c r="G6" s="1153"/>
      <c r="H6" s="1154"/>
    </row>
    <row r="7" spans="2:8" ht="18.75" x14ac:dyDescent="0.3">
      <c r="B7" s="1155"/>
      <c r="C7" s="2114" t="s">
        <v>261</v>
      </c>
      <c r="D7" s="2114"/>
      <c r="E7" s="2114"/>
      <c r="F7" s="2114"/>
      <c r="G7" s="2114"/>
      <c r="H7" s="1156"/>
    </row>
    <row r="8" spans="2:8" x14ac:dyDescent="0.25">
      <c r="B8" s="1155"/>
      <c r="C8" s="1157"/>
      <c r="D8" s="1157"/>
      <c r="E8" s="1158"/>
      <c r="F8" s="1158"/>
      <c r="G8" s="1158"/>
      <c r="H8" s="1156"/>
    </row>
    <row r="9" spans="2:8" x14ac:dyDescent="0.25">
      <c r="B9" s="1155"/>
      <c r="C9" s="1157"/>
      <c r="D9" s="1159" t="s">
        <v>1</v>
      </c>
      <c r="E9" s="1127" t="str">
        <f>IF('1A'!G5="","Enter Project Name on Form 1A",'1A'!G5)</f>
        <v>Liberty Bank Building</v>
      </c>
      <c r="F9" s="1127"/>
      <c r="G9" s="1126"/>
      <c r="H9" s="1160"/>
    </row>
    <row r="10" spans="2:8" x14ac:dyDescent="0.25">
      <c r="B10" s="1155"/>
      <c r="C10" s="1157"/>
      <c r="D10" s="1157"/>
      <c r="E10" s="275"/>
      <c r="F10" s="277"/>
      <c r="G10" s="278"/>
      <c r="H10" s="1161"/>
    </row>
    <row r="11" spans="2:8" x14ac:dyDescent="0.25">
      <c r="B11" s="1155"/>
      <c r="C11" s="275" t="s">
        <v>262</v>
      </c>
      <c r="D11" s="275"/>
      <c r="E11" s="1162"/>
      <c r="F11" s="277"/>
      <c r="G11" s="278"/>
      <c r="H11" s="1161"/>
    </row>
    <row r="12" spans="2:8" ht="30" customHeight="1" x14ac:dyDescent="0.25">
      <c r="B12" s="1155"/>
      <c r="C12" s="1157"/>
      <c r="D12" s="2115" t="s">
        <v>263</v>
      </c>
      <c r="E12" s="2115"/>
      <c r="F12" s="1615" t="s">
        <v>1395</v>
      </c>
      <c r="H12" s="1161"/>
    </row>
    <row r="13" spans="2:8" ht="15.75" thickBot="1" x14ac:dyDescent="0.3">
      <c r="B13" s="1155"/>
      <c r="C13" s="1157"/>
      <c r="D13" s="1157"/>
      <c r="E13" s="275"/>
      <c r="F13" s="277"/>
      <c r="G13" s="277"/>
      <c r="H13" s="1161"/>
    </row>
    <row r="14" spans="2:8" ht="36.75" thickBot="1" x14ac:dyDescent="0.3">
      <c r="B14" s="1155"/>
      <c r="C14" s="1157"/>
      <c r="D14" s="1157"/>
      <c r="E14" s="275"/>
      <c r="F14" s="279" t="s">
        <v>23</v>
      </c>
      <c r="G14" s="280" t="s">
        <v>255</v>
      </c>
      <c r="H14" s="1161"/>
    </row>
    <row r="15" spans="2:8" ht="15.75" thickBot="1" x14ac:dyDescent="0.3">
      <c r="B15" s="1155"/>
      <c r="C15" s="281" t="s">
        <v>264</v>
      </c>
      <c r="D15" s="281"/>
      <c r="E15" s="282"/>
      <c r="F15" s="1163"/>
      <c r="G15" s="1163"/>
      <c r="H15" s="1161"/>
    </row>
    <row r="16" spans="2:8" x14ac:dyDescent="0.25">
      <c r="B16" s="1155"/>
      <c r="C16" s="275"/>
      <c r="D16" s="283" t="s">
        <v>265</v>
      </c>
      <c r="E16" s="1162"/>
      <c r="F16" s="284">
        <f>'6C'!J118</f>
        <v>0</v>
      </c>
      <c r="G16" s="285">
        <f>'6C'!K118</f>
        <v>26867327.607999999</v>
      </c>
      <c r="H16" s="1161"/>
    </row>
    <row r="17" spans="2:8" x14ac:dyDescent="0.25">
      <c r="B17" s="1155"/>
      <c r="C17" s="275"/>
      <c r="D17" s="276" t="s">
        <v>266</v>
      </c>
      <c r="E17" s="1162"/>
      <c r="F17" s="1616"/>
      <c r="G17" s="1164"/>
      <c r="H17" s="1161"/>
    </row>
    <row r="18" spans="2:8" x14ac:dyDescent="0.25">
      <c r="B18" s="1155"/>
      <c r="C18" s="275"/>
      <c r="D18" s="276" t="s">
        <v>267</v>
      </c>
      <c r="E18" s="1162"/>
      <c r="F18" s="1616"/>
      <c r="G18" s="1618"/>
      <c r="H18" s="1161"/>
    </row>
    <row r="19" spans="2:8" ht="30" customHeight="1" x14ac:dyDescent="0.25">
      <c r="B19" s="1155"/>
      <c r="C19" s="275"/>
      <c r="D19" s="2115" t="s">
        <v>268</v>
      </c>
      <c r="E19" s="2116"/>
      <c r="F19" s="1616"/>
      <c r="G19" s="1618"/>
      <c r="H19" s="1161"/>
    </row>
    <row r="20" spans="2:8" x14ac:dyDescent="0.25">
      <c r="B20" s="1155"/>
      <c r="C20" s="275"/>
      <c r="D20" s="286" t="s">
        <v>269</v>
      </c>
      <c r="E20" s="1165"/>
      <c r="F20" s="1617"/>
      <c r="G20" s="1619"/>
      <c r="H20" s="1161"/>
    </row>
    <row r="21" spans="2:8" ht="15.75" thickBot="1" x14ac:dyDescent="0.3">
      <c r="B21" s="1155"/>
      <c r="C21" s="275"/>
      <c r="D21" s="283" t="s">
        <v>270</v>
      </c>
      <c r="E21" s="1162"/>
      <c r="F21" s="287">
        <f>F16-(SUM(F17:F20))</f>
        <v>0</v>
      </c>
      <c r="G21" s="288">
        <f>G16-(SUM(G18:G20))</f>
        <v>26867327.607999999</v>
      </c>
      <c r="H21" s="1161"/>
    </row>
    <row r="22" spans="2:8" ht="15.75" thickBot="1" x14ac:dyDescent="0.3">
      <c r="B22" s="1155"/>
      <c r="C22" s="275"/>
      <c r="D22" s="276"/>
      <c r="E22" s="1162"/>
      <c r="F22" s="278"/>
      <c r="G22" s="277"/>
      <c r="H22" s="1161"/>
    </row>
    <row r="23" spans="2:8" x14ac:dyDescent="0.25">
      <c r="B23" s="1155"/>
      <c r="C23" s="275"/>
      <c r="D23" s="277" t="s">
        <v>270</v>
      </c>
      <c r="E23" s="1162"/>
      <c r="F23" s="289">
        <f>F21</f>
        <v>0</v>
      </c>
      <c r="G23" s="290">
        <f>G21</f>
        <v>26867327.607999999</v>
      </c>
      <c r="H23" s="1161"/>
    </row>
    <row r="24" spans="2:8" x14ac:dyDescent="0.25">
      <c r="B24" s="1155"/>
      <c r="C24" s="275"/>
      <c r="D24" s="277" t="s">
        <v>271</v>
      </c>
      <c r="E24" s="1162"/>
      <c r="F24" s="1775">
        <v>1</v>
      </c>
      <c r="G24" s="1776">
        <f>IF(F12="Yes",130%,100%)</f>
        <v>1</v>
      </c>
      <c r="H24" s="1161"/>
    </row>
    <row r="25" spans="2:8" x14ac:dyDescent="0.25">
      <c r="B25" s="1155"/>
      <c r="C25" s="275"/>
      <c r="D25" s="291" t="s">
        <v>272</v>
      </c>
      <c r="E25" s="1165"/>
      <c r="F25" s="1777">
        <v>1</v>
      </c>
      <c r="G25" s="1778">
        <v>1</v>
      </c>
      <c r="H25" s="1161"/>
    </row>
    <row r="26" spans="2:8" ht="15.75" thickBot="1" x14ac:dyDescent="0.3">
      <c r="B26" s="1155"/>
      <c r="C26" s="275"/>
      <c r="D26" s="292" t="s">
        <v>273</v>
      </c>
      <c r="E26" s="1162"/>
      <c r="F26" s="293">
        <f>(F23*F24)*F25</f>
        <v>0</v>
      </c>
      <c r="G26" s="294">
        <f>(G23*G24)*G25</f>
        <v>26867327.607999999</v>
      </c>
      <c r="H26" s="1161"/>
    </row>
    <row r="27" spans="2:8" ht="15.75" thickBot="1" x14ac:dyDescent="0.3">
      <c r="B27" s="1155"/>
      <c r="C27" s="275"/>
      <c r="D27" s="276"/>
      <c r="E27" s="1162"/>
      <c r="F27" s="277"/>
      <c r="G27" s="277"/>
      <c r="H27" s="1161"/>
    </row>
    <row r="28" spans="2:8" x14ac:dyDescent="0.25">
      <c r="B28" s="1155"/>
      <c r="C28" s="275"/>
      <c r="D28" s="276" t="s">
        <v>273</v>
      </c>
      <c r="E28" s="1162"/>
      <c r="F28" s="289">
        <f>F26</f>
        <v>0</v>
      </c>
      <c r="G28" s="290">
        <f>G26</f>
        <v>26867327.607999999</v>
      </c>
      <c r="H28" s="1161"/>
    </row>
    <row r="29" spans="2:8" x14ac:dyDescent="0.25">
      <c r="B29" s="1155"/>
      <c r="C29" s="275"/>
      <c r="D29" s="286" t="s">
        <v>274</v>
      </c>
      <c r="E29" s="1162"/>
      <c r="F29" s="1773">
        <v>3.2199999999999999E-2</v>
      </c>
      <c r="G29" s="1774">
        <v>3.2199999999999999E-2</v>
      </c>
      <c r="H29" s="1161"/>
    </row>
    <row r="30" spans="2:8" ht="15.75" thickBot="1" x14ac:dyDescent="0.3">
      <c r="B30" s="1155"/>
      <c r="C30" s="275"/>
      <c r="D30" s="283" t="s">
        <v>275</v>
      </c>
      <c r="E30" s="1162"/>
      <c r="F30" s="287">
        <f>F28*F29</f>
        <v>0</v>
      </c>
      <c r="G30" s="288">
        <f>G28*G29</f>
        <v>865127.94897759997</v>
      </c>
      <c r="H30" s="1161"/>
    </row>
    <row r="31" spans="2:8" ht="15" customHeight="1" thickBot="1" x14ac:dyDescent="0.3">
      <c r="B31" s="1155"/>
      <c r="C31" s="275"/>
      <c r="D31" s="276"/>
      <c r="E31" s="1162"/>
      <c r="F31" s="277"/>
      <c r="G31" s="277"/>
      <c r="H31" s="1161"/>
    </row>
    <row r="32" spans="2:8" ht="15.75" thickBot="1" x14ac:dyDescent="0.3">
      <c r="B32" s="1155"/>
      <c r="C32" s="275"/>
      <c r="D32" s="283" t="s">
        <v>655</v>
      </c>
      <c r="E32" s="1162"/>
      <c r="F32" s="277"/>
      <c r="G32" s="295">
        <f>F30+G30</f>
        <v>865127.94897759997</v>
      </c>
      <c r="H32" s="1161"/>
    </row>
    <row r="33" spans="2:8" x14ac:dyDescent="0.25">
      <c r="B33" s="1155"/>
      <c r="C33" s="275"/>
      <c r="D33" s="275"/>
      <c r="E33" s="276"/>
      <c r="F33" s="277"/>
      <c r="G33" s="277"/>
      <c r="H33" s="1161"/>
    </row>
    <row r="34" spans="2:8" ht="15.75" thickBot="1" x14ac:dyDescent="0.3">
      <c r="B34" s="1155"/>
      <c r="C34" s="296" t="s">
        <v>276</v>
      </c>
      <c r="D34" s="296"/>
      <c r="E34" s="297"/>
      <c r="F34" s="298"/>
      <c r="G34" s="299"/>
      <c r="H34" s="1161"/>
    </row>
    <row r="35" spans="2:8" x14ac:dyDescent="0.25">
      <c r="B35" s="1155"/>
      <c r="C35" s="275"/>
      <c r="D35" s="276" t="s">
        <v>733</v>
      </c>
      <c r="E35" s="1162"/>
      <c r="F35" s="277"/>
      <c r="G35" s="300">
        <f>'6A'!K118</f>
        <v>30049851.607999999</v>
      </c>
      <c r="H35" s="301"/>
    </row>
    <row r="36" spans="2:8" x14ac:dyDescent="0.25">
      <c r="B36" s="1155"/>
      <c r="C36" s="275"/>
      <c r="D36" s="286" t="s">
        <v>656</v>
      </c>
      <c r="E36" s="1166"/>
      <c r="F36" s="765"/>
      <c r="G36" s="302">
        <f>-('7A'!F31)</f>
        <v>-21225607</v>
      </c>
      <c r="H36" s="1161"/>
    </row>
    <row r="37" spans="2:8" ht="15.75" thickBot="1" x14ac:dyDescent="0.3">
      <c r="B37" s="1155"/>
      <c r="C37" s="275"/>
      <c r="D37" s="283" t="s">
        <v>277</v>
      </c>
      <c r="E37" s="1162"/>
      <c r="F37" s="292"/>
      <c r="G37" s="303">
        <f>G35+G36</f>
        <v>8824244.6079999991</v>
      </c>
      <c r="H37" s="1161"/>
    </row>
    <row r="38" spans="2:8" ht="15.75" thickBot="1" x14ac:dyDescent="0.3">
      <c r="B38" s="1155"/>
      <c r="C38" s="275"/>
      <c r="D38" s="276"/>
      <c r="E38" s="1162"/>
      <c r="F38" s="277"/>
      <c r="G38" s="278"/>
      <c r="H38" s="1161"/>
    </row>
    <row r="39" spans="2:8" x14ac:dyDescent="0.25">
      <c r="B39" s="1155"/>
      <c r="C39" s="275"/>
      <c r="D39" s="276" t="s">
        <v>277</v>
      </c>
      <c r="E39" s="1162"/>
      <c r="F39" s="277"/>
      <c r="G39" s="304">
        <f>G37</f>
        <v>8824244.6079999991</v>
      </c>
      <c r="H39" s="1161"/>
    </row>
    <row r="40" spans="2:8" ht="15.75" thickBot="1" x14ac:dyDescent="0.3">
      <c r="B40" s="1155"/>
      <c r="C40" s="275"/>
      <c r="D40" s="276" t="s">
        <v>657</v>
      </c>
      <c r="E40" s="1162"/>
      <c r="F40" s="277"/>
      <c r="G40" s="1771">
        <v>1.02</v>
      </c>
      <c r="H40" s="1161"/>
    </row>
    <row r="41" spans="2:8" ht="15.75" thickBot="1" x14ac:dyDescent="0.3">
      <c r="B41" s="1155"/>
      <c r="C41" s="275"/>
      <c r="D41" s="305" t="s">
        <v>278</v>
      </c>
      <c r="E41" s="1166"/>
      <c r="F41" s="291"/>
      <c r="G41" s="1772">
        <v>10</v>
      </c>
      <c r="H41" s="1161"/>
    </row>
    <row r="42" spans="2:8" ht="15.75" thickBot="1" x14ac:dyDescent="0.3">
      <c r="B42" s="1155"/>
      <c r="C42" s="275"/>
      <c r="D42" s="306" t="s">
        <v>279</v>
      </c>
      <c r="E42" s="1162"/>
      <c r="F42" s="277"/>
      <c r="G42" s="307">
        <f>G39/G40/G41</f>
        <v>865122.02039215679</v>
      </c>
      <c r="H42" s="1161"/>
    </row>
    <row r="43" spans="2:8" x14ac:dyDescent="0.25">
      <c r="B43" s="1155"/>
      <c r="C43" s="275"/>
      <c r="D43" s="275"/>
      <c r="E43" s="276"/>
      <c r="F43" s="277"/>
      <c r="G43" s="278"/>
      <c r="H43" s="1161"/>
    </row>
    <row r="44" spans="2:8" x14ac:dyDescent="0.25">
      <c r="B44" s="1155"/>
      <c r="C44" s="275" t="s">
        <v>280</v>
      </c>
      <c r="D44" s="275"/>
      <c r="E44" s="276"/>
      <c r="F44" s="277"/>
      <c r="G44" s="1620" t="s">
        <v>1540</v>
      </c>
      <c r="H44" s="1161"/>
    </row>
    <row r="45" spans="2:8" x14ac:dyDescent="0.25">
      <c r="B45" s="1155"/>
      <c r="C45" s="275"/>
      <c r="D45" s="275"/>
      <c r="E45" s="276"/>
      <c r="F45" s="277"/>
      <c r="G45" s="278"/>
      <c r="H45" s="1161"/>
    </row>
    <row r="46" spans="2:8" ht="15.75" thickBot="1" x14ac:dyDescent="0.3">
      <c r="B46" s="1155"/>
      <c r="C46" s="296" t="s">
        <v>281</v>
      </c>
      <c r="D46" s="296"/>
      <c r="E46" s="297"/>
      <c r="F46" s="298"/>
      <c r="G46" s="277"/>
      <c r="H46" s="308"/>
    </row>
    <row r="47" spans="2:8" x14ac:dyDescent="0.25">
      <c r="B47" s="1155"/>
      <c r="C47" s="275"/>
      <c r="D47" s="276" t="s">
        <v>282</v>
      </c>
      <c r="E47" s="1162"/>
      <c r="F47" s="277"/>
      <c r="G47" s="1770">
        <f>'1B'!L18</f>
        <v>114</v>
      </c>
      <c r="H47" s="308"/>
    </row>
    <row r="48" spans="2:8" x14ac:dyDescent="0.25">
      <c r="B48" s="1155"/>
      <c r="C48" s="275"/>
      <c r="D48" s="286" t="s">
        <v>1272</v>
      </c>
      <c r="E48" s="1166"/>
      <c r="F48" s="765"/>
      <c r="G48" s="302">
        <f>IF(G44="Yes",20510,15808)</f>
        <v>20510</v>
      </c>
      <c r="H48" s="308"/>
    </row>
    <row r="49" spans="2:8" ht="15.75" thickBot="1" x14ac:dyDescent="0.3">
      <c r="B49" s="1155"/>
      <c r="C49" s="275"/>
      <c r="D49" s="283" t="s">
        <v>283</v>
      </c>
      <c r="E49" s="1162"/>
      <c r="F49" s="277"/>
      <c r="G49" s="307">
        <f>G47*G48</f>
        <v>2338140</v>
      </c>
      <c r="H49" s="308"/>
    </row>
    <row r="50" spans="2:8" x14ac:dyDescent="0.25">
      <c r="B50" s="1155"/>
      <c r="C50" s="1157"/>
      <c r="D50" s="1157"/>
      <c r="E50" s="275"/>
      <c r="F50" s="277"/>
      <c r="G50" s="277"/>
      <c r="H50" s="301"/>
    </row>
    <row r="51" spans="2:8" ht="15.75" thickBot="1" x14ac:dyDescent="0.3">
      <c r="B51" s="1155"/>
      <c r="C51" s="1157"/>
      <c r="D51" s="1157"/>
      <c r="E51" s="275"/>
      <c r="F51" s="277"/>
      <c r="G51" s="277"/>
      <c r="H51" s="308"/>
    </row>
    <row r="52" spans="2:8" ht="16.5" thickTop="1" thickBot="1" x14ac:dyDescent="0.3">
      <c r="B52" s="1155"/>
      <c r="C52" s="1157"/>
      <c r="D52" s="1157"/>
      <c r="E52" s="309" t="s">
        <v>284</v>
      </c>
      <c r="F52" s="310"/>
      <c r="G52" s="311">
        <f>MIN(G32,G42,G49)</f>
        <v>865122.02039215679</v>
      </c>
      <c r="H52" s="1161"/>
    </row>
    <row r="53" spans="2:8" ht="9" customHeight="1" thickBot="1" x14ac:dyDescent="0.3">
      <c r="B53" s="1167"/>
      <c r="C53" s="1168"/>
      <c r="D53" s="1168"/>
      <c r="E53" s="2117"/>
      <c r="F53" s="2117"/>
      <c r="G53" s="2118"/>
      <c r="H53" s="1169"/>
    </row>
  </sheetData>
  <sheetProtection password="9F6B" sheet="1" objects="1" scenarios="1" formatCells="0" formatColumns="0" formatRows="0"/>
  <mergeCells count="4">
    <mergeCell ref="C7:G7"/>
    <mergeCell ref="D19:E19"/>
    <mergeCell ref="E53:G53"/>
    <mergeCell ref="D12:E12"/>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1" orientation="portrait" r:id="rId1"/>
  <headerFooter>
    <oddFooter>&amp;LForm 6D
LIHTC Calculation&amp;CCFA Forms&amp;REdition: 2015
Version: 1.1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54"/>
  <sheetViews>
    <sheetView showGridLines="0" topLeftCell="A22" zoomScaleNormal="100" workbookViewId="0">
      <selection activeCell="P31" sqref="P31"/>
    </sheetView>
  </sheetViews>
  <sheetFormatPr defaultRowHeight="15" x14ac:dyDescent="0.25"/>
  <cols>
    <col min="1" max="2" width="1.7109375" style="843" customWidth="1"/>
    <col min="3" max="3" width="2.85546875" style="843" customWidth="1"/>
    <col min="4" max="4" width="14.28515625" style="843" customWidth="1"/>
    <col min="5" max="5" width="9.140625" style="843"/>
    <col min="6" max="6" width="4.28515625" style="843" customWidth="1"/>
    <col min="7" max="7" width="4.28515625" style="843" bestFit="1" customWidth="1"/>
    <col min="8" max="8" width="11.42578125" style="843" customWidth="1"/>
    <col min="9" max="9" width="12.28515625" style="843" bestFit="1" customWidth="1"/>
    <col min="10" max="10" width="31.42578125" style="923" customWidth="1"/>
    <col min="11" max="11" width="1.7109375" style="923" customWidth="1"/>
    <col min="12" max="16384" width="9.140625" style="843"/>
  </cols>
  <sheetData>
    <row r="1" spans="2:11" ht="15.75" thickBot="1" x14ac:dyDescent="0.3"/>
    <row r="2" spans="2:11" s="923" customFormat="1" x14ac:dyDescent="0.25">
      <c r="B2" s="1173"/>
      <c r="C2" s="1400"/>
      <c r="D2" s="1400"/>
      <c r="E2" s="1400"/>
      <c r="F2" s="1400"/>
      <c r="G2" s="1400"/>
      <c r="H2" s="1400"/>
      <c r="I2" s="1400"/>
      <c r="J2" s="1400"/>
      <c r="K2" s="1174"/>
    </row>
    <row r="3" spans="2:11" s="923" customFormat="1" ht="18.75" x14ac:dyDescent="0.3">
      <c r="B3" s="1175"/>
      <c r="C3" s="1917" t="s">
        <v>734</v>
      </c>
      <c r="D3" s="1917"/>
      <c r="E3" s="1917"/>
      <c r="F3" s="1917"/>
      <c r="G3" s="1917"/>
      <c r="H3" s="1917"/>
      <c r="I3" s="1917"/>
      <c r="J3" s="1917"/>
      <c r="K3" s="1176"/>
    </row>
    <row r="4" spans="2:11" s="923" customFormat="1" x14ac:dyDescent="0.25">
      <c r="B4" s="1175"/>
      <c r="C4" s="355"/>
      <c r="D4" s="355"/>
      <c r="E4" s="355"/>
      <c r="F4" s="355"/>
      <c r="G4" s="355"/>
      <c r="H4" s="355"/>
      <c r="I4" s="355"/>
      <c r="J4" s="355"/>
      <c r="K4" s="1176"/>
    </row>
    <row r="5" spans="2:11" s="923" customFormat="1" x14ac:dyDescent="0.25">
      <c r="B5" s="1175"/>
      <c r="C5" s="820"/>
      <c r="D5" s="258" t="s">
        <v>1</v>
      </c>
      <c r="E5" s="1144" t="str">
        <f>IF('1A'!G5="","Enter Project Name on Form 1A",'1A'!G5)</f>
        <v>Liberty Bank Building</v>
      </c>
      <c r="F5" s="1408"/>
      <c r="G5" s="1408"/>
      <c r="H5" s="1408"/>
      <c r="I5" s="1408"/>
      <c r="J5" s="1408"/>
      <c r="K5" s="1176"/>
    </row>
    <row r="6" spans="2:11" s="923" customFormat="1" ht="15" customHeight="1" thickBot="1" x14ac:dyDescent="0.3">
      <c r="B6" s="1175"/>
      <c r="C6" s="355"/>
      <c r="D6" s="355"/>
      <c r="E6" s="355"/>
      <c r="F6" s="355"/>
      <c r="G6" s="355"/>
      <c r="H6" s="355"/>
      <c r="I6" s="355"/>
      <c r="J6" s="355"/>
      <c r="K6" s="1176"/>
    </row>
    <row r="7" spans="2:11" s="923" customFormat="1" ht="15.75" thickBot="1" x14ac:dyDescent="0.3">
      <c r="B7" s="1175"/>
      <c r="C7" s="1177" t="s">
        <v>285</v>
      </c>
      <c r="D7" s="1651"/>
      <c r="E7" s="1651"/>
      <c r="F7" s="1637" t="s">
        <v>286</v>
      </c>
      <c r="G7" s="1638" t="s">
        <v>287</v>
      </c>
      <c r="H7" s="1638" t="s">
        <v>288</v>
      </c>
      <c r="I7" s="1638" t="s">
        <v>101</v>
      </c>
      <c r="J7" s="1636" t="s">
        <v>289</v>
      </c>
      <c r="K7" s="1403"/>
    </row>
    <row r="8" spans="2:11" s="923" customFormat="1" ht="15.75" thickBot="1" x14ac:dyDescent="0.3">
      <c r="B8" s="1175"/>
      <c r="C8" s="1178" t="s">
        <v>290</v>
      </c>
      <c r="D8" s="1178"/>
      <c r="E8" s="1178"/>
      <c r="F8" s="247"/>
      <c r="G8" s="247"/>
      <c r="H8" s="247"/>
      <c r="I8" s="355"/>
      <c r="J8" s="355"/>
      <c r="K8" s="1176"/>
    </row>
    <row r="9" spans="2:11" s="923" customFormat="1" ht="15.75" thickBot="1" x14ac:dyDescent="0.3">
      <c r="B9" s="1175"/>
      <c r="C9" s="135"/>
      <c r="D9" s="135" t="s">
        <v>291</v>
      </c>
      <c r="E9" s="135"/>
      <c r="F9" s="1649"/>
      <c r="G9" s="1650"/>
      <c r="H9" s="1650"/>
      <c r="I9" s="1621">
        <f>F9*H9</f>
        <v>0</v>
      </c>
      <c r="J9" s="1622"/>
      <c r="K9" s="1176"/>
    </row>
    <row r="10" spans="2:11" s="923" customFormat="1" ht="15.75" thickBot="1" x14ac:dyDescent="0.3">
      <c r="B10" s="1175"/>
      <c r="C10" s="135"/>
      <c r="D10" s="135"/>
      <c r="E10" s="135"/>
      <c r="F10" s="1179"/>
      <c r="G10" s="1179"/>
      <c r="H10" s="1180"/>
      <c r="I10" s="1623">
        <f>I9</f>
        <v>0</v>
      </c>
      <c r="J10" s="1624"/>
      <c r="K10" s="1176"/>
    </row>
    <row r="11" spans="2:11" s="923" customFormat="1" ht="3.75" customHeight="1" x14ac:dyDescent="0.25">
      <c r="B11" s="1175"/>
      <c r="C11" s="135"/>
      <c r="D11" s="135"/>
      <c r="E11" s="135"/>
      <c r="F11" s="247"/>
      <c r="G11" s="247"/>
      <c r="H11" s="247"/>
      <c r="I11" s="355"/>
      <c r="J11" s="355"/>
      <c r="K11" s="1176"/>
    </row>
    <row r="12" spans="2:11" s="923" customFormat="1" ht="15.75" thickBot="1" x14ac:dyDescent="0.3">
      <c r="B12" s="1175"/>
      <c r="C12" s="1178" t="s">
        <v>292</v>
      </c>
      <c r="D12" s="1178"/>
      <c r="E12" s="1178"/>
      <c r="F12" s="247"/>
      <c r="G12" s="247"/>
      <c r="H12" s="247"/>
      <c r="I12" s="355"/>
      <c r="J12" s="355"/>
      <c r="K12" s="1176"/>
    </row>
    <row r="13" spans="2:11" s="923" customFormat="1" x14ac:dyDescent="0.25">
      <c r="B13" s="1175"/>
      <c r="C13" s="135"/>
      <c r="D13" s="135" t="s">
        <v>293</v>
      </c>
      <c r="E13" s="135"/>
      <c r="F13" s="1639">
        <v>1</v>
      </c>
      <c r="G13" s="1640">
        <v>1</v>
      </c>
      <c r="H13" s="1640">
        <v>75000</v>
      </c>
      <c r="I13" s="1625">
        <f t="shared" ref="I13:I20" si="0">F13*H13</f>
        <v>75000</v>
      </c>
      <c r="J13" s="1626" t="s">
        <v>1537</v>
      </c>
      <c r="K13" s="1176"/>
    </row>
    <row r="14" spans="2:11" s="923" customFormat="1" x14ac:dyDescent="0.25">
      <c r="B14" s="1175"/>
      <c r="C14" s="135"/>
      <c r="D14" s="135" t="s">
        <v>294</v>
      </c>
      <c r="E14" s="135"/>
      <c r="F14" s="1641"/>
      <c r="G14" s="1642"/>
      <c r="H14" s="1642"/>
      <c r="I14" s="1627">
        <f t="shared" si="0"/>
        <v>0</v>
      </c>
      <c r="J14" s="1628"/>
      <c r="K14" s="1176"/>
    </row>
    <row r="15" spans="2:11" s="923" customFormat="1" x14ac:dyDescent="0.25">
      <c r="B15" s="1175"/>
      <c r="C15" s="135"/>
      <c r="D15" s="135" t="s">
        <v>295</v>
      </c>
      <c r="E15" s="135"/>
      <c r="F15" s="1641"/>
      <c r="G15" s="1642"/>
      <c r="H15" s="1642"/>
      <c r="I15" s="1627">
        <f t="shared" si="0"/>
        <v>0</v>
      </c>
      <c r="J15" s="1628"/>
      <c r="K15" s="1176"/>
    </row>
    <row r="16" spans="2:11" s="923" customFormat="1" x14ac:dyDescent="0.25">
      <c r="B16" s="1175"/>
      <c r="C16" s="135"/>
      <c r="D16" s="135" t="s">
        <v>117</v>
      </c>
      <c r="E16" s="135"/>
      <c r="F16" s="1641"/>
      <c r="G16" s="1642"/>
      <c r="H16" s="1642"/>
      <c r="I16" s="1627">
        <f t="shared" si="0"/>
        <v>0</v>
      </c>
      <c r="J16" s="1628"/>
      <c r="K16" s="1176"/>
    </row>
    <row r="17" spans="2:11" s="923" customFormat="1" x14ac:dyDescent="0.25">
      <c r="B17" s="1175"/>
      <c r="C17" s="135"/>
      <c r="D17" s="135" t="s">
        <v>296</v>
      </c>
      <c r="E17" s="135"/>
      <c r="F17" s="1641"/>
      <c r="G17" s="1642"/>
      <c r="H17" s="1642"/>
      <c r="I17" s="1627">
        <f t="shared" si="0"/>
        <v>0</v>
      </c>
      <c r="J17" s="1628"/>
      <c r="K17" s="1176"/>
    </row>
    <row r="18" spans="2:11" s="923" customFormat="1" x14ac:dyDescent="0.25">
      <c r="B18" s="1175"/>
      <c r="C18" s="135"/>
      <c r="D18" s="135" t="s">
        <v>297</v>
      </c>
      <c r="E18" s="135"/>
      <c r="F18" s="1641"/>
      <c r="G18" s="1642"/>
      <c r="H18" s="1642"/>
      <c r="I18" s="1627">
        <f t="shared" si="0"/>
        <v>0</v>
      </c>
      <c r="J18" s="1628"/>
      <c r="K18" s="1176"/>
    </row>
    <row r="19" spans="2:11" s="923" customFormat="1" x14ac:dyDescent="0.25">
      <c r="B19" s="1175"/>
      <c r="C19" s="135"/>
      <c r="D19" s="135" t="s">
        <v>249</v>
      </c>
      <c r="E19" s="135"/>
      <c r="F19" s="1641">
        <v>1</v>
      </c>
      <c r="G19" s="1642">
        <v>1</v>
      </c>
      <c r="H19" s="1642">
        <v>50000</v>
      </c>
      <c r="I19" s="1627">
        <f t="shared" si="0"/>
        <v>50000</v>
      </c>
      <c r="J19" s="1628" t="s">
        <v>1538</v>
      </c>
      <c r="K19" s="1176"/>
    </row>
    <row r="20" spans="2:11" s="923" customFormat="1" ht="15.75" thickBot="1" x14ac:dyDescent="0.3">
      <c r="B20" s="1175"/>
      <c r="C20" s="135"/>
      <c r="D20" s="135" t="s">
        <v>298</v>
      </c>
      <c r="E20" s="135"/>
      <c r="F20" s="1643"/>
      <c r="G20" s="1644"/>
      <c r="H20" s="1644"/>
      <c r="I20" s="1629">
        <f t="shared" si="0"/>
        <v>0</v>
      </c>
      <c r="J20" s="1630"/>
      <c r="K20" s="1176"/>
    </row>
    <row r="21" spans="2:11" s="923" customFormat="1" ht="15.75" thickBot="1" x14ac:dyDescent="0.3">
      <c r="B21" s="1175"/>
      <c r="C21" s="135"/>
      <c r="D21" s="135"/>
      <c r="E21" s="135"/>
      <c r="F21" s="1179"/>
      <c r="G21" s="1179"/>
      <c r="H21" s="1181" t="s">
        <v>176</v>
      </c>
      <c r="I21" s="1631">
        <f>SUM(I13:I20)</f>
        <v>125000</v>
      </c>
      <c r="J21" s="1632"/>
      <c r="K21" s="1176"/>
    </row>
    <row r="22" spans="2:11" s="923" customFormat="1" ht="3.75" customHeight="1" x14ac:dyDescent="0.25">
      <c r="B22" s="1175"/>
      <c r="C22" s="135"/>
      <c r="D22" s="135"/>
      <c r="E22" s="135"/>
      <c r="F22" s="247"/>
      <c r="G22" s="247"/>
      <c r="H22" s="247"/>
      <c r="I22" s="355"/>
      <c r="J22" s="355"/>
      <c r="K22" s="1176"/>
    </row>
    <row r="23" spans="2:11" s="923" customFormat="1" ht="15.75" thickBot="1" x14ac:dyDescent="0.3">
      <c r="B23" s="1175"/>
      <c r="C23" s="1178" t="s">
        <v>299</v>
      </c>
      <c r="D23" s="1178"/>
      <c r="E23" s="1178"/>
      <c r="F23" s="247"/>
      <c r="G23" s="247"/>
      <c r="H23" s="247"/>
      <c r="I23" s="355"/>
      <c r="J23" s="355"/>
      <c r="K23" s="1176"/>
    </row>
    <row r="24" spans="2:11" s="923" customFormat="1" x14ac:dyDescent="0.25">
      <c r="B24" s="1175"/>
      <c r="C24" s="135"/>
      <c r="D24" s="135" t="s">
        <v>300</v>
      </c>
      <c r="E24" s="135"/>
      <c r="F24" s="1639">
        <v>1</v>
      </c>
      <c r="G24" s="1640">
        <v>1</v>
      </c>
      <c r="H24" s="1640">
        <v>100000</v>
      </c>
      <c r="I24" s="1625">
        <f t="shared" ref="I24:I31" si="1">F24*H24</f>
        <v>100000</v>
      </c>
      <c r="J24" s="1626"/>
      <c r="K24" s="1176"/>
    </row>
    <row r="25" spans="2:11" s="923" customFormat="1" x14ac:dyDescent="0.25">
      <c r="B25" s="1175"/>
      <c r="C25" s="135"/>
      <c r="D25" s="135" t="s">
        <v>301</v>
      </c>
      <c r="E25" s="135"/>
      <c r="F25" s="1641"/>
      <c r="G25" s="1642"/>
      <c r="H25" s="1642"/>
      <c r="I25" s="1627">
        <f t="shared" si="1"/>
        <v>0</v>
      </c>
      <c r="J25" s="1628"/>
      <c r="K25" s="1176"/>
    </row>
    <row r="26" spans="2:11" s="923" customFormat="1" x14ac:dyDescent="0.25">
      <c r="B26" s="1175"/>
      <c r="C26" s="135"/>
      <c r="D26" s="135" t="s">
        <v>302</v>
      </c>
      <c r="E26" s="135"/>
      <c r="F26" s="1641"/>
      <c r="G26" s="1642"/>
      <c r="H26" s="1642"/>
      <c r="I26" s="1627">
        <f t="shared" si="1"/>
        <v>0</v>
      </c>
      <c r="J26" s="1628"/>
      <c r="K26" s="1176"/>
    </row>
    <row r="27" spans="2:11" s="923" customFormat="1" x14ac:dyDescent="0.25">
      <c r="B27" s="1175"/>
      <c r="C27" s="135"/>
      <c r="D27" s="135" t="s">
        <v>303</v>
      </c>
      <c r="E27" s="135"/>
      <c r="F27" s="1647"/>
      <c r="G27" s="1648"/>
      <c r="H27" s="1648"/>
      <c r="I27" s="1627">
        <f t="shared" si="1"/>
        <v>0</v>
      </c>
      <c r="J27" s="1633"/>
      <c r="K27" s="1176"/>
    </row>
    <row r="28" spans="2:11" s="923" customFormat="1" x14ac:dyDescent="0.25">
      <c r="B28" s="1175"/>
      <c r="C28" s="135"/>
      <c r="D28" s="135" t="s">
        <v>304</v>
      </c>
      <c r="E28" s="135"/>
      <c r="F28" s="1641">
        <v>1</v>
      </c>
      <c r="G28" s="1642">
        <v>1</v>
      </c>
      <c r="H28" s="1642">
        <v>5000</v>
      </c>
      <c r="I28" s="1627">
        <f t="shared" si="1"/>
        <v>5000</v>
      </c>
      <c r="J28" s="1628"/>
      <c r="K28" s="1176"/>
    </row>
    <row r="29" spans="2:11" s="923" customFormat="1" x14ac:dyDescent="0.25">
      <c r="B29" s="1175"/>
      <c r="C29" s="135"/>
      <c r="D29" s="135" t="s">
        <v>305</v>
      </c>
      <c r="E29" s="135"/>
      <c r="F29" s="1641"/>
      <c r="G29" s="1642"/>
      <c r="H29" s="1642"/>
      <c r="I29" s="1627">
        <f t="shared" si="1"/>
        <v>0</v>
      </c>
      <c r="J29" s="1628"/>
      <c r="K29" s="1176"/>
    </row>
    <row r="30" spans="2:11" s="923" customFormat="1" x14ac:dyDescent="0.25">
      <c r="B30" s="1175"/>
      <c r="C30" s="135"/>
      <c r="D30" s="135" t="s">
        <v>306</v>
      </c>
      <c r="E30" s="135"/>
      <c r="F30" s="1641">
        <v>1</v>
      </c>
      <c r="G30" s="1642">
        <v>1</v>
      </c>
      <c r="H30" s="1642">
        <v>70000</v>
      </c>
      <c r="I30" s="1627">
        <f t="shared" si="1"/>
        <v>70000</v>
      </c>
      <c r="J30" s="1628"/>
      <c r="K30" s="1176"/>
    </row>
    <row r="31" spans="2:11" s="923" customFormat="1" ht="15.75" thickBot="1" x14ac:dyDescent="0.3">
      <c r="B31" s="1175"/>
      <c r="C31" s="135"/>
      <c r="D31" s="135" t="s">
        <v>307</v>
      </c>
      <c r="E31" s="135"/>
      <c r="F31" s="1645"/>
      <c r="G31" s="1646"/>
      <c r="H31" s="1646"/>
      <c r="I31" s="1629">
        <f t="shared" si="1"/>
        <v>0</v>
      </c>
      <c r="J31" s="1630"/>
      <c r="K31" s="1176"/>
    </row>
    <row r="32" spans="2:11" s="923" customFormat="1" ht="15.75" thickBot="1" x14ac:dyDescent="0.3">
      <c r="B32" s="1175"/>
      <c r="C32" s="135"/>
      <c r="D32" s="135"/>
      <c r="E32" s="135"/>
      <c r="F32" s="1179"/>
      <c r="G32" s="1179"/>
      <c r="H32" s="1181" t="s">
        <v>176</v>
      </c>
      <c r="I32" s="1623">
        <f>SUM(I24:I31)</f>
        <v>175000</v>
      </c>
      <c r="J32" s="1624"/>
      <c r="K32" s="1176"/>
    </row>
    <row r="33" spans="1:11" s="923" customFormat="1" ht="3.75" customHeight="1" x14ac:dyDescent="0.25">
      <c r="B33" s="1175"/>
      <c r="C33" s="135"/>
      <c r="D33" s="135"/>
      <c r="E33" s="135"/>
      <c r="F33" s="247"/>
      <c r="G33" s="247"/>
      <c r="H33" s="247"/>
      <c r="I33" s="355"/>
      <c r="J33" s="355"/>
      <c r="K33" s="1176"/>
    </row>
    <row r="34" spans="1:11" s="923" customFormat="1" ht="15.75" thickBot="1" x14ac:dyDescent="0.3">
      <c r="B34" s="1175"/>
      <c r="C34" s="1178" t="s">
        <v>308</v>
      </c>
      <c r="D34" s="1178"/>
      <c r="E34" s="1178"/>
      <c r="F34" s="247"/>
      <c r="G34" s="247"/>
      <c r="H34" s="247"/>
      <c r="I34" s="355"/>
      <c r="J34" s="355"/>
      <c r="K34" s="1176"/>
    </row>
    <row r="35" spans="1:11" s="923" customFormat="1" x14ac:dyDescent="0.25">
      <c r="B35" s="1175"/>
      <c r="C35" s="135"/>
      <c r="D35" s="135" t="s">
        <v>309</v>
      </c>
      <c r="E35" s="135"/>
      <c r="F35" s="1639">
        <v>1</v>
      </c>
      <c r="G35" s="1640">
        <v>1</v>
      </c>
      <c r="H35" s="1640">
        <f>503273-25</f>
        <v>503248</v>
      </c>
      <c r="I35" s="1625">
        <f t="shared" ref="I35:I36" si="2">F35*H35</f>
        <v>503248</v>
      </c>
      <c r="J35" s="1626" t="s">
        <v>1539</v>
      </c>
      <c r="K35" s="1176"/>
    </row>
    <row r="36" spans="1:11" s="923" customFormat="1" x14ac:dyDescent="0.25">
      <c r="B36" s="1175"/>
      <c r="C36" s="135"/>
      <c r="D36" s="135" t="s">
        <v>310</v>
      </c>
      <c r="E36" s="135"/>
      <c r="F36" s="1641">
        <v>1</v>
      </c>
      <c r="G36" s="1642">
        <v>1</v>
      </c>
      <c r="H36" s="1642">
        <v>75000</v>
      </c>
      <c r="I36" s="1627">
        <f t="shared" si="2"/>
        <v>75000</v>
      </c>
      <c r="J36" s="1628"/>
      <c r="K36" s="1176"/>
    </row>
    <row r="37" spans="1:11" x14ac:dyDescent="0.25">
      <c r="A37" s="923"/>
      <c r="B37" s="1175"/>
      <c r="C37" s="135"/>
      <c r="D37" s="135" t="s">
        <v>311</v>
      </c>
      <c r="E37" s="135"/>
      <c r="F37" s="208"/>
      <c r="G37" s="207"/>
      <c r="H37" s="207"/>
      <c r="I37" s="207"/>
      <c r="J37" s="1170"/>
      <c r="K37" s="1176"/>
    </row>
    <row r="38" spans="1:11" s="923" customFormat="1" x14ac:dyDescent="0.25">
      <c r="B38" s="1175"/>
      <c r="C38" s="135"/>
      <c r="D38" s="2119" t="s">
        <v>1082</v>
      </c>
      <c r="E38" s="2119"/>
      <c r="F38" s="1641"/>
      <c r="G38" s="1642"/>
      <c r="H38" s="1642"/>
      <c r="I38" s="1627">
        <f t="shared" ref="I38:I39" si="3">F38*H38</f>
        <v>0</v>
      </c>
      <c r="J38" s="1628"/>
      <c r="K38" s="1176"/>
    </row>
    <row r="39" spans="1:11" s="923" customFormat="1" ht="15.75" thickBot="1" x14ac:dyDescent="0.3">
      <c r="B39" s="1175"/>
      <c r="C39" s="135"/>
      <c r="D39" s="2119" t="s">
        <v>1083</v>
      </c>
      <c r="E39" s="2119"/>
      <c r="F39" s="1645"/>
      <c r="G39" s="1646"/>
      <c r="H39" s="1646"/>
      <c r="I39" s="1629">
        <f t="shared" si="3"/>
        <v>0</v>
      </c>
      <c r="J39" s="1630"/>
      <c r="K39" s="1176"/>
    </row>
    <row r="40" spans="1:11" s="923" customFormat="1" ht="15.75" thickBot="1" x14ac:dyDescent="0.3">
      <c r="B40" s="1175"/>
      <c r="C40" s="135"/>
      <c r="D40" s="135"/>
      <c r="E40" s="135"/>
      <c r="F40" s="1179"/>
      <c r="G40" s="1179"/>
      <c r="H40" s="1181" t="s">
        <v>176</v>
      </c>
      <c r="I40" s="1623">
        <f>SUM(I35:I36)+SUM(I38:I39)</f>
        <v>578248</v>
      </c>
      <c r="J40" s="1624"/>
      <c r="K40" s="1176"/>
    </row>
    <row r="41" spans="1:11" s="923" customFormat="1" ht="3.75" customHeight="1" x14ac:dyDescent="0.25">
      <c r="B41" s="1175"/>
      <c r="C41" s="135"/>
      <c r="D41" s="135"/>
      <c r="E41" s="135"/>
      <c r="F41" s="247"/>
      <c r="G41" s="247"/>
      <c r="H41" s="247"/>
      <c r="I41" s="355"/>
      <c r="J41" s="355"/>
      <c r="K41" s="1176"/>
    </row>
    <row r="42" spans="1:11" s="923" customFormat="1" ht="15.75" thickBot="1" x14ac:dyDescent="0.3">
      <c r="B42" s="1175"/>
      <c r="C42" s="1178" t="s">
        <v>312</v>
      </c>
      <c r="D42" s="1178"/>
      <c r="E42" s="1178"/>
      <c r="F42" s="247"/>
      <c r="G42" s="247"/>
      <c r="H42" s="247"/>
      <c r="I42" s="355"/>
      <c r="J42" s="355"/>
      <c r="K42" s="1176"/>
    </row>
    <row r="43" spans="1:11" s="923" customFormat="1" x14ac:dyDescent="0.25">
      <c r="B43" s="1175"/>
      <c r="C43" s="135"/>
      <c r="D43" s="135" t="s">
        <v>313</v>
      </c>
      <c r="E43" s="135"/>
      <c r="F43" s="1639"/>
      <c r="G43" s="1640"/>
      <c r="H43" s="1640"/>
      <c r="I43" s="1625">
        <f t="shared" ref="I43:I46" si="4">F43*H43</f>
        <v>0</v>
      </c>
      <c r="J43" s="1626"/>
      <c r="K43" s="1176"/>
    </row>
    <row r="44" spans="1:11" s="923" customFormat="1" x14ac:dyDescent="0.25">
      <c r="B44" s="1175"/>
      <c r="C44" s="135"/>
      <c r="D44" s="135" t="s">
        <v>314</v>
      </c>
      <c r="E44" s="135"/>
      <c r="F44" s="1641"/>
      <c r="G44" s="1642"/>
      <c r="H44" s="1642"/>
      <c r="I44" s="1627">
        <f t="shared" si="4"/>
        <v>0</v>
      </c>
      <c r="J44" s="1628"/>
      <c r="K44" s="1176"/>
    </row>
    <row r="45" spans="1:11" s="923" customFormat="1" x14ac:dyDescent="0.25">
      <c r="B45" s="1175"/>
      <c r="C45" s="135"/>
      <c r="D45" s="135" t="s">
        <v>294</v>
      </c>
      <c r="E45" s="135"/>
      <c r="F45" s="1641"/>
      <c r="G45" s="1642"/>
      <c r="H45" s="1642"/>
      <c r="I45" s="1627">
        <f t="shared" si="4"/>
        <v>0</v>
      </c>
      <c r="J45" s="1628"/>
      <c r="K45" s="1176"/>
    </row>
    <row r="46" spans="1:11" s="923" customFormat="1" ht="15.75" thickBot="1" x14ac:dyDescent="0.3">
      <c r="B46" s="1175"/>
      <c r="C46" s="135"/>
      <c r="D46" s="135" t="s">
        <v>315</v>
      </c>
      <c r="E46" s="135"/>
      <c r="F46" s="1643"/>
      <c r="G46" s="1644"/>
      <c r="H46" s="1644"/>
      <c r="I46" s="1629">
        <f t="shared" si="4"/>
        <v>0</v>
      </c>
      <c r="J46" s="1630"/>
      <c r="K46" s="1176"/>
    </row>
    <row r="47" spans="1:11" s="923" customFormat="1" ht="15.75" thickBot="1" x14ac:dyDescent="0.3">
      <c r="B47" s="1175"/>
      <c r="C47" s="135"/>
      <c r="D47" s="135"/>
      <c r="E47" s="135"/>
      <c r="F47" s="1179"/>
      <c r="G47" s="1179"/>
      <c r="H47" s="1181" t="s">
        <v>176</v>
      </c>
      <c r="I47" s="1623">
        <f>SUM(I43:I46)</f>
        <v>0</v>
      </c>
      <c r="J47" s="1624"/>
      <c r="K47" s="1176"/>
    </row>
    <row r="48" spans="1:11" s="923" customFormat="1" ht="3.75" customHeight="1" x14ac:dyDescent="0.25">
      <c r="B48" s="1175"/>
      <c r="C48" s="135"/>
      <c r="D48" s="135"/>
      <c r="E48" s="135"/>
      <c r="F48" s="247"/>
      <c r="G48" s="247"/>
      <c r="H48" s="247"/>
      <c r="I48" s="355"/>
      <c r="J48" s="355"/>
      <c r="K48" s="1176"/>
    </row>
    <row r="49" spans="2:11" s="923" customFormat="1" ht="15.75" thickBot="1" x14ac:dyDescent="0.3">
      <c r="B49" s="1175"/>
      <c r="C49" s="1178" t="s">
        <v>249</v>
      </c>
      <c r="D49" s="1178"/>
      <c r="E49" s="1178"/>
      <c r="F49" s="1182"/>
      <c r="G49" s="1182"/>
      <c r="H49" s="1182"/>
      <c r="I49" s="1634"/>
      <c r="J49" s="695"/>
      <c r="K49" s="1176"/>
    </row>
    <row r="50" spans="2:11" s="923" customFormat="1" ht="15.75" thickBot="1" x14ac:dyDescent="0.3">
      <c r="B50" s="1175"/>
      <c r="C50" s="135"/>
      <c r="D50" s="135"/>
      <c r="E50" s="135"/>
      <c r="F50" s="1171"/>
      <c r="G50" s="1172"/>
      <c r="H50" s="1172"/>
      <c r="I50" s="1635">
        <f>F50*H50</f>
        <v>0</v>
      </c>
      <c r="J50" s="1622"/>
      <c r="K50" s="1176"/>
    </row>
    <row r="51" spans="2:11" s="923" customFormat="1" ht="15.75" thickBot="1" x14ac:dyDescent="0.3">
      <c r="B51" s="1175"/>
      <c r="C51" s="135"/>
      <c r="D51" s="135"/>
      <c r="E51" s="135"/>
      <c r="F51" s="1179"/>
      <c r="G51" s="1179"/>
      <c r="H51" s="1181" t="s">
        <v>176</v>
      </c>
      <c r="I51" s="1623">
        <f>SUM(I50)</f>
        <v>0</v>
      </c>
      <c r="J51" s="1624"/>
      <c r="K51" s="1176"/>
    </row>
    <row r="52" spans="2:11" s="923" customFormat="1" ht="7.5" customHeight="1" thickBot="1" x14ac:dyDescent="0.3">
      <c r="B52" s="1175"/>
      <c r="C52" s="135"/>
      <c r="D52" s="135"/>
      <c r="E52" s="135"/>
      <c r="F52" s="247"/>
      <c r="G52" s="247"/>
      <c r="H52" s="247"/>
      <c r="I52" s="247"/>
      <c r="J52" s="247"/>
      <c r="K52" s="1176"/>
    </row>
    <row r="53" spans="2:11" ht="15.75" thickBot="1" x14ac:dyDescent="0.3">
      <c r="B53" s="1183"/>
      <c r="C53" s="1652" t="s">
        <v>66</v>
      </c>
      <c r="D53" s="1184"/>
      <c r="E53" s="1185"/>
      <c r="F53" s="1186"/>
      <c r="G53" s="1186"/>
      <c r="H53" s="1187"/>
      <c r="I53" s="1188">
        <f>I10+I21+I32+I40+I47+I51</f>
        <v>878248</v>
      </c>
      <c r="J53" s="1189" t="str">
        <f>IF(I53&lt;&gt;('6A'!J98+'6A'!J99),"WARNING: Does not match Form 6A","")</f>
        <v/>
      </c>
      <c r="K53" s="1176"/>
    </row>
    <row r="54" spans="2:11" s="923" customFormat="1" ht="9" customHeight="1" thickBot="1" x14ac:dyDescent="0.3">
      <c r="B54" s="1190"/>
      <c r="C54" s="1191"/>
      <c r="D54" s="1191"/>
      <c r="E54" s="1191"/>
      <c r="F54" s="1191"/>
      <c r="G54" s="1191"/>
      <c r="H54" s="1191"/>
      <c r="I54" s="1192" t="s">
        <v>35</v>
      </c>
      <c r="J54" s="1191"/>
      <c r="K54" s="1118"/>
    </row>
  </sheetData>
  <sheetProtection password="9F6B" sheet="1" objects="1" scenarios="1" formatCells="0" formatColumns="0" formatRows="0"/>
  <mergeCells count="3">
    <mergeCell ref="D38:E38"/>
    <mergeCell ref="D39:E39"/>
    <mergeCell ref="C3:J3"/>
  </mergeCells>
  <pageMargins left="0.7" right="0.7" top="0.75" bottom="0.75" header="0.3" footer="0.3"/>
  <pageSetup scale="94" orientation="portrait" r:id="rId1"/>
  <headerFooter>
    <oddFooter>&amp;LForm 6E
Fee Schedule&amp;CCFA Forms&amp;REdition: 2015
Version: 1.1</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7:P44"/>
  <sheetViews>
    <sheetView showGridLines="0" topLeftCell="A16" zoomScaleNormal="100" workbookViewId="0">
      <selection activeCell="E28" sqref="E28"/>
    </sheetView>
  </sheetViews>
  <sheetFormatPr defaultRowHeight="15" x14ac:dyDescent="0.25"/>
  <cols>
    <col min="1" max="2" width="1.7109375" style="844" customWidth="1"/>
    <col min="3" max="3" width="14.28515625" style="844" customWidth="1"/>
    <col min="4" max="4" width="22.85546875" style="844" customWidth="1"/>
    <col min="5" max="6" width="17.140625" style="844" customWidth="1"/>
    <col min="7" max="8" width="9.140625" style="844"/>
    <col min="9" max="9" width="10" style="844" customWidth="1"/>
    <col min="10" max="10" width="11.5703125" style="844" customWidth="1"/>
    <col min="11" max="12" width="8.5703125" style="844" customWidth="1"/>
    <col min="13" max="13" width="11.42578125" style="844" customWidth="1"/>
    <col min="14" max="14" width="15" style="844" bestFit="1" customWidth="1"/>
    <col min="15" max="15" width="1.7109375" style="844" customWidth="1"/>
    <col min="16" max="16384" width="9.140625" style="844"/>
  </cols>
  <sheetData>
    <row r="7" spans="2:15" ht="9" customHeight="1" thickBot="1" x14ac:dyDescent="0.3"/>
    <row r="8" spans="2:15" ht="9" customHeight="1" x14ac:dyDescent="0.25">
      <c r="B8" s="1194"/>
      <c r="C8" s="1195"/>
      <c r="D8" s="1195"/>
      <c r="E8" s="1196"/>
      <c r="F8" s="1196"/>
      <c r="G8" s="1196"/>
      <c r="H8" s="1195"/>
      <c r="I8" s="1195"/>
      <c r="J8" s="1195"/>
      <c r="K8" s="1195"/>
      <c r="L8" s="1195"/>
      <c r="M8" s="1195"/>
      <c r="N8" s="1195"/>
      <c r="O8" s="1197"/>
    </row>
    <row r="9" spans="2:15" ht="18.75" x14ac:dyDescent="0.3">
      <c r="B9" s="1198"/>
      <c r="C9" s="2030" t="s">
        <v>1073</v>
      </c>
      <c r="D9" s="2030"/>
      <c r="E9" s="2030"/>
      <c r="F9" s="2030"/>
      <c r="G9" s="2030"/>
      <c r="H9" s="2030"/>
      <c r="I9" s="2030"/>
      <c r="J9" s="2030"/>
      <c r="K9" s="2030"/>
      <c r="L9" s="2030"/>
      <c r="M9" s="2030"/>
      <c r="N9" s="2030"/>
      <c r="O9" s="1199"/>
    </row>
    <row r="10" spans="2:15" x14ac:dyDescent="0.25">
      <c r="B10" s="1198"/>
      <c r="C10" s="402"/>
      <c r="D10" s="402"/>
      <c r="E10" s="806"/>
      <c r="F10" s="806"/>
      <c r="G10" s="806"/>
      <c r="H10" s="402"/>
      <c r="I10" s="402"/>
      <c r="J10" s="402"/>
      <c r="K10" s="402"/>
      <c r="L10" s="402"/>
      <c r="M10" s="402"/>
      <c r="N10" s="402"/>
      <c r="O10" s="1199"/>
    </row>
    <row r="11" spans="2:15" x14ac:dyDescent="0.25">
      <c r="B11" s="1198"/>
      <c r="C11" s="927" t="s">
        <v>63</v>
      </c>
      <c r="D11" s="1200" t="str">
        <f>IF('1A'!G5="","Enter Project Name on Form 1A",'1A'!G5)</f>
        <v>Liberty Bank Building</v>
      </c>
      <c r="E11" s="1200"/>
      <c r="F11" s="1200"/>
      <c r="G11" s="1201"/>
      <c r="H11" s="1128"/>
      <c r="I11" s="402"/>
      <c r="J11" s="402"/>
      <c r="K11" s="402"/>
      <c r="L11" s="402"/>
      <c r="M11" s="402"/>
      <c r="N11" s="402"/>
      <c r="O11" s="1199"/>
    </row>
    <row r="12" spans="2:15" ht="22.5" customHeight="1" x14ac:dyDescent="0.25">
      <c r="B12" s="1198"/>
      <c r="C12" s="402"/>
      <c r="D12" s="402"/>
      <c r="E12" s="806"/>
      <c r="F12" s="806"/>
      <c r="G12" s="806"/>
      <c r="H12" s="402"/>
      <c r="I12" s="402"/>
      <c r="J12" s="402"/>
      <c r="K12" s="402"/>
      <c r="L12" s="402"/>
      <c r="M12" s="402"/>
      <c r="N12" s="402"/>
      <c r="O12" s="1199"/>
    </row>
    <row r="13" spans="2:15" ht="15.75" thickBot="1" x14ac:dyDescent="0.3">
      <c r="B13" s="1198"/>
      <c r="C13" s="927" t="s">
        <v>316</v>
      </c>
      <c r="D13" s="402"/>
      <c r="E13" s="1202"/>
      <c r="F13" s="1202"/>
      <c r="G13" s="1202"/>
      <c r="H13" s="1128"/>
      <c r="I13" s="1128"/>
      <c r="J13" s="402"/>
      <c r="K13" s="402"/>
      <c r="L13" s="402"/>
      <c r="M13" s="1128"/>
      <c r="N13" s="1128"/>
      <c r="O13" s="1203"/>
    </row>
    <row r="14" spans="2:15" ht="27" thickBot="1" x14ac:dyDescent="0.3">
      <c r="B14" s="1204"/>
      <c r="C14" s="2120" t="s">
        <v>317</v>
      </c>
      <c r="D14" s="2121"/>
      <c r="E14" s="1205" t="s">
        <v>318</v>
      </c>
      <c r="F14" s="1206" t="s">
        <v>319</v>
      </c>
      <c r="G14" s="1207" t="s">
        <v>320</v>
      </c>
      <c r="H14" s="1207" t="s">
        <v>661</v>
      </c>
      <c r="I14" s="1208" t="s">
        <v>321</v>
      </c>
      <c r="J14" s="2139" t="s">
        <v>322</v>
      </c>
      <c r="K14" s="2140"/>
      <c r="L14" s="402"/>
      <c r="M14" s="1209"/>
      <c r="N14" s="1209"/>
      <c r="O14" s="1210"/>
    </row>
    <row r="15" spans="2:15" x14ac:dyDescent="0.25">
      <c r="B15" s="1198"/>
      <c r="C15" s="2133" t="s">
        <v>1440</v>
      </c>
      <c r="D15" s="2134"/>
      <c r="E15" s="346"/>
      <c r="F15" s="347">
        <v>580000</v>
      </c>
      <c r="G15" s="348">
        <v>0.03</v>
      </c>
      <c r="H15" s="349">
        <v>3</v>
      </c>
      <c r="I15" s="1234" t="s">
        <v>1525</v>
      </c>
      <c r="J15" s="2141" t="s">
        <v>1513</v>
      </c>
      <c r="K15" s="2142"/>
      <c r="L15" s="402"/>
      <c r="M15" s="402"/>
      <c r="N15" s="402"/>
      <c r="O15" s="1199"/>
    </row>
    <row r="16" spans="2:15" x14ac:dyDescent="0.25">
      <c r="B16" s="1198"/>
      <c r="C16" s="2135" t="s">
        <v>1441</v>
      </c>
      <c r="D16" s="2136"/>
      <c r="E16" s="313"/>
      <c r="F16" s="314">
        <v>400000</v>
      </c>
      <c r="G16" s="315">
        <v>0.06</v>
      </c>
      <c r="H16" s="316">
        <v>3</v>
      </c>
      <c r="I16" s="1235" t="s">
        <v>1525</v>
      </c>
      <c r="J16" s="2143" t="s">
        <v>1513</v>
      </c>
      <c r="K16" s="2144"/>
      <c r="L16" s="402"/>
      <c r="M16" s="402"/>
      <c r="N16" s="402"/>
      <c r="O16" s="1199"/>
    </row>
    <row r="17" spans="2:16" ht="15.75" thickBot="1" x14ac:dyDescent="0.3">
      <c r="B17" s="1198"/>
      <c r="C17" s="2137" t="s">
        <v>1408</v>
      </c>
      <c r="D17" s="2138"/>
      <c r="E17" s="317"/>
      <c r="F17" s="318"/>
      <c r="G17" s="319"/>
      <c r="H17" s="320"/>
      <c r="I17" s="1236"/>
      <c r="J17" s="2145"/>
      <c r="K17" s="2146"/>
      <c r="L17" s="402"/>
      <c r="M17" s="402"/>
      <c r="N17" s="402"/>
      <c r="O17" s="1199"/>
    </row>
    <row r="18" spans="2:16" ht="15.75" thickBot="1" x14ac:dyDescent="0.3">
      <c r="B18" s="1198"/>
      <c r="C18" s="2147" t="s">
        <v>323</v>
      </c>
      <c r="D18" s="2148"/>
      <c r="E18" s="1211">
        <f>SUM(E15:E17)</f>
        <v>0</v>
      </c>
      <c r="F18" s="1212">
        <f>SUM(F15:F17)</f>
        <v>980000</v>
      </c>
      <c r="G18" s="321"/>
      <c r="H18" s="402"/>
      <c r="I18" s="402"/>
      <c r="J18" s="402"/>
      <c r="K18" s="402"/>
      <c r="L18" s="402"/>
      <c r="M18" s="402"/>
      <c r="N18" s="402"/>
      <c r="O18" s="1199"/>
    </row>
    <row r="19" spans="2:16" ht="3.75" customHeight="1" thickBot="1" x14ac:dyDescent="0.3">
      <c r="B19" s="1198"/>
      <c r="C19" s="322"/>
      <c r="D19" s="402"/>
      <c r="E19" s="338"/>
      <c r="F19" s="338"/>
      <c r="G19" s="321"/>
      <c r="H19" s="402"/>
      <c r="I19" s="402"/>
      <c r="J19" s="402"/>
      <c r="K19" s="402"/>
      <c r="L19" s="402"/>
      <c r="M19" s="402"/>
      <c r="N19" s="402"/>
      <c r="O19" s="1199"/>
    </row>
    <row r="20" spans="2:16" ht="15.75" thickBot="1" x14ac:dyDescent="0.3">
      <c r="B20" s="1198"/>
      <c r="C20" s="1213"/>
      <c r="D20" s="1214" t="s">
        <v>324</v>
      </c>
      <c r="E20" s="820"/>
      <c r="F20" s="345">
        <f>E18+F18</f>
        <v>980000</v>
      </c>
      <c r="G20" s="806"/>
      <c r="H20" s="402"/>
      <c r="I20" s="402"/>
      <c r="J20" s="402"/>
      <c r="K20" s="402"/>
      <c r="L20" s="402"/>
      <c r="M20" s="402"/>
      <c r="N20" s="402"/>
      <c r="O20" s="1199"/>
    </row>
    <row r="21" spans="2:16" ht="7.5" customHeight="1" x14ac:dyDescent="0.25">
      <c r="B21" s="1198"/>
      <c r="C21" s="402"/>
      <c r="D21" s="402"/>
      <c r="E21" s="806"/>
      <c r="F21" s="806"/>
      <c r="G21" s="806"/>
      <c r="H21" s="402"/>
      <c r="I21" s="402"/>
      <c r="J21" s="402"/>
      <c r="K21" s="402"/>
      <c r="L21" s="402"/>
      <c r="M21" s="402"/>
      <c r="N21" s="402"/>
      <c r="O21" s="1199"/>
    </row>
    <row r="22" spans="2:16" ht="15.75" thickBot="1" x14ac:dyDescent="0.3">
      <c r="B22" s="1198"/>
      <c r="C22" s="927" t="s">
        <v>325</v>
      </c>
      <c r="D22" s="402"/>
      <c r="E22" s="1202"/>
      <c r="F22" s="1202"/>
      <c r="G22" s="1202"/>
      <c r="H22" s="1128"/>
      <c r="I22" s="1128"/>
      <c r="J22" s="402"/>
      <c r="K22" s="402"/>
      <c r="L22" s="402"/>
      <c r="M22" s="1128"/>
      <c r="N22" s="1128"/>
      <c r="O22" s="1203"/>
    </row>
    <row r="23" spans="2:16" ht="27" thickBot="1" x14ac:dyDescent="0.3">
      <c r="B23" s="1204"/>
      <c r="C23" s="2120" t="s">
        <v>326</v>
      </c>
      <c r="D23" s="2121"/>
      <c r="E23" s="1206" t="s">
        <v>318</v>
      </c>
      <c r="F23" s="1206" t="s">
        <v>319</v>
      </c>
      <c r="G23" s="1206" t="s">
        <v>327</v>
      </c>
      <c r="H23" s="1206" t="s">
        <v>328</v>
      </c>
      <c r="I23" s="1208" t="s">
        <v>329</v>
      </c>
      <c r="J23" s="1206" t="s">
        <v>330</v>
      </c>
      <c r="K23" s="1207" t="s">
        <v>320</v>
      </c>
      <c r="L23" s="1207" t="s">
        <v>331</v>
      </c>
      <c r="M23" s="1208" t="s">
        <v>321</v>
      </c>
      <c r="N23" s="1215" t="s">
        <v>659</v>
      </c>
      <c r="O23" s="1210"/>
    </row>
    <row r="24" spans="2:16" x14ac:dyDescent="0.25">
      <c r="B24" s="1198"/>
      <c r="C24" s="2128" t="s">
        <v>1442</v>
      </c>
      <c r="D24" s="2129"/>
      <c r="E24" s="326">
        <v>11980000</v>
      </c>
      <c r="F24" s="312"/>
      <c r="G24" s="328" t="s">
        <v>1531</v>
      </c>
      <c r="H24" s="329" t="s">
        <v>1532</v>
      </c>
      <c r="I24" s="1881">
        <v>42263</v>
      </c>
      <c r="J24" s="1884">
        <v>42339</v>
      </c>
      <c r="K24" s="1804">
        <v>0.01</v>
      </c>
      <c r="L24" s="327">
        <v>50</v>
      </c>
      <c r="M24" s="327">
        <v>50</v>
      </c>
      <c r="N24" s="323" t="s">
        <v>1535</v>
      </c>
      <c r="O24" s="1199"/>
      <c r="P24" s="1193"/>
    </row>
    <row r="25" spans="2:16" x14ac:dyDescent="0.25">
      <c r="B25" s="1198"/>
      <c r="C25" s="2130" t="s">
        <v>1443</v>
      </c>
      <c r="D25" s="2131"/>
      <c r="E25" s="330">
        <v>1000000</v>
      </c>
      <c r="F25" s="314"/>
      <c r="G25" s="332" t="s">
        <v>1531</v>
      </c>
      <c r="H25" s="333" t="s">
        <v>1532</v>
      </c>
      <c r="I25" s="1882">
        <v>42261</v>
      </c>
      <c r="J25" s="1885">
        <v>42339</v>
      </c>
      <c r="K25" s="1805">
        <v>0.01</v>
      </c>
      <c r="L25" s="331">
        <v>40</v>
      </c>
      <c r="M25" s="331">
        <v>40</v>
      </c>
      <c r="N25" s="324" t="s">
        <v>1535</v>
      </c>
      <c r="O25" s="1199"/>
    </row>
    <row r="26" spans="2:16" x14ac:dyDescent="0.25">
      <c r="B26" s="1198"/>
      <c r="C26" s="2130" t="s">
        <v>1511</v>
      </c>
      <c r="D26" s="2131"/>
      <c r="E26" s="330">
        <v>6932376</v>
      </c>
      <c r="F26" s="314"/>
      <c r="G26" s="332" t="s">
        <v>1531</v>
      </c>
      <c r="H26" s="333" t="s">
        <v>1533</v>
      </c>
      <c r="I26" s="1883">
        <v>42736</v>
      </c>
      <c r="J26" s="1882">
        <v>42856</v>
      </c>
      <c r="K26" s="1805">
        <v>0.05</v>
      </c>
      <c r="L26" s="331">
        <v>17</v>
      </c>
      <c r="M26" s="331">
        <v>30</v>
      </c>
      <c r="N26" s="324" t="s">
        <v>1534</v>
      </c>
      <c r="O26" s="1199"/>
    </row>
    <row r="27" spans="2:16" x14ac:dyDescent="0.25">
      <c r="B27" s="1198"/>
      <c r="C27" s="2130" t="s">
        <v>1514</v>
      </c>
      <c r="D27" s="2131"/>
      <c r="E27" s="330">
        <v>1313231</v>
      </c>
      <c r="F27" s="314"/>
      <c r="G27" s="332" t="s">
        <v>1531</v>
      </c>
      <c r="H27" s="333" t="s">
        <v>1533</v>
      </c>
      <c r="I27" s="1883">
        <v>42736</v>
      </c>
      <c r="J27" s="1882">
        <v>42856</v>
      </c>
      <c r="K27" s="1805"/>
      <c r="L27" s="331">
        <v>12</v>
      </c>
      <c r="M27" s="331"/>
      <c r="N27" s="324" t="s">
        <v>1534</v>
      </c>
      <c r="O27" s="1199"/>
    </row>
    <row r="28" spans="2:16" ht="15.75" thickBot="1" x14ac:dyDescent="0.3">
      <c r="B28" s="1198"/>
      <c r="C28" s="2124"/>
      <c r="D28" s="2125"/>
      <c r="E28" s="334"/>
      <c r="F28" s="318"/>
      <c r="G28" s="336"/>
      <c r="H28" s="337"/>
      <c r="I28" s="335"/>
      <c r="J28" s="1806"/>
      <c r="K28" s="1807"/>
      <c r="L28" s="335"/>
      <c r="M28" s="335"/>
      <c r="N28" s="325"/>
      <c r="O28" s="1199"/>
    </row>
    <row r="29" spans="2:16" ht="15.75" thickBot="1" x14ac:dyDescent="0.3">
      <c r="B29" s="1198"/>
      <c r="C29" s="2126" t="s">
        <v>332</v>
      </c>
      <c r="D29" s="2127"/>
      <c r="E29" s="343">
        <f>SUM(E24:E28)</f>
        <v>21225607</v>
      </c>
      <c r="F29" s="344">
        <f>SUM(F24:F28)</f>
        <v>0</v>
      </c>
      <c r="G29" s="1216"/>
      <c r="H29" s="1217"/>
      <c r="I29" s="792"/>
      <c r="J29" s="402"/>
      <c r="K29" s="402"/>
      <c r="L29" s="402"/>
      <c r="M29" s="792"/>
      <c r="N29" s="792"/>
      <c r="O29" s="1218"/>
    </row>
    <row r="30" spans="2:16" ht="3.75" customHeight="1" thickBot="1" x14ac:dyDescent="0.3">
      <c r="B30" s="1198"/>
      <c r="C30" s="322"/>
      <c r="D30" s="402"/>
      <c r="E30" s="338"/>
      <c r="F30" s="338"/>
      <c r="G30" s="321"/>
      <c r="H30" s="1219"/>
      <c r="I30" s="792"/>
      <c r="J30" s="402"/>
      <c r="K30" s="402"/>
      <c r="L30" s="402"/>
      <c r="M30" s="792"/>
      <c r="N30" s="792"/>
      <c r="O30" s="1218"/>
    </row>
    <row r="31" spans="2:16" ht="15.75" thickBot="1" x14ac:dyDescent="0.3">
      <c r="B31" s="1198"/>
      <c r="C31" s="820"/>
      <c r="D31" s="792" t="s">
        <v>333</v>
      </c>
      <c r="E31" s="792"/>
      <c r="F31" s="345">
        <f>E29+F29</f>
        <v>21225607</v>
      </c>
      <c r="G31" s="321"/>
      <c r="H31" s="1219"/>
      <c r="I31" s="792"/>
      <c r="J31" s="402"/>
      <c r="K31" s="402"/>
      <c r="L31" s="402"/>
      <c r="M31" s="792"/>
      <c r="N31" s="792"/>
      <c r="O31" s="1218"/>
    </row>
    <row r="32" spans="2:16" ht="3.75" customHeight="1" thickBot="1" x14ac:dyDescent="0.3">
      <c r="B32" s="1198"/>
      <c r="C32" s="402"/>
      <c r="D32" s="820"/>
      <c r="E32" s="338"/>
      <c r="F32" s="339"/>
      <c r="G32" s="321"/>
      <c r="H32" s="1219"/>
      <c r="I32" s="792"/>
      <c r="J32" s="402"/>
      <c r="K32" s="402"/>
      <c r="L32" s="402"/>
      <c r="M32" s="792"/>
      <c r="N32" s="792"/>
      <c r="O32" s="1218"/>
    </row>
    <row r="33" spans="2:15" ht="15.75" thickBot="1" x14ac:dyDescent="0.3">
      <c r="B33" s="1198"/>
      <c r="C33" s="820"/>
      <c r="D33" s="792" t="s">
        <v>334</v>
      </c>
      <c r="E33" s="792"/>
      <c r="F33" s="345">
        <f>'6D'!G52*'6D'!G40*10</f>
        <v>8824244.6079999991</v>
      </c>
      <c r="G33" s="1220" t="s">
        <v>335</v>
      </c>
      <c r="H33" s="1219"/>
      <c r="I33" s="792"/>
      <c r="J33" s="402"/>
      <c r="K33" s="402"/>
      <c r="L33" s="402"/>
      <c r="M33" s="792"/>
      <c r="N33" s="792"/>
      <c r="O33" s="1218"/>
    </row>
    <row r="34" spans="2:15" ht="3.75" customHeight="1" thickBot="1" x14ac:dyDescent="0.3">
      <c r="B34" s="1198"/>
      <c r="C34" s="402"/>
      <c r="D34" s="820"/>
      <c r="E34" s="340"/>
      <c r="F34" s="339"/>
      <c r="G34" s="321"/>
      <c r="H34" s="1219"/>
      <c r="I34" s="792"/>
      <c r="J34" s="402"/>
      <c r="K34" s="402"/>
      <c r="L34" s="402"/>
      <c r="M34" s="792"/>
      <c r="N34" s="792"/>
      <c r="O34" s="1218"/>
    </row>
    <row r="35" spans="2:15" ht="15.75" thickBot="1" x14ac:dyDescent="0.3">
      <c r="B35" s="1198"/>
      <c r="C35" s="820"/>
      <c r="D35" s="792" t="s">
        <v>336</v>
      </c>
      <c r="E35" s="792"/>
      <c r="F35" s="345">
        <f>F31+F33</f>
        <v>30049851.607999999</v>
      </c>
      <c r="G35" s="806"/>
      <c r="H35" s="1219"/>
      <c r="I35" s="792"/>
      <c r="J35" s="2132"/>
      <c r="K35" s="2132"/>
      <c r="L35" s="2132"/>
      <c r="M35" s="2132"/>
      <c r="N35" s="402"/>
      <c r="O35" s="1199"/>
    </row>
    <row r="36" spans="2:15" ht="7.5" customHeight="1" x14ac:dyDescent="0.25">
      <c r="B36" s="1198"/>
      <c r="C36" s="402"/>
      <c r="D36" s="402"/>
      <c r="E36" s="806"/>
      <c r="F36" s="1221"/>
      <c r="G36" s="806"/>
      <c r="H36" s="402"/>
      <c r="I36" s="402"/>
      <c r="J36" s="402"/>
      <c r="K36" s="402"/>
      <c r="L36" s="402"/>
      <c r="M36" s="402"/>
      <c r="N36" s="402"/>
      <c r="O36" s="1199"/>
    </row>
    <row r="37" spans="2:15" ht="15.75" thickBot="1" x14ac:dyDescent="0.3">
      <c r="B37" s="1198"/>
      <c r="C37" s="927" t="s">
        <v>337</v>
      </c>
      <c r="D37" s="402"/>
      <c r="E37" s="806"/>
      <c r="F37" s="1221"/>
      <c r="G37" s="806"/>
      <c r="H37" s="402"/>
      <c r="I37" s="402"/>
      <c r="J37" s="402"/>
      <c r="K37" s="402"/>
      <c r="L37" s="402"/>
      <c r="M37" s="402"/>
      <c r="N37" s="402"/>
      <c r="O37" s="1199"/>
    </row>
    <row r="38" spans="2:15" ht="39.75" thickBot="1" x14ac:dyDescent="0.3">
      <c r="B38" s="1198"/>
      <c r="C38" s="2120" t="s">
        <v>658</v>
      </c>
      <c r="D38" s="2121"/>
      <c r="E38" s="1206" t="s">
        <v>318</v>
      </c>
      <c r="F38" s="1206" t="s">
        <v>319</v>
      </c>
      <c r="G38" s="1206" t="s">
        <v>327</v>
      </c>
      <c r="H38" s="1206" t="s">
        <v>328</v>
      </c>
      <c r="I38" s="1208" t="s">
        <v>329</v>
      </c>
      <c r="J38" s="1222" t="s">
        <v>330</v>
      </c>
      <c r="K38" s="1207" t="s">
        <v>320</v>
      </c>
      <c r="L38" s="1207" t="s">
        <v>331</v>
      </c>
      <c r="M38" s="1208" t="s">
        <v>321</v>
      </c>
      <c r="N38" s="1215" t="s">
        <v>660</v>
      </c>
      <c r="O38" s="1199"/>
    </row>
    <row r="39" spans="2:15" x14ac:dyDescent="0.25">
      <c r="B39" s="1198"/>
      <c r="C39" s="2122" t="s">
        <v>1439</v>
      </c>
      <c r="D39" s="2123"/>
      <c r="E39" s="350">
        <v>249806</v>
      </c>
      <c r="F39" s="347"/>
      <c r="G39" s="328" t="s">
        <v>1531</v>
      </c>
      <c r="H39" s="329" t="s">
        <v>1533</v>
      </c>
      <c r="I39" s="1886">
        <v>42736</v>
      </c>
      <c r="J39" s="1884">
        <v>42856</v>
      </c>
      <c r="K39" s="1808">
        <v>5</v>
      </c>
      <c r="L39" s="351">
        <v>10</v>
      </c>
      <c r="M39" s="351">
        <v>10</v>
      </c>
      <c r="N39" s="352" t="s">
        <v>1536</v>
      </c>
      <c r="O39" s="1199"/>
    </row>
    <row r="40" spans="2:15" ht="15.75" thickBot="1" x14ac:dyDescent="0.3">
      <c r="B40" s="1198"/>
      <c r="C40" s="2124"/>
      <c r="D40" s="2125"/>
      <c r="E40" s="334"/>
      <c r="F40" s="318"/>
      <c r="G40" s="336"/>
      <c r="H40" s="337"/>
      <c r="I40" s="341"/>
      <c r="J40" s="1806"/>
      <c r="K40" s="1809"/>
      <c r="L40" s="341"/>
      <c r="M40" s="341"/>
      <c r="N40" s="342"/>
      <c r="O40" s="1199"/>
    </row>
    <row r="41" spans="2:15" ht="15.75" thickBot="1" x14ac:dyDescent="0.3">
      <c r="B41" s="1198"/>
      <c r="C41" s="2126" t="s">
        <v>332</v>
      </c>
      <c r="D41" s="2127"/>
      <c r="E41" s="1223">
        <f>SUM(E39:E40)</f>
        <v>249806</v>
      </c>
      <c r="F41" s="1224">
        <f>SUM(F39:F40)</f>
        <v>0</v>
      </c>
      <c r="G41" s="321"/>
      <c r="H41" s="792"/>
      <c r="I41" s="402"/>
      <c r="J41" s="402"/>
      <c r="K41" s="402"/>
      <c r="L41" s="402"/>
      <c r="M41" s="402"/>
      <c r="N41" s="402"/>
      <c r="O41" s="1199"/>
    </row>
    <row r="42" spans="2:15" ht="3.75" customHeight="1" thickBot="1" x14ac:dyDescent="0.3">
      <c r="B42" s="1198"/>
      <c r="C42" s="792"/>
      <c r="D42" s="402"/>
      <c r="E42" s="338"/>
      <c r="F42" s="339"/>
      <c r="G42" s="321"/>
      <c r="H42" s="792"/>
      <c r="I42" s="402"/>
      <c r="J42" s="402"/>
      <c r="K42" s="402"/>
      <c r="L42" s="402"/>
      <c r="M42" s="402"/>
      <c r="N42" s="402"/>
      <c r="O42" s="1199"/>
    </row>
    <row r="43" spans="2:15" ht="16.5" thickBot="1" x14ac:dyDescent="0.3">
      <c r="B43" s="1198"/>
      <c r="C43" s="1213"/>
      <c r="D43" s="792" t="s">
        <v>338</v>
      </c>
      <c r="E43" s="1225"/>
      <c r="F43" s="345">
        <f>E41+F41</f>
        <v>249806</v>
      </c>
      <c r="G43" s="321"/>
      <c r="H43" s="1226"/>
      <c r="I43" s="792"/>
      <c r="J43" s="792"/>
      <c r="K43" s="792"/>
      <c r="L43" s="792"/>
      <c r="M43" s="792"/>
      <c r="N43" s="402"/>
      <c r="O43" s="1199"/>
    </row>
    <row r="44" spans="2:15" ht="9" customHeight="1" thickBot="1" x14ac:dyDescent="0.3">
      <c r="B44" s="1227"/>
      <c r="C44" s="1228"/>
      <c r="D44" s="1229"/>
      <c r="E44" s="1230"/>
      <c r="F44" s="1231"/>
      <c r="G44" s="1231"/>
      <c r="H44" s="1232"/>
      <c r="I44" s="1232"/>
      <c r="J44" s="1229"/>
      <c r="K44" s="1229"/>
      <c r="L44" s="1229"/>
      <c r="M44" s="1232"/>
      <c r="N44" s="1232"/>
      <c r="O44" s="1233"/>
    </row>
  </sheetData>
  <sheetProtection password="9F6B" sheet="1" objects="1" scenarios="1" formatCells="0" formatColumns="0" formatRows="0" insertRows="0"/>
  <mergeCells count="22">
    <mergeCell ref="J35:M35"/>
    <mergeCell ref="C9:N9"/>
    <mergeCell ref="C15:D15"/>
    <mergeCell ref="C14:D14"/>
    <mergeCell ref="C16:D16"/>
    <mergeCell ref="C17:D17"/>
    <mergeCell ref="J14:K14"/>
    <mergeCell ref="J15:K15"/>
    <mergeCell ref="J16:K16"/>
    <mergeCell ref="J17:K17"/>
    <mergeCell ref="C18:D18"/>
    <mergeCell ref="C38:D38"/>
    <mergeCell ref="C39:D39"/>
    <mergeCell ref="C40:D40"/>
    <mergeCell ref="C41:D41"/>
    <mergeCell ref="C23:D23"/>
    <mergeCell ref="C24:D24"/>
    <mergeCell ref="C25:D25"/>
    <mergeCell ref="C26:D26"/>
    <mergeCell ref="C27:D27"/>
    <mergeCell ref="C28:D28"/>
    <mergeCell ref="C29:D29"/>
  </mergeCells>
  <dataValidations count="2">
    <dataValidation type="list" allowBlank="1" showInputMessage="1" showErrorMessage="1" sqref="G24:G28 G39:G40">
      <formula1>"Grant,Loan"</formula1>
    </dataValidation>
    <dataValidation type="list" allowBlank="1" showInputMessage="1" showErrorMessage="1" sqref="H24:H28 H39:H40">
      <formula1>"Public,Private"</formula1>
    </dataValidation>
  </dataValidations>
  <pageMargins left="0.7" right="0.7" top="0.75" bottom="0.75" header="0.3" footer="0.3"/>
  <pageSetup scale="77" orientation="landscape" r:id="rId1"/>
  <headerFooter>
    <oddFooter>&amp;LForm 7A
Financing Sources&amp;CCFA Forms&amp;REdition: 2015
Version: 1.1</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9:AB109"/>
  <sheetViews>
    <sheetView showGridLines="0" topLeftCell="A79" zoomScaleNormal="100" workbookViewId="0">
      <selection activeCell="G84" sqref="G84"/>
    </sheetView>
  </sheetViews>
  <sheetFormatPr defaultRowHeight="15" x14ac:dyDescent="0.25"/>
  <cols>
    <col min="1" max="2" width="1.7109375" style="843" customWidth="1"/>
    <col min="3" max="3" width="14.28515625" style="843" customWidth="1"/>
    <col min="4" max="4" width="12.85546875" style="843" customWidth="1"/>
    <col min="5" max="13" width="11.42578125" style="843" customWidth="1"/>
    <col min="14" max="14" width="1.7109375" style="843" customWidth="1"/>
    <col min="15" max="15" width="9.140625" style="843" customWidth="1"/>
    <col min="16" max="16" width="9.7109375" style="843" customWidth="1"/>
    <col min="17" max="25" width="9.140625" style="843" customWidth="1"/>
    <col min="26" max="26" width="14.28515625" style="1871" customWidth="1"/>
    <col min="27" max="28" width="11.85546875" style="843" customWidth="1"/>
    <col min="29" max="34" width="9.140625" style="843" customWidth="1"/>
    <col min="35" max="16384" width="9.140625" style="843"/>
  </cols>
  <sheetData>
    <row r="9" spans="2:14" ht="9" customHeight="1" thickBot="1" x14ac:dyDescent="0.3"/>
    <row r="10" spans="2:14" ht="9" customHeight="1" x14ac:dyDescent="0.25">
      <c r="B10" s="1237"/>
      <c r="C10" s="1238"/>
      <c r="D10" s="1238"/>
      <c r="E10" s="1238"/>
      <c r="F10" s="1238"/>
      <c r="G10" s="1238"/>
      <c r="H10" s="1238"/>
      <c r="I10" s="1238"/>
      <c r="J10" s="1238"/>
      <c r="K10" s="1238"/>
      <c r="L10" s="1238"/>
      <c r="M10" s="1238"/>
      <c r="N10" s="1239"/>
    </row>
    <row r="11" spans="2:14" ht="18.75" x14ac:dyDescent="0.3">
      <c r="B11" s="1240"/>
      <c r="C11" s="1653" t="s">
        <v>1074</v>
      </c>
      <c r="D11" s="1653"/>
      <c r="E11" s="1654"/>
      <c r="F11" s="1654"/>
      <c r="G11" s="1654"/>
      <c r="H11" s="1654"/>
      <c r="I11" s="1654"/>
      <c r="J11" s="1654"/>
      <c r="K11" s="1654"/>
      <c r="L11" s="1654"/>
      <c r="M11" s="1654"/>
      <c r="N11" s="1241"/>
    </row>
    <row r="12" spans="2:14" ht="15" customHeight="1" x14ac:dyDescent="0.25">
      <c r="B12" s="1240"/>
      <c r="C12" s="903"/>
      <c r="D12" s="903"/>
      <c r="E12" s="903"/>
      <c r="F12" s="903"/>
      <c r="G12" s="903"/>
      <c r="H12" s="903"/>
      <c r="I12" s="903"/>
      <c r="J12" s="903"/>
      <c r="K12" s="903"/>
      <c r="L12" s="903"/>
      <c r="M12" s="903"/>
      <c r="N12" s="1241"/>
    </row>
    <row r="13" spans="2:14" x14ac:dyDescent="0.25">
      <c r="B13" s="1242"/>
      <c r="C13" s="1243" t="s">
        <v>339</v>
      </c>
      <c r="D13" s="1244" t="str">
        <f>IF('1A'!G5="","Enter Project Name on Form 1A",'1A'!G5)</f>
        <v>Liberty Bank Building</v>
      </c>
      <c r="E13" s="1244"/>
      <c r="F13" s="1244"/>
      <c r="G13" s="1244"/>
      <c r="H13" s="1244"/>
      <c r="I13" s="1244"/>
      <c r="J13" s="1245"/>
      <c r="K13" s="212"/>
      <c r="L13" s="809"/>
      <c r="M13" s="809"/>
      <c r="N13" s="1241"/>
    </row>
    <row r="14" spans="2:14" ht="7.5" customHeight="1" x14ac:dyDescent="0.25">
      <c r="B14" s="1242"/>
      <c r="C14" s="1246"/>
      <c r="D14" s="1246"/>
      <c r="E14" s="1247"/>
      <c r="F14" s="1247"/>
      <c r="G14" s="1247"/>
      <c r="H14" s="212"/>
      <c r="I14" s="212"/>
      <c r="J14" s="212"/>
      <c r="K14" s="212"/>
      <c r="L14" s="217"/>
      <c r="M14" s="212"/>
      <c r="N14" s="1241"/>
    </row>
    <row r="15" spans="2:14" x14ac:dyDescent="0.25">
      <c r="B15" s="1242"/>
      <c r="C15" s="217" t="s">
        <v>340</v>
      </c>
      <c r="D15" s="1876">
        <v>42261</v>
      </c>
      <c r="E15" s="1247"/>
      <c r="F15" s="1247"/>
      <c r="G15" s="1247"/>
      <c r="H15" s="212"/>
      <c r="I15" s="212"/>
      <c r="J15" s="212"/>
      <c r="K15" s="212"/>
      <c r="L15" s="217"/>
      <c r="M15" s="212"/>
      <c r="N15" s="1241"/>
    </row>
    <row r="16" spans="2:14" ht="15" customHeight="1" x14ac:dyDescent="0.25">
      <c r="B16" s="1242"/>
      <c r="C16" s="809"/>
      <c r="D16" s="809"/>
      <c r="E16" s="1246"/>
      <c r="F16" s="1248"/>
      <c r="G16" s="1249"/>
      <c r="H16" s="1250"/>
      <c r="I16" s="1246"/>
      <c r="J16" s="1246"/>
      <c r="K16" s="1246"/>
      <c r="L16" s="836"/>
      <c r="M16" s="836"/>
      <c r="N16" s="1241"/>
    </row>
    <row r="17" spans="2:23" ht="15.75" thickBot="1" x14ac:dyDescent="0.3">
      <c r="B17" s="1242"/>
      <c r="C17" s="211" t="s">
        <v>341</v>
      </c>
      <c r="D17" s="211"/>
      <c r="E17" s="1251"/>
      <c r="F17" s="1252"/>
      <c r="G17" s="212"/>
      <c r="H17" s="212"/>
      <c r="I17" s="212"/>
      <c r="J17" s="212"/>
      <c r="K17" s="1253"/>
      <c r="L17" s="212"/>
      <c r="M17" s="212"/>
      <c r="N17" s="1241"/>
    </row>
    <row r="18" spans="2:23" x14ac:dyDescent="0.25">
      <c r="B18" s="1242"/>
      <c r="C18" s="212"/>
      <c r="D18" s="212"/>
      <c r="E18" s="236" t="s">
        <v>342</v>
      </c>
      <c r="F18" s="237" t="s">
        <v>343</v>
      </c>
      <c r="G18" s="238" t="s">
        <v>344</v>
      </c>
      <c r="H18" s="237" t="s">
        <v>345</v>
      </c>
      <c r="I18" s="238" t="s">
        <v>342</v>
      </c>
      <c r="J18" s="237" t="s">
        <v>343</v>
      </c>
      <c r="K18" s="238" t="s">
        <v>344</v>
      </c>
      <c r="L18" s="239" t="s">
        <v>345</v>
      </c>
      <c r="M18" s="809"/>
      <c r="N18" s="1241"/>
      <c r="P18" s="1888" t="s">
        <v>342</v>
      </c>
      <c r="Q18" s="1889" t="s">
        <v>343</v>
      </c>
      <c r="R18" s="1890" t="s">
        <v>344</v>
      </c>
      <c r="S18" s="1889" t="s">
        <v>345</v>
      </c>
      <c r="T18" s="1890" t="s">
        <v>342</v>
      </c>
      <c r="U18" s="1889" t="s">
        <v>343</v>
      </c>
      <c r="V18" s="1890" t="s">
        <v>344</v>
      </c>
      <c r="W18" s="1891" t="s">
        <v>345</v>
      </c>
    </row>
    <row r="19" spans="2:23" ht="15.75" thickBot="1" x14ac:dyDescent="0.3">
      <c r="B19" s="1242"/>
      <c r="C19" s="213" t="s">
        <v>316</v>
      </c>
      <c r="D19" s="213"/>
      <c r="E19" s="1655">
        <v>42278</v>
      </c>
      <c r="F19" s="1656">
        <v>42370</v>
      </c>
      <c r="G19" s="1656">
        <v>42461</v>
      </c>
      <c r="H19" s="1656">
        <v>42552</v>
      </c>
      <c r="I19" s="1656">
        <v>42644</v>
      </c>
      <c r="J19" s="1656">
        <v>42736</v>
      </c>
      <c r="K19" s="1656">
        <v>42826</v>
      </c>
      <c r="L19" s="1657">
        <v>42917</v>
      </c>
      <c r="M19" s="809"/>
      <c r="N19" s="1241"/>
      <c r="P19" s="1655">
        <v>42278</v>
      </c>
      <c r="Q19" s="1656">
        <v>42370</v>
      </c>
      <c r="R19" s="1656">
        <v>42461</v>
      </c>
      <c r="S19" s="1656">
        <v>42552</v>
      </c>
      <c r="T19" s="1656">
        <v>42644</v>
      </c>
      <c r="U19" s="1656">
        <v>42736</v>
      </c>
      <c r="V19" s="1656">
        <v>42826</v>
      </c>
      <c r="W19" s="1657">
        <v>42917</v>
      </c>
    </row>
    <row r="20" spans="2:23" x14ac:dyDescent="0.25">
      <c r="B20" s="1242"/>
      <c r="C20" s="1254" t="s">
        <v>346</v>
      </c>
      <c r="D20" s="1254"/>
      <c r="E20" s="709">
        <v>0</v>
      </c>
      <c r="F20" s="710">
        <v>0</v>
      </c>
      <c r="G20" s="710">
        <v>0</v>
      </c>
      <c r="H20" s="710">
        <v>0</v>
      </c>
      <c r="I20" s="710">
        <v>0</v>
      </c>
      <c r="J20" s="710">
        <v>0</v>
      </c>
      <c r="K20" s="710">
        <v>0</v>
      </c>
      <c r="L20" s="711">
        <v>0</v>
      </c>
      <c r="M20" s="809"/>
      <c r="N20" s="1241"/>
    </row>
    <row r="21" spans="2:23" x14ac:dyDescent="0.25">
      <c r="B21" s="1242"/>
      <c r="C21" s="1255" t="str">
        <f>IF('7A'!C15=0,"Enter on 7A",'7A'!C15)</f>
        <v>Lucky 7 Foundation</v>
      </c>
      <c r="D21" s="1255"/>
      <c r="E21" s="712">
        <v>574456</v>
      </c>
      <c r="F21" s="713">
        <v>0</v>
      </c>
      <c r="G21" s="713">
        <v>0</v>
      </c>
      <c r="H21" s="713">
        <v>0</v>
      </c>
      <c r="I21" s="713">
        <v>0</v>
      </c>
      <c r="J21" s="713">
        <v>0</v>
      </c>
      <c r="K21" s="713">
        <v>0</v>
      </c>
      <c r="L21" s="714">
        <v>0</v>
      </c>
      <c r="M21" s="809"/>
      <c r="N21" s="1241"/>
    </row>
    <row r="22" spans="2:23" x14ac:dyDescent="0.25">
      <c r="B22" s="1242"/>
      <c r="C22" s="1255" t="str">
        <f>IF('7A'!C16=0,"Enter on 7A",'7A'!C16)</f>
        <v>Predevelopment Loans</v>
      </c>
      <c r="D22" s="1255"/>
      <c r="E22" s="712"/>
      <c r="F22" s="713">
        <v>15003</v>
      </c>
      <c r="G22" s="713">
        <v>15003</v>
      </c>
      <c r="H22" s="713">
        <v>15003</v>
      </c>
      <c r="I22" s="713">
        <v>15003</v>
      </c>
      <c r="J22" s="713">
        <v>15003</v>
      </c>
      <c r="K22" s="713">
        <v>13238</v>
      </c>
      <c r="L22" s="714">
        <v>0</v>
      </c>
      <c r="M22" s="809"/>
      <c r="N22" s="1241"/>
    </row>
    <row r="23" spans="2:23" ht="15.75" thickBot="1" x14ac:dyDescent="0.3">
      <c r="B23" s="1242"/>
      <c r="C23" s="1255" t="str">
        <f>IF('7A'!C17=0,"Enter on 7A",'7A'!C17)</f>
        <v>TBD</v>
      </c>
      <c r="D23" s="1255"/>
      <c r="E23" s="715">
        <v>0</v>
      </c>
      <c r="F23" s="716">
        <v>0</v>
      </c>
      <c r="G23" s="716">
        <v>0</v>
      </c>
      <c r="H23" s="716">
        <v>0</v>
      </c>
      <c r="I23" s="716">
        <v>0</v>
      </c>
      <c r="J23" s="716">
        <v>0</v>
      </c>
      <c r="K23" s="716">
        <v>0</v>
      </c>
      <c r="L23" s="717">
        <v>0</v>
      </c>
      <c r="M23" s="809"/>
      <c r="N23" s="1241"/>
    </row>
    <row r="24" spans="2:23" ht="15.75" thickBot="1" x14ac:dyDescent="0.3">
      <c r="B24" s="1242"/>
      <c r="C24" s="1079"/>
      <c r="D24" s="226" t="s">
        <v>347</v>
      </c>
      <c r="E24" s="718">
        <f>SUM(E20:E23)</f>
        <v>574456</v>
      </c>
      <c r="F24" s="719">
        <f t="shared" ref="F24:L24" si="0">SUM(F20:F23)</f>
        <v>15003</v>
      </c>
      <c r="G24" s="719">
        <f t="shared" si="0"/>
        <v>15003</v>
      </c>
      <c r="H24" s="719">
        <f t="shared" si="0"/>
        <v>15003</v>
      </c>
      <c r="I24" s="719">
        <f t="shared" si="0"/>
        <v>15003</v>
      </c>
      <c r="J24" s="719">
        <f t="shared" si="0"/>
        <v>15003</v>
      </c>
      <c r="K24" s="719">
        <f t="shared" si="0"/>
        <v>13238</v>
      </c>
      <c r="L24" s="720">
        <f t="shared" si="0"/>
        <v>0</v>
      </c>
      <c r="M24" s="809"/>
      <c r="N24" s="1241"/>
    </row>
    <row r="25" spans="2:23" ht="3.75" customHeight="1" x14ac:dyDescent="0.25">
      <c r="B25" s="1242"/>
      <c r="C25" s="214"/>
      <c r="D25" s="214"/>
      <c r="E25" s="400"/>
      <c r="F25" s="220"/>
      <c r="G25" s="220"/>
      <c r="H25" s="220"/>
      <c r="I25" s="220"/>
      <c r="J25" s="220"/>
      <c r="K25" s="220"/>
      <c r="L25" s="1256"/>
      <c r="M25" s="809"/>
      <c r="N25" s="1241"/>
    </row>
    <row r="26" spans="2:23" ht="15.75" thickBot="1" x14ac:dyDescent="0.3">
      <c r="B26" s="1242"/>
      <c r="C26" s="213" t="s">
        <v>215</v>
      </c>
      <c r="D26" s="213"/>
      <c r="E26" s="400"/>
      <c r="F26" s="220"/>
      <c r="G26" s="220"/>
      <c r="H26" s="220"/>
      <c r="I26" s="220"/>
      <c r="J26" s="220"/>
      <c r="K26" s="220"/>
      <c r="L26" s="1257"/>
      <c r="M26" s="809"/>
      <c r="N26" s="1241"/>
    </row>
    <row r="27" spans="2:23" x14ac:dyDescent="0.25">
      <c r="B27" s="1242"/>
      <c r="C27" s="1258" t="str">
        <f>IF('7A'!C24=0,"Enter on 7A",'7A'!C24)</f>
        <v>Seattle OH</v>
      </c>
      <c r="D27" s="1258"/>
      <c r="E27" s="778">
        <v>0</v>
      </c>
      <c r="F27" s="779">
        <v>0</v>
      </c>
      <c r="G27" s="779">
        <v>0</v>
      </c>
      <c r="H27" s="779">
        <v>0</v>
      </c>
      <c r="I27" s="779">
        <v>0</v>
      </c>
      <c r="J27" s="779">
        <v>0</v>
      </c>
      <c r="K27" s="779">
        <v>0</v>
      </c>
      <c r="L27" s="780">
        <v>0</v>
      </c>
      <c r="M27" s="809"/>
      <c r="N27" s="1241"/>
    </row>
    <row r="28" spans="2:23" x14ac:dyDescent="0.25">
      <c r="B28" s="1242"/>
      <c r="C28" s="1259" t="str">
        <f>IF('7A'!C25=0,"Enter on 7A",'7A'!C25)</f>
        <v>Washington State HTF</v>
      </c>
      <c r="D28" s="1259"/>
      <c r="E28" s="781">
        <v>0</v>
      </c>
      <c r="F28" s="782">
        <v>0</v>
      </c>
      <c r="G28" s="782">
        <v>0</v>
      </c>
      <c r="H28" s="782">
        <v>0</v>
      </c>
      <c r="I28" s="782">
        <v>0</v>
      </c>
      <c r="J28" s="782">
        <v>0</v>
      </c>
      <c r="K28" s="782">
        <v>629234</v>
      </c>
      <c r="L28" s="783">
        <v>0</v>
      </c>
      <c r="M28" s="809"/>
      <c r="N28" s="1241"/>
    </row>
    <row r="29" spans="2:23" x14ac:dyDescent="0.25">
      <c r="B29" s="1242"/>
      <c r="C29" s="1259" t="str">
        <f>IF('7A'!C26=0,"Enter on 7A",'7A'!C26)</f>
        <v>Perm Loan</v>
      </c>
      <c r="D29" s="1259"/>
      <c r="E29" s="781">
        <v>0</v>
      </c>
      <c r="F29" s="782">
        <v>0</v>
      </c>
      <c r="G29" s="782">
        <v>0</v>
      </c>
      <c r="H29" s="782">
        <v>0</v>
      </c>
      <c r="I29" s="782">
        <v>0</v>
      </c>
      <c r="J29" s="782">
        <v>0</v>
      </c>
      <c r="K29" s="782">
        <v>2660410</v>
      </c>
      <c r="L29" s="783">
        <v>3678798</v>
      </c>
      <c r="M29" s="809"/>
      <c r="N29" s="1241"/>
    </row>
    <row r="30" spans="2:23" x14ac:dyDescent="0.25">
      <c r="B30" s="1242"/>
      <c r="C30" s="1259" t="str">
        <f>IF('7A'!C27=0,"Enter on 7A",'7A'!C27)</f>
        <v>Deferred Fee</v>
      </c>
      <c r="D30" s="1259"/>
      <c r="E30" s="781">
        <v>0</v>
      </c>
      <c r="F30" s="782">
        <v>0</v>
      </c>
      <c r="G30" s="782">
        <v>0</v>
      </c>
      <c r="H30" s="782">
        <v>0</v>
      </c>
      <c r="I30" s="782">
        <v>0</v>
      </c>
      <c r="J30" s="782">
        <v>0</v>
      </c>
      <c r="K30" s="782">
        <v>0</v>
      </c>
      <c r="L30" s="783">
        <v>0</v>
      </c>
      <c r="M30" s="809"/>
      <c r="N30" s="1241"/>
    </row>
    <row r="31" spans="2:23" x14ac:dyDescent="0.25">
      <c r="B31" s="1242"/>
      <c r="C31" s="1259" t="str">
        <f>IF('7A'!C28=0,"Enter on 7A",'7A'!C28)</f>
        <v>Enter on 7A</v>
      </c>
      <c r="D31" s="1259"/>
      <c r="E31" s="781">
        <v>0</v>
      </c>
      <c r="F31" s="782">
        <v>0</v>
      </c>
      <c r="G31" s="782">
        <v>0</v>
      </c>
      <c r="H31" s="782">
        <v>0</v>
      </c>
      <c r="I31" s="782">
        <v>0</v>
      </c>
      <c r="J31" s="782">
        <v>0</v>
      </c>
      <c r="K31" s="782">
        <v>0</v>
      </c>
      <c r="L31" s="783">
        <v>0</v>
      </c>
      <c r="M31" s="809"/>
      <c r="N31" s="1241"/>
    </row>
    <row r="32" spans="2:23" x14ac:dyDescent="0.25">
      <c r="B32" s="1242"/>
      <c r="C32" s="1260" t="str">
        <f>IF('7A'!C28&lt;&gt;0,"LIHTC Equity","LIHTC Equity - Calculate on 6E")</f>
        <v>LIHTC Equity - Calculate on 6E</v>
      </c>
      <c r="D32" s="1260"/>
      <c r="E32" s="781">
        <v>0</v>
      </c>
      <c r="F32" s="782">
        <v>0</v>
      </c>
      <c r="G32" s="782">
        <v>0</v>
      </c>
      <c r="H32" s="782">
        <v>0</v>
      </c>
      <c r="I32" s="782">
        <v>0</v>
      </c>
      <c r="J32" s="782">
        <v>0</v>
      </c>
      <c r="K32" s="782">
        <f>278454+101804+115594+463026-1+17</f>
        <v>958894</v>
      </c>
      <c r="L32" s="783">
        <f>74254+231513+1+25</f>
        <v>305793</v>
      </c>
      <c r="M32" s="809"/>
      <c r="N32" s="1241"/>
    </row>
    <row r="33" spans="2:23" x14ac:dyDescent="0.25">
      <c r="B33" s="1242"/>
      <c r="C33" s="1259" t="str">
        <f>IF('7A'!C30=0,"Enter on 7A",'7A'!C30)</f>
        <v>Enter on 7A</v>
      </c>
      <c r="D33" s="1259"/>
      <c r="E33" s="781">
        <v>0</v>
      </c>
      <c r="F33" s="782">
        <v>0</v>
      </c>
      <c r="G33" s="782">
        <v>0</v>
      </c>
      <c r="H33" s="782">
        <v>0</v>
      </c>
      <c r="I33" s="782">
        <v>0</v>
      </c>
      <c r="J33" s="782">
        <v>0</v>
      </c>
      <c r="K33" s="782">
        <v>0</v>
      </c>
      <c r="L33" s="783">
        <v>0</v>
      </c>
      <c r="M33" s="809"/>
      <c r="N33" s="1241"/>
    </row>
    <row r="34" spans="2:23" ht="15.75" thickBot="1" x14ac:dyDescent="0.3">
      <c r="B34" s="1242"/>
      <c r="C34" s="1259" t="str">
        <f>IF('7A'!C31=0,"Enter on 7A",'7A'!C31)</f>
        <v>Enter on 7A</v>
      </c>
      <c r="D34" s="1259"/>
      <c r="E34" s="784">
        <v>0</v>
      </c>
      <c r="F34" s="785">
        <v>0</v>
      </c>
      <c r="G34" s="785">
        <v>0</v>
      </c>
      <c r="H34" s="785">
        <v>0</v>
      </c>
      <c r="I34" s="785">
        <v>0</v>
      </c>
      <c r="J34" s="785">
        <v>0</v>
      </c>
      <c r="K34" s="785">
        <v>0</v>
      </c>
      <c r="L34" s="786">
        <v>0</v>
      </c>
      <c r="M34" s="809"/>
      <c r="N34" s="1241"/>
    </row>
    <row r="35" spans="2:23" ht="15.75" thickBot="1" x14ac:dyDescent="0.3">
      <c r="B35" s="1261"/>
      <c r="C35" s="1262"/>
      <c r="D35" s="215" t="s">
        <v>347</v>
      </c>
      <c r="E35" s="233">
        <f t="shared" ref="E35:L35" si="1">SUM(E27:E34)</f>
        <v>0</v>
      </c>
      <c r="F35" s="234">
        <f t="shared" si="1"/>
        <v>0</v>
      </c>
      <c r="G35" s="234">
        <f t="shared" si="1"/>
        <v>0</v>
      </c>
      <c r="H35" s="234">
        <f t="shared" si="1"/>
        <v>0</v>
      </c>
      <c r="I35" s="234">
        <f t="shared" si="1"/>
        <v>0</v>
      </c>
      <c r="J35" s="234">
        <f t="shared" si="1"/>
        <v>0</v>
      </c>
      <c r="K35" s="234">
        <f t="shared" si="1"/>
        <v>4248538</v>
      </c>
      <c r="L35" s="235">
        <f t="shared" si="1"/>
        <v>3984591</v>
      </c>
      <c r="M35" s="809"/>
      <c r="N35" s="1241"/>
    </row>
    <row r="36" spans="2:23" ht="3.75" customHeight="1" thickBot="1" x14ac:dyDescent="0.3">
      <c r="B36" s="1261"/>
      <c r="C36" s="216"/>
      <c r="D36" s="216"/>
      <c r="E36" s="220"/>
      <c r="F36" s="220"/>
      <c r="G36" s="220"/>
      <c r="H36" s="220"/>
      <c r="I36" s="220"/>
      <c r="J36" s="220"/>
      <c r="K36" s="220"/>
      <c r="L36" s="1263"/>
      <c r="M36" s="809"/>
      <c r="N36" s="1241"/>
    </row>
    <row r="37" spans="2:23" ht="15.75" thickBot="1" x14ac:dyDescent="0.3">
      <c r="B37" s="1242"/>
      <c r="C37" s="213" t="s">
        <v>348</v>
      </c>
      <c r="D37" s="213"/>
      <c r="E37" s="233">
        <f t="shared" ref="E37:L37" si="2">E24+E35</f>
        <v>574456</v>
      </c>
      <c r="F37" s="234">
        <f t="shared" si="2"/>
        <v>15003</v>
      </c>
      <c r="G37" s="234">
        <f t="shared" si="2"/>
        <v>15003</v>
      </c>
      <c r="H37" s="234">
        <f t="shared" si="2"/>
        <v>15003</v>
      </c>
      <c r="I37" s="234">
        <f t="shared" si="2"/>
        <v>15003</v>
      </c>
      <c r="J37" s="234">
        <f t="shared" si="2"/>
        <v>15003</v>
      </c>
      <c r="K37" s="234">
        <f t="shared" si="2"/>
        <v>4261776</v>
      </c>
      <c r="L37" s="235">
        <f t="shared" si="2"/>
        <v>3984591</v>
      </c>
      <c r="M37" s="809"/>
      <c r="N37" s="1241"/>
    </row>
    <row r="38" spans="2:23" x14ac:dyDescent="0.25">
      <c r="B38" s="1242"/>
      <c r="C38" s="212"/>
      <c r="D38" s="212"/>
      <c r="E38" s="212"/>
      <c r="F38" s="212"/>
      <c r="G38" s="212"/>
      <c r="H38" s="212"/>
      <c r="I38" s="212"/>
      <c r="J38" s="1253"/>
      <c r="K38" s="212"/>
      <c r="L38" s="1264"/>
      <c r="M38" s="809"/>
      <c r="N38" s="1241"/>
    </row>
    <row r="39" spans="2:23" ht="15.75" thickBot="1" x14ac:dyDescent="0.3">
      <c r="B39" s="1242"/>
      <c r="C39" s="211" t="s">
        <v>349</v>
      </c>
      <c r="D39" s="211"/>
      <c r="E39" s="1265"/>
      <c r="F39" s="1266"/>
      <c r="G39" s="1266"/>
      <c r="H39" s="1266"/>
      <c r="I39" s="1266"/>
      <c r="J39" s="1266"/>
      <c r="K39" s="1267"/>
      <c r="L39" s="1268"/>
      <c r="M39" s="809"/>
      <c r="N39" s="1241"/>
    </row>
    <row r="40" spans="2:23" x14ac:dyDescent="0.25">
      <c r="B40" s="1269"/>
      <c r="C40" s="227" t="s">
        <v>23</v>
      </c>
      <c r="D40" s="353"/>
      <c r="E40" s="1896">
        <f>$O$40*P40</f>
        <v>574456</v>
      </c>
      <c r="F40" s="1899">
        <f t="shared" ref="F40:L40" si="3">$O$40*Q40</f>
        <v>0</v>
      </c>
      <c r="G40" s="1899">
        <f t="shared" si="3"/>
        <v>0</v>
      </c>
      <c r="H40" s="1899">
        <f t="shared" si="3"/>
        <v>0</v>
      </c>
      <c r="I40" s="1899">
        <f t="shared" si="3"/>
        <v>0</v>
      </c>
      <c r="J40" s="1899">
        <f t="shared" si="3"/>
        <v>0</v>
      </c>
      <c r="K40" s="1899">
        <f t="shared" si="3"/>
        <v>0</v>
      </c>
      <c r="L40" s="1902">
        <f t="shared" si="3"/>
        <v>0</v>
      </c>
      <c r="M40" s="809"/>
      <c r="N40" s="1241"/>
      <c r="O40" s="843">
        <v>574456</v>
      </c>
      <c r="P40" s="1887">
        <v>1</v>
      </c>
      <c r="U40" s="1887"/>
    </row>
    <row r="41" spans="2:23" x14ac:dyDescent="0.25">
      <c r="B41" s="1269"/>
      <c r="C41" s="228" t="s">
        <v>350</v>
      </c>
      <c r="D41" s="228"/>
      <c r="E41" s="1897">
        <f>$O$41*P41</f>
        <v>0</v>
      </c>
      <c r="F41" s="1900">
        <f t="shared" ref="F41:L41" si="4">$O$41*Q41</f>
        <v>0</v>
      </c>
      <c r="G41" s="1900">
        <f t="shared" si="4"/>
        <v>0</v>
      </c>
      <c r="H41" s="1900">
        <f t="shared" si="4"/>
        <v>0</v>
      </c>
      <c r="I41" s="1900">
        <f t="shared" si="4"/>
        <v>0</v>
      </c>
      <c r="J41" s="1900">
        <f t="shared" si="4"/>
        <v>0</v>
      </c>
      <c r="K41" s="1900">
        <f t="shared" si="4"/>
        <v>2627734.5</v>
      </c>
      <c r="L41" s="1903">
        <f t="shared" si="4"/>
        <v>3678828.3000000003</v>
      </c>
      <c r="M41" s="809"/>
      <c r="N41" s="1241"/>
      <c r="O41" s="843">
        <f>22157911+4119434</f>
        <v>26277345</v>
      </c>
      <c r="Q41" s="1887"/>
      <c r="R41" s="1887"/>
      <c r="V41" s="1887">
        <v>0.1</v>
      </c>
      <c r="W41" s="1887">
        <v>0.14000000000000001</v>
      </c>
    </row>
    <row r="42" spans="2:23" x14ac:dyDescent="0.25">
      <c r="B42" s="1242"/>
      <c r="C42" s="228" t="s">
        <v>351</v>
      </c>
      <c r="D42" s="228"/>
      <c r="E42" s="1897">
        <f>$O$42*P42</f>
        <v>0</v>
      </c>
      <c r="F42" s="1900">
        <f t="shared" ref="F42:L42" si="5">$O$42*Q42</f>
        <v>15002.500000000002</v>
      </c>
      <c r="G42" s="1900">
        <f t="shared" si="5"/>
        <v>15002.500000000002</v>
      </c>
      <c r="H42" s="1900">
        <f t="shared" si="5"/>
        <v>15002.500000000002</v>
      </c>
      <c r="I42" s="1900">
        <f t="shared" si="5"/>
        <v>15002.500000000002</v>
      </c>
      <c r="J42" s="1900">
        <f t="shared" si="5"/>
        <v>15002.500000000002</v>
      </c>
      <c r="K42" s="1900">
        <f>$O$42*V42+SUM(F42:J42)+(E40)+13240</f>
        <v>675946</v>
      </c>
      <c r="L42" s="1903">
        <f t="shared" si="5"/>
        <v>0</v>
      </c>
      <c r="M42" s="809"/>
      <c r="N42" s="1241"/>
      <c r="O42" s="843">
        <v>88250</v>
      </c>
      <c r="Q42" s="1887">
        <v>0.17</v>
      </c>
      <c r="R42" s="1887">
        <v>0.17</v>
      </c>
      <c r="S42" s="1887">
        <v>0.17</v>
      </c>
      <c r="T42" s="1887">
        <v>0.17</v>
      </c>
      <c r="U42" s="1887">
        <v>0.17</v>
      </c>
      <c r="V42" s="1887">
        <v>0.15</v>
      </c>
    </row>
    <row r="43" spans="2:23" x14ac:dyDescent="0.25">
      <c r="B43" s="1242"/>
      <c r="C43" s="229" t="s">
        <v>209</v>
      </c>
      <c r="D43" s="229"/>
      <c r="E43" s="1897">
        <f>$O$43*P43</f>
        <v>0</v>
      </c>
      <c r="F43" s="1900">
        <f t="shared" ref="F43:L43" si="6">$O$43*Q43</f>
        <v>0</v>
      </c>
      <c r="G43" s="1900">
        <f t="shared" si="6"/>
        <v>0</v>
      </c>
      <c r="H43" s="1900">
        <f t="shared" si="6"/>
        <v>0</v>
      </c>
      <c r="I43" s="1900">
        <f t="shared" si="6"/>
        <v>0</v>
      </c>
      <c r="J43" s="1900">
        <f t="shared" si="6"/>
        <v>0</v>
      </c>
      <c r="K43" s="1900">
        <f t="shared" si="6"/>
        <v>278454</v>
      </c>
      <c r="L43" s="1903">
        <f t="shared" si="6"/>
        <v>74254.400000000009</v>
      </c>
      <c r="M43" s="809"/>
      <c r="N43" s="1241"/>
      <c r="O43" s="843">
        <v>928180</v>
      </c>
      <c r="V43" s="1887">
        <v>0.3</v>
      </c>
      <c r="W43" s="1887">
        <v>0.08</v>
      </c>
    </row>
    <row r="44" spans="2:23" x14ac:dyDescent="0.25">
      <c r="B44" s="1242"/>
      <c r="C44" s="229" t="s">
        <v>215</v>
      </c>
      <c r="D44" s="229"/>
      <c r="E44" s="1897">
        <f>$O$44*P44</f>
        <v>0</v>
      </c>
      <c r="F44" s="1900">
        <f t="shared" ref="F44:L44" si="7">$O$44*Q44</f>
        <v>0</v>
      </c>
      <c r="G44" s="1900">
        <f t="shared" si="7"/>
        <v>0</v>
      </c>
      <c r="H44" s="1900">
        <f t="shared" si="7"/>
        <v>0</v>
      </c>
      <c r="I44" s="1900">
        <f t="shared" si="7"/>
        <v>0</v>
      </c>
      <c r="J44" s="1900">
        <f t="shared" si="7"/>
        <v>0</v>
      </c>
      <c r="K44" s="1900">
        <f t="shared" si="7"/>
        <v>101031.5</v>
      </c>
      <c r="L44" s="1903">
        <f t="shared" si="7"/>
        <v>0</v>
      </c>
      <c r="M44" s="809"/>
      <c r="N44" s="1241"/>
      <c r="O44" s="843">
        <v>202063</v>
      </c>
      <c r="V44" s="1887">
        <v>0.5</v>
      </c>
    </row>
    <row r="45" spans="2:23" x14ac:dyDescent="0.25">
      <c r="B45" s="1242"/>
      <c r="C45" s="229" t="s">
        <v>223</v>
      </c>
      <c r="D45" s="229"/>
      <c r="E45" s="1897">
        <f>$O$45*P45</f>
        <v>0</v>
      </c>
      <c r="F45" s="1900">
        <f t="shared" ref="F45:L45" si="8">$O$45*Q45</f>
        <v>0</v>
      </c>
      <c r="G45" s="1900">
        <f t="shared" si="8"/>
        <v>0</v>
      </c>
      <c r="H45" s="1900">
        <f t="shared" si="8"/>
        <v>0</v>
      </c>
      <c r="I45" s="1900">
        <f t="shared" si="8"/>
        <v>0</v>
      </c>
      <c r="J45" s="1900">
        <f t="shared" si="8"/>
        <v>0</v>
      </c>
      <c r="K45" s="1900">
        <f t="shared" si="8"/>
        <v>0</v>
      </c>
      <c r="L45" s="1903">
        <f t="shared" si="8"/>
        <v>0</v>
      </c>
      <c r="M45" s="809"/>
      <c r="N45" s="1241"/>
      <c r="O45" s="843">
        <v>706423</v>
      </c>
    </row>
    <row r="46" spans="2:23" x14ac:dyDescent="0.25">
      <c r="B46" s="1242"/>
      <c r="C46" s="229" t="s">
        <v>226</v>
      </c>
      <c r="D46" s="229"/>
      <c r="E46" s="1897">
        <f>$O$46*P46</f>
        <v>0</v>
      </c>
      <c r="F46" s="1900">
        <f t="shared" ref="F46:L46" si="9">$O$46*Q46</f>
        <v>0</v>
      </c>
      <c r="G46" s="1900">
        <f t="shared" si="9"/>
        <v>0</v>
      </c>
      <c r="H46" s="1900">
        <f t="shared" si="9"/>
        <v>0</v>
      </c>
      <c r="I46" s="1900">
        <f t="shared" si="9"/>
        <v>0</v>
      </c>
      <c r="J46" s="1900">
        <f t="shared" si="9"/>
        <v>0</v>
      </c>
      <c r="K46" s="1900">
        <f t="shared" si="9"/>
        <v>463016.4</v>
      </c>
      <c r="L46" s="1903">
        <f t="shared" si="9"/>
        <v>231508.2</v>
      </c>
      <c r="M46" s="809"/>
      <c r="N46" s="1241"/>
      <c r="O46" s="843">
        <v>1157541</v>
      </c>
      <c r="V46" s="1887">
        <v>0.4</v>
      </c>
      <c r="W46" s="1887">
        <v>0.2</v>
      </c>
    </row>
    <row r="47" spans="2:23" ht="15.75" thickBot="1" x14ac:dyDescent="0.3">
      <c r="B47" s="1242"/>
      <c r="C47" s="229" t="s">
        <v>352</v>
      </c>
      <c r="D47" s="229"/>
      <c r="E47" s="1898">
        <f>$O$47*P47</f>
        <v>0</v>
      </c>
      <c r="F47" s="1901">
        <f t="shared" ref="F47:L47" si="10">$O$47*Q47</f>
        <v>0</v>
      </c>
      <c r="G47" s="1901">
        <f t="shared" si="10"/>
        <v>0</v>
      </c>
      <c r="H47" s="1901">
        <f t="shared" si="10"/>
        <v>0</v>
      </c>
      <c r="I47" s="1901">
        <f t="shared" si="10"/>
        <v>0</v>
      </c>
      <c r="J47" s="1901">
        <f t="shared" si="10"/>
        <v>0</v>
      </c>
      <c r="K47" s="1901">
        <f t="shared" si="10"/>
        <v>115594</v>
      </c>
      <c r="L47" s="1904">
        <f t="shared" si="10"/>
        <v>0</v>
      </c>
      <c r="M47" s="809"/>
      <c r="N47" s="1241"/>
      <c r="O47" s="843">
        <v>115594</v>
      </c>
      <c r="V47" s="1887">
        <v>1</v>
      </c>
    </row>
    <row r="48" spans="2:23" ht="3.75" customHeight="1" thickBot="1" x14ac:dyDescent="0.3">
      <c r="B48" s="1242"/>
      <c r="C48" s="223"/>
      <c r="D48" s="223"/>
      <c r="E48" s="220"/>
      <c r="F48" s="220"/>
      <c r="G48" s="220"/>
      <c r="H48" s="220"/>
      <c r="I48" s="220"/>
      <c r="J48" s="220"/>
      <c r="K48" s="220"/>
      <c r="L48" s="220"/>
      <c r="M48" s="809"/>
      <c r="N48" s="1241"/>
    </row>
    <row r="49" spans="2:17" ht="15.75" thickBot="1" x14ac:dyDescent="0.3">
      <c r="B49" s="1242"/>
      <c r="C49" s="213" t="s">
        <v>353</v>
      </c>
      <c r="D49" s="213"/>
      <c r="E49" s="233">
        <f>SUM(E40:E47)</f>
        <v>574456</v>
      </c>
      <c r="F49" s="234">
        <f t="shared" ref="F49:L49" si="11">SUM(F40:F47)</f>
        <v>15002.500000000002</v>
      </c>
      <c r="G49" s="234">
        <f t="shared" si="11"/>
        <v>15002.500000000002</v>
      </c>
      <c r="H49" s="234">
        <f t="shared" si="11"/>
        <v>15002.500000000002</v>
      </c>
      <c r="I49" s="234">
        <f t="shared" si="11"/>
        <v>15002.500000000002</v>
      </c>
      <c r="J49" s="234">
        <f t="shared" si="11"/>
        <v>15002.500000000002</v>
      </c>
      <c r="K49" s="234">
        <f t="shared" si="11"/>
        <v>4261776.4000000004</v>
      </c>
      <c r="L49" s="235">
        <f t="shared" si="11"/>
        <v>3984590.9000000004</v>
      </c>
      <c r="M49" s="809"/>
      <c r="N49" s="1241"/>
      <c r="O49" s="843">
        <f>SUM(O40:O47)</f>
        <v>30049852</v>
      </c>
    </row>
    <row r="50" spans="2:17" ht="3.75" customHeight="1" thickBot="1" x14ac:dyDescent="0.3">
      <c r="B50" s="1242"/>
      <c r="C50" s="212"/>
      <c r="D50" s="212"/>
      <c r="E50" s="220"/>
      <c r="F50" s="220"/>
      <c r="G50" s="220"/>
      <c r="H50" s="220"/>
      <c r="I50" s="220"/>
      <c r="J50" s="1270"/>
      <c r="K50" s="212"/>
      <c r="L50" s="1268"/>
      <c r="M50" s="809"/>
      <c r="N50" s="1241"/>
    </row>
    <row r="51" spans="2:17" ht="15.75" thickBot="1" x14ac:dyDescent="0.3">
      <c r="B51" s="1242"/>
      <c r="C51" s="217" t="s">
        <v>354</v>
      </c>
      <c r="D51" s="217"/>
      <c r="E51" s="233">
        <f>E37-E49</f>
        <v>0</v>
      </c>
      <c r="F51" s="234">
        <f t="shared" ref="F51:L51" si="12">F37-F49</f>
        <v>0.49999999999818101</v>
      </c>
      <c r="G51" s="234">
        <f t="shared" si="12"/>
        <v>0.49999999999818101</v>
      </c>
      <c r="H51" s="234">
        <f t="shared" si="12"/>
        <v>0.49999999999818101</v>
      </c>
      <c r="I51" s="234">
        <f t="shared" si="12"/>
        <v>0.49999999999818101</v>
      </c>
      <c r="J51" s="234">
        <f t="shared" si="12"/>
        <v>0.49999999999818101</v>
      </c>
      <c r="K51" s="234">
        <f t="shared" si="12"/>
        <v>-0.40000000037252903</v>
      </c>
      <c r="L51" s="235">
        <f t="shared" si="12"/>
        <v>9.999999962747097E-2</v>
      </c>
      <c r="M51" s="809"/>
      <c r="N51" s="1241"/>
    </row>
    <row r="52" spans="2:17" ht="7.5" customHeight="1" x14ac:dyDescent="0.25">
      <c r="B52" s="1242"/>
      <c r="C52" s="212"/>
      <c r="D52" s="212"/>
      <c r="E52" s="212"/>
      <c r="F52" s="220"/>
      <c r="G52" s="220"/>
      <c r="H52" s="220"/>
      <c r="I52" s="220"/>
      <c r="J52" s="220"/>
      <c r="K52" s="220"/>
      <c r="L52" s="220"/>
      <c r="M52" s="220"/>
      <c r="N52" s="1241"/>
    </row>
    <row r="53" spans="2:17" x14ac:dyDescent="0.25">
      <c r="B53" s="1242"/>
      <c r="C53" s="218" t="s">
        <v>355</v>
      </c>
      <c r="D53" s="212"/>
      <c r="E53" s="813"/>
      <c r="F53" s="220"/>
      <c r="G53" s="220"/>
      <c r="H53" s="220"/>
      <c r="I53" s="220"/>
      <c r="J53" s="220"/>
      <c r="K53" s="220"/>
      <c r="L53" s="220"/>
      <c r="M53" s="220"/>
      <c r="N53" s="1241"/>
    </row>
    <row r="54" spans="2:17" ht="15" customHeight="1" x14ac:dyDescent="0.25">
      <c r="B54" s="1242"/>
      <c r="C54" s="2149"/>
      <c r="D54" s="2150"/>
      <c r="E54" s="2150"/>
      <c r="F54" s="2150"/>
      <c r="G54" s="2150"/>
      <c r="H54" s="2150"/>
      <c r="I54" s="2150"/>
      <c r="J54" s="2150"/>
      <c r="K54" s="2150"/>
      <c r="L54" s="2151"/>
      <c r="M54" s="809"/>
      <c r="N54" s="1241"/>
    </row>
    <row r="55" spans="2:17" ht="15" customHeight="1" x14ac:dyDescent="0.25">
      <c r="B55" s="1242"/>
      <c r="C55" s="2152"/>
      <c r="D55" s="2153"/>
      <c r="E55" s="2153"/>
      <c r="F55" s="2153"/>
      <c r="G55" s="2153"/>
      <c r="H55" s="2153"/>
      <c r="I55" s="2153"/>
      <c r="J55" s="2153"/>
      <c r="K55" s="2153"/>
      <c r="L55" s="2154"/>
      <c r="M55" s="809"/>
      <c r="N55" s="1241"/>
    </row>
    <row r="56" spans="2:17" ht="15" customHeight="1" x14ac:dyDescent="0.25">
      <c r="B56" s="1242"/>
      <c r="C56" s="2152"/>
      <c r="D56" s="2153"/>
      <c r="E56" s="2153"/>
      <c r="F56" s="2153"/>
      <c r="G56" s="2153"/>
      <c r="H56" s="2153"/>
      <c r="I56" s="2153"/>
      <c r="J56" s="2153"/>
      <c r="K56" s="2153"/>
      <c r="L56" s="2154"/>
      <c r="M56" s="809"/>
      <c r="N56" s="1241"/>
    </row>
    <row r="57" spans="2:17" ht="15" customHeight="1" x14ac:dyDescent="0.25">
      <c r="B57" s="1242"/>
      <c r="C57" s="2155"/>
      <c r="D57" s="2156"/>
      <c r="E57" s="2156"/>
      <c r="F57" s="2156"/>
      <c r="G57" s="2156"/>
      <c r="H57" s="2156"/>
      <c r="I57" s="2156"/>
      <c r="J57" s="2156"/>
      <c r="K57" s="2156"/>
      <c r="L57" s="2157"/>
      <c r="M57" s="809"/>
      <c r="N57" s="1241"/>
    </row>
    <row r="58" spans="2:17" ht="9" customHeight="1" thickBot="1" x14ac:dyDescent="0.3">
      <c r="B58" s="1271"/>
      <c r="C58" s="838"/>
      <c r="D58" s="838"/>
      <c r="E58" s="1272"/>
      <c r="F58" s="1272"/>
      <c r="G58" s="1272"/>
      <c r="H58" s="1272"/>
      <c r="I58" s="1272"/>
      <c r="J58" s="1272"/>
      <c r="K58" s="1272"/>
      <c r="L58" s="1272"/>
      <c r="M58" s="1272"/>
      <c r="N58" s="1273"/>
    </row>
    <row r="59" spans="2:17" ht="3.75" customHeight="1" x14ac:dyDescent="0.25">
      <c r="B59" s="813"/>
      <c r="C59" s="813"/>
      <c r="D59" s="813"/>
      <c r="E59" s="813"/>
      <c r="F59" s="813"/>
      <c r="G59" s="813"/>
      <c r="H59" s="813"/>
      <c r="I59" s="813"/>
      <c r="J59" s="813"/>
      <c r="K59" s="813"/>
      <c r="L59" s="813"/>
      <c r="M59" s="813"/>
      <c r="N59" s="813"/>
    </row>
    <row r="60" spans="2:17" ht="3.75" customHeight="1" thickBot="1" x14ac:dyDescent="0.3">
      <c r="B60" s="813"/>
      <c r="C60" s="813"/>
      <c r="D60" s="813"/>
      <c r="E60" s="813"/>
      <c r="F60" s="813"/>
      <c r="G60" s="813"/>
      <c r="H60" s="813"/>
      <c r="I60" s="813"/>
      <c r="J60" s="813"/>
      <c r="K60" s="813"/>
      <c r="L60" s="813"/>
      <c r="M60" s="813"/>
      <c r="N60" s="813"/>
    </row>
    <row r="61" spans="2:17" ht="9" customHeight="1" x14ac:dyDescent="0.25">
      <c r="B61" s="1237"/>
      <c r="C61" s="1238"/>
      <c r="D61" s="1238"/>
      <c r="E61" s="1238"/>
      <c r="F61" s="1238"/>
      <c r="G61" s="1238"/>
      <c r="H61" s="1238"/>
      <c r="I61" s="1238"/>
      <c r="J61" s="1238"/>
      <c r="K61" s="1238"/>
      <c r="L61" s="1238"/>
      <c r="M61" s="1238"/>
      <c r="N61" s="1239"/>
    </row>
    <row r="62" spans="2:17" ht="18.75" x14ac:dyDescent="0.3">
      <c r="B62" s="1240"/>
      <c r="C62" s="2030" t="s">
        <v>1075</v>
      </c>
      <c r="D62" s="2030"/>
      <c r="E62" s="2030"/>
      <c r="F62" s="2030"/>
      <c r="G62" s="2030"/>
      <c r="H62" s="2030"/>
      <c r="I62" s="2030"/>
      <c r="J62" s="2030"/>
      <c r="K62" s="2030"/>
      <c r="L62" s="2030"/>
      <c r="M62" s="2030"/>
      <c r="N62" s="1241"/>
      <c r="Q62" s="1887"/>
    </row>
    <row r="63" spans="2:17" ht="15" customHeight="1" x14ac:dyDescent="0.25">
      <c r="B63" s="1240"/>
      <c r="C63" s="903"/>
      <c r="D63" s="903"/>
      <c r="E63" s="903"/>
      <c r="F63" s="903"/>
      <c r="G63" s="903"/>
      <c r="H63" s="903"/>
      <c r="I63" s="903"/>
      <c r="J63" s="903"/>
      <c r="K63" s="903"/>
      <c r="L63" s="903"/>
      <c r="M63" s="903"/>
      <c r="N63" s="1241"/>
    </row>
    <row r="64" spans="2:17" x14ac:dyDescent="0.25">
      <c r="B64" s="1242"/>
      <c r="C64" s="1243" t="s">
        <v>339</v>
      </c>
      <c r="D64" s="1244" t="str">
        <f>IF('1A'!G55="","Enter Project Name on Form 1A",'1A'!G55)</f>
        <v>Enter Project Name on Form 1A</v>
      </c>
      <c r="E64" s="1244"/>
      <c r="F64" s="1244"/>
      <c r="G64" s="1244"/>
      <c r="H64" s="1244"/>
      <c r="I64" s="1244"/>
      <c r="J64" s="1245"/>
      <c r="K64" s="212"/>
      <c r="L64" s="809"/>
      <c r="M64" s="809"/>
      <c r="N64" s="1241"/>
    </row>
    <row r="65" spans="2:28" ht="7.5" customHeight="1" x14ac:dyDescent="0.25">
      <c r="B65" s="1242"/>
      <c r="C65" s="1246"/>
      <c r="D65" s="1246"/>
      <c r="E65" s="1247"/>
      <c r="F65" s="1247"/>
      <c r="G65" s="1247"/>
      <c r="H65" s="212"/>
      <c r="I65" s="212"/>
      <c r="J65" s="212"/>
      <c r="K65" s="212"/>
      <c r="L65" s="217"/>
      <c r="M65" s="212"/>
      <c r="N65" s="1241"/>
    </row>
    <row r="66" spans="2:28" x14ac:dyDescent="0.25">
      <c r="B66" s="1242"/>
      <c r="C66" s="217" t="s">
        <v>340</v>
      </c>
      <c r="D66" s="1274">
        <f>IF(D15=0,"",D15)</f>
        <v>42261</v>
      </c>
      <c r="E66" s="1247"/>
      <c r="F66" s="1247"/>
      <c r="G66" s="1247"/>
      <c r="H66" s="212"/>
      <c r="I66" s="212"/>
      <c r="J66" s="212"/>
      <c r="K66" s="212"/>
      <c r="L66" s="217"/>
      <c r="M66" s="212"/>
      <c r="N66" s="1241"/>
    </row>
    <row r="67" spans="2:28" ht="15" customHeight="1" x14ac:dyDescent="0.25">
      <c r="B67" s="1242"/>
      <c r="C67" s="809"/>
      <c r="D67" s="809"/>
      <c r="E67" s="1246"/>
      <c r="F67" s="1248"/>
      <c r="G67" s="1249"/>
      <c r="H67" s="1250"/>
      <c r="I67" s="1246"/>
      <c r="J67" s="1246"/>
      <c r="K67" s="1246"/>
      <c r="L67" s="836"/>
      <c r="M67" s="836"/>
      <c r="N67" s="1241"/>
    </row>
    <row r="68" spans="2:28" ht="15.75" thickBot="1" x14ac:dyDescent="0.3">
      <c r="B68" s="1242"/>
      <c r="C68" s="211" t="s">
        <v>341</v>
      </c>
      <c r="D68" s="211"/>
      <c r="E68" s="1275"/>
      <c r="F68" s="212"/>
      <c r="G68" s="212"/>
      <c r="H68" s="212"/>
      <c r="I68" s="212"/>
      <c r="J68" s="212"/>
      <c r="K68" s="1253"/>
      <c r="L68" s="212"/>
      <c r="M68" s="212"/>
      <c r="N68" s="1241"/>
    </row>
    <row r="69" spans="2:28" x14ac:dyDescent="0.25">
      <c r="B69" s="1242"/>
      <c r="C69" s="212"/>
      <c r="D69" s="212"/>
      <c r="E69" s="240" t="s">
        <v>342</v>
      </c>
      <c r="F69" s="237" t="s">
        <v>343</v>
      </c>
      <c r="G69" s="238" t="s">
        <v>344</v>
      </c>
      <c r="H69" s="237" t="s">
        <v>345</v>
      </c>
      <c r="I69" s="238" t="s">
        <v>342</v>
      </c>
      <c r="J69" s="237" t="s">
        <v>343</v>
      </c>
      <c r="K69" s="238" t="s">
        <v>344</v>
      </c>
      <c r="L69" s="237" t="s">
        <v>345</v>
      </c>
      <c r="M69" s="723" t="s">
        <v>356</v>
      </c>
      <c r="N69" s="1241"/>
      <c r="P69" s="1892" t="s">
        <v>342</v>
      </c>
      <c r="Q69" s="1889" t="s">
        <v>343</v>
      </c>
      <c r="R69" s="1890" t="s">
        <v>344</v>
      </c>
      <c r="S69" s="1889" t="s">
        <v>345</v>
      </c>
      <c r="T69" s="1890" t="s">
        <v>342</v>
      </c>
      <c r="U69" s="1889" t="s">
        <v>343</v>
      </c>
      <c r="V69" s="1890" t="s">
        <v>344</v>
      </c>
      <c r="W69" s="1889" t="s">
        <v>345</v>
      </c>
    </row>
    <row r="70" spans="2:28" ht="15.75" thickBot="1" x14ac:dyDescent="0.3">
      <c r="B70" s="1242"/>
      <c r="C70" s="213" t="s">
        <v>316</v>
      </c>
      <c r="D70" s="213"/>
      <c r="E70" s="1655">
        <v>43014</v>
      </c>
      <c r="F70" s="1656">
        <v>43101</v>
      </c>
      <c r="G70" s="1656">
        <v>43191</v>
      </c>
      <c r="H70" s="1656">
        <v>43282</v>
      </c>
      <c r="I70" s="1656">
        <v>43374</v>
      </c>
      <c r="J70" s="1656">
        <v>43466</v>
      </c>
      <c r="K70" s="1656">
        <v>43556</v>
      </c>
      <c r="L70" s="1657">
        <v>43647</v>
      </c>
      <c r="M70" s="724"/>
      <c r="N70" s="1241"/>
      <c r="P70" s="1655">
        <v>43014</v>
      </c>
      <c r="Q70" s="1656">
        <v>43101</v>
      </c>
      <c r="R70" s="1656">
        <v>43191</v>
      </c>
      <c r="S70" s="1656">
        <v>43282</v>
      </c>
      <c r="T70" s="1656">
        <v>43374</v>
      </c>
      <c r="U70" s="1656">
        <v>43466</v>
      </c>
      <c r="V70" s="1656">
        <v>43556</v>
      </c>
      <c r="W70" s="1657">
        <v>43647</v>
      </c>
    </row>
    <row r="71" spans="2:28" x14ac:dyDescent="0.25">
      <c r="B71" s="1242"/>
      <c r="C71" s="1255" t="str">
        <f>C20</f>
        <v>Rental/Other Income</v>
      </c>
      <c r="D71" s="1255"/>
      <c r="E71" s="709">
        <v>0</v>
      </c>
      <c r="F71" s="710">
        <v>0</v>
      </c>
      <c r="G71" s="710">
        <v>0</v>
      </c>
      <c r="H71" s="710">
        <v>0</v>
      </c>
      <c r="I71" s="710">
        <v>0</v>
      </c>
      <c r="J71" s="710">
        <v>0</v>
      </c>
      <c r="K71" s="710">
        <v>0</v>
      </c>
      <c r="L71" s="711">
        <v>0</v>
      </c>
      <c r="M71" s="722">
        <f>SUM(E20:L20)+SUM(E71:L71)</f>
        <v>0</v>
      </c>
      <c r="N71" s="1241"/>
    </row>
    <row r="72" spans="2:28" x14ac:dyDescent="0.25">
      <c r="B72" s="1242"/>
      <c r="C72" s="1255" t="str">
        <f>C21</f>
        <v>Lucky 7 Foundation</v>
      </c>
      <c r="D72" s="1255"/>
      <c r="E72" s="712">
        <v>0</v>
      </c>
      <c r="F72" s="713">
        <v>0</v>
      </c>
      <c r="G72" s="713">
        <v>0</v>
      </c>
      <c r="H72" s="713">
        <v>0</v>
      </c>
      <c r="I72" s="713">
        <v>0</v>
      </c>
      <c r="J72" s="713">
        <v>0</v>
      </c>
      <c r="K72" s="713">
        <v>0</v>
      </c>
      <c r="L72" s="714">
        <v>0</v>
      </c>
      <c r="M72" s="721">
        <f>SUM(E21:L21)+SUM(E72:L72)</f>
        <v>574456</v>
      </c>
      <c r="N72" s="1241"/>
      <c r="Z72" s="1871">
        <v>11980000</v>
      </c>
      <c r="AA72" s="1905">
        <f t="shared" ref="AA72:AA77" si="13">SUM(E27:L27,E78:L78)</f>
        <v>11980000</v>
      </c>
      <c r="AB72" s="1905">
        <f>Z72-AA72</f>
        <v>0</v>
      </c>
    </row>
    <row r="73" spans="2:28" x14ac:dyDescent="0.25">
      <c r="B73" s="1242"/>
      <c r="C73" s="1255" t="str">
        <f>C22</f>
        <v>Predevelopment Loans</v>
      </c>
      <c r="D73" s="1255"/>
      <c r="E73" s="712">
        <v>0</v>
      </c>
      <c r="F73" s="713">
        <v>0</v>
      </c>
      <c r="G73" s="713">
        <v>0</v>
      </c>
      <c r="H73" s="713">
        <v>0</v>
      </c>
      <c r="I73" s="713">
        <v>0</v>
      </c>
      <c r="J73" s="713">
        <v>0</v>
      </c>
      <c r="K73" s="713">
        <v>0</v>
      </c>
      <c r="L73" s="714">
        <v>0</v>
      </c>
      <c r="M73" s="231">
        <f>SUM(E22:L22)+SUM(E73:L73)</f>
        <v>88253</v>
      </c>
      <c r="N73" s="1241"/>
      <c r="Z73" s="1871">
        <v>1000000</v>
      </c>
      <c r="AA73" s="1905">
        <f t="shared" si="13"/>
        <v>1000000</v>
      </c>
      <c r="AB73" s="1905">
        <f t="shared" ref="AB73:AB77" si="14">Z73-AA73</f>
        <v>0</v>
      </c>
    </row>
    <row r="74" spans="2:28" ht="15.75" thickBot="1" x14ac:dyDescent="0.3">
      <c r="B74" s="1242"/>
      <c r="C74" s="1255" t="str">
        <f>C23</f>
        <v>TBD</v>
      </c>
      <c r="D74" s="1255"/>
      <c r="E74" s="715">
        <v>0</v>
      </c>
      <c r="F74" s="716">
        <v>0</v>
      </c>
      <c r="G74" s="716">
        <v>0</v>
      </c>
      <c r="H74" s="716">
        <v>0</v>
      </c>
      <c r="I74" s="716">
        <v>0</v>
      </c>
      <c r="J74" s="716">
        <v>0</v>
      </c>
      <c r="K74" s="716">
        <v>0</v>
      </c>
      <c r="L74" s="717">
        <v>0</v>
      </c>
      <c r="M74" s="232">
        <f>SUM(E23:L23)+SUM(E74:L74)</f>
        <v>0</v>
      </c>
      <c r="N74" s="1241"/>
      <c r="Z74" s="1871">
        <v>6932376</v>
      </c>
      <c r="AA74" s="1905">
        <f t="shared" si="13"/>
        <v>6932376</v>
      </c>
      <c r="AB74" s="1905">
        <f t="shared" si="14"/>
        <v>0</v>
      </c>
    </row>
    <row r="75" spans="2:28" ht="15.75" thickBot="1" x14ac:dyDescent="0.3">
      <c r="B75" s="1242"/>
      <c r="C75" s="1079"/>
      <c r="D75" s="226" t="s">
        <v>347</v>
      </c>
      <c r="E75" s="718">
        <f>SUM(E71:E74)</f>
        <v>0</v>
      </c>
      <c r="F75" s="719">
        <f t="shared" ref="F75:L75" si="15">SUM(F71:F74)</f>
        <v>0</v>
      </c>
      <c r="G75" s="719">
        <f t="shared" si="15"/>
        <v>0</v>
      </c>
      <c r="H75" s="719">
        <f t="shared" si="15"/>
        <v>0</v>
      </c>
      <c r="I75" s="719">
        <f t="shared" si="15"/>
        <v>0</v>
      </c>
      <c r="J75" s="719">
        <f t="shared" si="15"/>
        <v>0</v>
      </c>
      <c r="K75" s="719">
        <f t="shared" si="15"/>
        <v>0</v>
      </c>
      <c r="L75" s="720">
        <f t="shared" si="15"/>
        <v>0</v>
      </c>
      <c r="M75" s="219">
        <f>SUM(M71:M74)</f>
        <v>662709</v>
      </c>
      <c r="N75" s="1241"/>
      <c r="Z75" s="1871">
        <v>1313231</v>
      </c>
      <c r="AA75" s="1905">
        <f t="shared" si="13"/>
        <v>1313231</v>
      </c>
      <c r="AB75" s="1905">
        <f t="shared" si="14"/>
        <v>0</v>
      </c>
    </row>
    <row r="76" spans="2:28" ht="3.75" customHeight="1" x14ac:dyDescent="0.25">
      <c r="B76" s="1242"/>
      <c r="C76" s="214"/>
      <c r="D76" s="214"/>
      <c r="E76" s="400"/>
      <c r="F76" s="220"/>
      <c r="G76" s="220"/>
      <c r="H76" s="220"/>
      <c r="I76" s="220"/>
      <c r="J76" s="220"/>
      <c r="K76" s="220"/>
      <c r="L76" s="220"/>
      <c r="M76" s="220"/>
      <c r="N76" s="1241"/>
      <c r="AA76" s="1905">
        <f t="shared" si="13"/>
        <v>0</v>
      </c>
      <c r="AB76" s="1905">
        <f t="shared" si="14"/>
        <v>0</v>
      </c>
    </row>
    <row r="77" spans="2:28" ht="15.75" thickBot="1" x14ac:dyDescent="0.3">
      <c r="B77" s="1242"/>
      <c r="C77" s="213" t="s">
        <v>215</v>
      </c>
      <c r="D77" s="213"/>
      <c r="E77" s="400"/>
      <c r="F77" s="220"/>
      <c r="G77" s="220"/>
      <c r="H77" s="220"/>
      <c r="I77" s="220"/>
      <c r="J77" s="220"/>
      <c r="K77" s="220"/>
      <c r="L77" s="220"/>
      <c r="M77" s="220"/>
      <c r="N77" s="1241"/>
      <c r="Z77" s="1871">
        <v>8824243</v>
      </c>
      <c r="AA77" s="1905">
        <f t="shared" si="13"/>
        <v>8824248</v>
      </c>
      <c r="AB77" s="1905">
        <f t="shared" si="14"/>
        <v>-5</v>
      </c>
    </row>
    <row r="78" spans="2:28" x14ac:dyDescent="0.25">
      <c r="B78" s="1242"/>
      <c r="C78" s="1258" t="str">
        <f>C27</f>
        <v>Seattle OH</v>
      </c>
      <c r="D78" s="1258"/>
      <c r="E78" s="778">
        <f>4539385+36</f>
        <v>4539421</v>
      </c>
      <c r="F78" s="779">
        <f>5503319+36</f>
        <v>5503355</v>
      </c>
      <c r="G78" s="779">
        <f>1927700+52924-43328-72</f>
        <v>1937224</v>
      </c>
      <c r="H78" s="779">
        <v>0</v>
      </c>
      <c r="I78" s="779">
        <v>0</v>
      </c>
      <c r="J78" s="779">
        <v>0</v>
      </c>
      <c r="K78" s="779">
        <v>0</v>
      </c>
      <c r="L78" s="780">
        <v>0</v>
      </c>
      <c r="M78" s="230">
        <f>SUM(E27:L27)+SUM(E78:L78)</f>
        <v>11980000</v>
      </c>
      <c r="N78" s="1241"/>
    </row>
    <row r="79" spans="2:28" x14ac:dyDescent="0.25">
      <c r="B79" s="1242"/>
      <c r="C79" s="1259" t="str">
        <f>C28</f>
        <v>Washington State HTF</v>
      </c>
      <c r="D79" s="1259"/>
      <c r="E79" s="781">
        <v>370766</v>
      </c>
      <c r="F79" s="782">
        <v>0</v>
      </c>
      <c r="G79" s="782">
        <v>0</v>
      </c>
      <c r="H79" s="782">
        <v>0</v>
      </c>
      <c r="I79" s="782">
        <v>0</v>
      </c>
      <c r="J79" s="782">
        <v>0</v>
      </c>
      <c r="K79" s="782">
        <v>0</v>
      </c>
      <c r="L79" s="783">
        <v>0</v>
      </c>
      <c r="M79" s="231">
        <f>SUM(E28:L28)+SUM(E79:L79)</f>
        <v>1000000</v>
      </c>
      <c r="N79" s="1241"/>
    </row>
    <row r="80" spans="2:28" x14ac:dyDescent="0.25">
      <c r="B80" s="1242"/>
      <c r="C80" s="1259" t="str">
        <f>C29</f>
        <v>Perm Loan</v>
      </c>
      <c r="D80" s="1259"/>
      <c r="E80" s="781">
        <v>593168</v>
      </c>
      <c r="F80" s="782">
        <v>0</v>
      </c>
      <c r="G80" s="782">
        <v>0</v>
      </c>
      <c r="H80" s="782">
        <v>0</v>
      </c>
      <c r="I80" s="782">
        <v>0</v>
      </c>
      <c r="J80" s="782">
        <v>0</v>
      </c>
      <c r="K80" s="782">
        <v>0</v>
      </c>
      <c r="L80" s="783">
        <v>0</v>
      </c>
      <c r="M80" s="231">
        <f>SUM(E29:L29)+SUM(E80:L80)</f>
        <v>6932376</v>
      </c>
      <c r="N80" s="1241"/>
    </row>
    <row r="81" spans="2:20" x14ac:dyDescent="0.25">
      <c r="B81" s="1242"/>
      <c r="C81" s="1259" t="str">
        <f>C30</f>
        <v>Deferred Fee</v>
      </c>
      <c r="D81" s="1259"/>
      <c r="E81" s="781">
        <v>0</v>
      </c>
      <c r="F81" s="782">
        <v>0</v>
      </c>
      <c r="G81" s="782">
        <v>0</v>
      </c>
      <c r="H81" s="782">
        <v>1313231</v>
      </c>
      <c r="I81" s="782">
        <v>0</v>
      </c>
      <c r="J81" s="782">
        <v>0</v>
      </c>
      <c r="K81" s="782">
        <v>0</v>
      </c>
      <c r="L81" s="783">
        <v>0</v>
      </c>
      <c r="M81" s="231">
        <f>SUM(E30:L30)+SUM(E81:L81)</f>
        <v>1313231</v>
      </c>
      <c r="N81" s="1241"/>
    </row>
    <row r="82" spans="2:20" x14ac:dyDescent="0.25">
      <c r="B82" s="1242"/>
      <c r="C82" s="1259" t="str">
        <f>C31</f>
        <v>Enter on 7A</v>
      </c>
      <c r="D82" s="1259"/>
      <c r="E82" s="781">
        <v>0</v>
      </c>
      <c r="F82" s="782">
        <v>0</v>
      </c>
      <c r="G82" s="782">
        <v>0</v>
      </c>
      <c r="H82" s="782">
        <v>0</v>
      </c>
      <c r="I82" s="782"/>
      <c r="J82" s="782">
        <v>0</v>
      </c>
      <c r="K82" s="782">
        <v>0</v>
      </c>
      <c r="L82" s="783">
        <v>0</v>
      </c>
      <c r="M82" s="231">
        <f>SUM(E31:L31)+SUM(E82:L82)</f>
        <v>0</v>
      </c>
      <c r="N82" s="1241"/>
    </row>
    <row r="83" spans="2:20" x14ac:dyDescent="0.25">
      <c r="B83" s="1242"/>
      <c r="C83" s="1260" t="str">
        <f t="shared" ref="C83:C85" si="16">C32</f>
        <v>LIHTC Equity - Calculate on 6E</v>
      </c>
      <c r="D83" s="1260"/>
      <c r="E83" s="781">
        <v>0</v>
      </c>
      <c r="F83" s="782">
        <v>0</v>
      </c>
      <c r="G83" s="782">
        <f>3517742-52927+43328+3+108</f>
        <v>3508254</v>
      </c>
      <c r="H83" s="782">
        <f>3816331-43328-150</f>
        <v>3772853</v>
      </c>
      <c r="I83" s="782">
        <v>278454</v>
      </c>
      <c r="J83" s="782">
        <v>0</v>
      </c>
      <c r="K83" s="782">
        <v>0</v>
      </c>
      <c r="L83" s="783">
        <v>0</v>
      </c>
      <c r="M83" s="231">
        <f t="shared" ref="M83:M85" si="17">SUM(E32:L32)+SUM(E83:L83)</f>
        <v>8824248</v>
      </c>
      <c r="N83" s="1241"/>
    </row>
    <row r="84" spans="2:20" x14ac:dyDescent="0.25">
      <c r="B84" s="1242"/>
      <c r="C84" s="1259" t="str">
        <f t="shared" si="16"/>
        <v>Enter on 7A</v>
      </c>
      <c r="D84" s="1259"/>
      <c r="E84" s="781">
        <v>0</v>
      </c>
      <c r="F84" s="782">
        <v>0</v>
      </c>
      <c r="G84" s="782">
        <v>0</v>
      </c>
      <c r="H84" s="782">
        <v>0</v>
      </c>
      <c r="I84" s="782">
        <v>0</v>
      </c>
      <c r="J84" s="782">
        <v>0</v>
      </c>
      <c r="K84" s="782">
        <v>0</v>
      </c>
      <c r="L84" s="783">
        <v>0</v>
      </c>
      <c r="M84" s="231">
        <f t="shared" si="17"/>
        <v>0</v>
      </c>
      <c r="N84" s="1241"/>
    </row>
    <row r="85" spans="2:20" ht="15.75" thickBot="1" x14ac:dyDescent="0.3">
      <c r="B85" s="1242"/>
      <c r="C85" s="1259" t="str">
        <f t="shared" si="16"/>
        <v>Enter on 7A</v>
      </c>
      <c r="D85" s="1259"/>
      <c r="E85" s="784">
        <v>0</v>
      </c>
      <c r="F85" s="785">
        <v>0</v>
      </c>
      <c r="G85" s="785">
        <v>0</v>
      </c>
      <c r="H85" s="785">
        <v>0</v>
      </c>
      <c r="I85" s="785">
        <v>0</v>
      </c>
      <c r="J85" s="785">
        <v>0</v>
      </c>
      <c r="K85" s="785">
        <v>0</v>
      </c>
      <c r="L85" s="786">
        <v>0</v>
      </c>
      <c r="M85" s="232">
        <f t="shared" si="17"/>
        <v>0</v>
      </c>
      <c r="N85" s="1241"/>
    </row>
    <row r="86" spans="2:20" ht="15.75" thickBot="1" x14ac:dyDescent="0.3">
      <c r="B86" s="1242"/>
      <c r="C86" s="1262"/>
      <c r="D86" s="215" t="s">
        <v>347</v>
      </c>
      <c r="E86" s="233">
        <f>SUM(E78:E85)</f>
        <v>5503355</v>
      </c>
      <c r="F86" s="234">
        <f t="shared" ref="F86:L86" si="18">SUM(F78:F85)</f>
        <v>5503355</v>
      </c>
      <c r="G86" s="234">
        <f t="shared" si="18"/>
        <v>5445478</v>
      </c>
      <c r="H86" s="234">
        <f t="shared" si="18"/>
        <v>5086084</v>
      </c>
      <c r="I86" s="234">
        <f t="shared" si="18"/>
        <v>278454</v>
      </c>
      <c r="J86" s="234">
        <f t="shared" si="18"/>
        <v>0</v>
      </c>
      <c r="K86" s="234">
        <f t="shared" si="18"/>
        <v>0</v>
      </c>
      <c r="L86" s="235">
        <f t="shared" si="18"/>
        <v>0</v>
      </c>
      <c r="M86" s="219">
        <f>SUM(M78:M85)</f>
        <v>30049855</v>
      </c>
      <c r="N86" s="1241"/>
    </row>
    <row r="87" spans="2:20" ht="3.75" customHeight="1" thickBot="1" x14ac:dyDescent="0.3">
      <c r="B87" s="1242"/>
      <c r="C87" s="216"/>
      <c r="D87" s="216"/>
      <c r="E87" s="220"/>
      <c r="F87" s="220"/>
      <c r="G87" s="220"/>
      <c r="H87" s="220"/>
      <c r="I87" s="220"/>
      <c r="J87" s="220"/>
      <c r="K87" s="220"/>
      <c r="L87" s="220"/>
      <c r="M87" s="221"/>
      <c r="N87" s="1241"/>
    </row>
    <row r="88" spans="2:20" ht="15.75" thickBot="1" x14ac:dyDescent="0.3">
      <c r="B88" s="1242"/>
      <c r="C88" s="213" t="s">
        <v>348</v>
      </c>
      <c r="D88" s="213"/>
      <c r="E88" s="233">
        <f>E75+E86</f>
        <v>5503355</v>
      </c>
      <c r="F88" s="234">
        <f t="shared" ref="F88:L88" si="19">F75+F86</f>
        <v>5503355</v>
      </c>
      <c r="G88" s="234">
        <f t="shared" si="19"/>
        <v>5445478</v>
      </c>
      <c r="H88" s="234">
        <f t="shared" si="19"/>
        <v>5086084</v>
      </c>
      <c r="I88" s="234">
        <f t="shared" si="19"/>
        <v>278454</v>
      </c>
      <c r="J88" s="234">
        <f t="shared" si="19"/>
        <v>0</v>
      </c>
      <c r="K88" s="234">
        <f t="shared" si="19"/>
        <v>0</v>
      </c>
      <c r="L88" s="235">
        <f t="shared" si="19"/>
        <v>0</v>
      </c>
      <c r="M88" s="222">
        <f>M75+M86</f>
        <v>30712564</v>
      </c>
      <c r="N88" s="1241"/>
    </row>
    <row r="89" spans="2:20" x14ac:dyDescent="0.25">
      <c r="B89" s="1242"/>
      <c r="C89" s="212"/>
      <c r="D89" s="212"/>
      <c r="E89" s="212"/>
      <c r="F89" s="212"/>
      <c r="G89" s="212"/>
      <c r="H89" s="212"/>
      <c r="I89" s="212"/>
      <c r="J89" s="1253"/>
      <c r="K89" s="212"/>
      <c r="L89" s="212"/>
      <c r="M89" s="223" t="s">
        <v>357</v>
      </c>
      <c r="N89" s="1241"/>
    </row>
    <row r="90" spans="2:20" ht="15.75" thickBot="1" x14ac:dyDescent="0.3">
      <c r="B90" s="1242"/>
      <c r="C90" s="211" t="s">
        <v>349</v>
      </c>
      <c r="D90" s="211"/>
      <c r="E90" s="400"/>
      <c r="F90" s="1276"/>
      <c r="G90" s="1276"/>
      <c r="H90" s="1276"/>
      <c r="I90" s="1276"/>
      <c r="J90" s="1276"/>
      <c r="K90" s="1253"/>
      <c r="L90" s="212"/>
      <c r="M90" s="212"/>
      <c r="N90" s="1241"/>
    </row>
    <row r="91" spans="2:20" x14ac:dyDescent="0.25">
      <c r="B91" s="1242"/>
      <c r="C91" s="227" t="s">
        <v>23</v>
      </c>
      <c r="D91" s="353"/>
      <c r="E91" s="1896">
        <f>$O$91*P91</f>
        <v>0</v>
      </c>
      <c r="F91" s="1899">
        <f t="shared" ref="F91:L91" si="20">$O$91*Q91</f>
        <v>0</v>
      </c>
      <c r="G91" s="1899">
        <f t="shared" si="20"/>
        <v>0</v>
      </c>
      <c r="H91" s="1899">
        <f t="shared" si="20"/>
        <v>0</v>
      </c>
      <c r="I91" s="1899">
        <f t="shared" si="20"/>
        <v>0</v>
      </c>
      <c r="J91" s="1899">
        <f t="shared" si="20"/>
        <v>0</v>
      </c>
      <c r="K91" s="1899">
        <f t="shared" si="20"/>
        <v>0</v>
      </c>
      <c r="L91" s="1893">
        <f t="shared" si="20"/>
        <v>0</v>
      </c>
      <c r="M91" s="230">
        <f t="shared" ref="M91:M98" si="21">SUM(E40:L40)+SUM(E91:L91)</f>
        <v>574456</v>
      </c>
      <c r="N91" s="1241"/>
      <c r="O91" s="843">
        <v>574456</v>
      </c>
    </row>
    <row r="92" spans="2:20" x14ac:dyDescent="0.25">
      <c r="B92" s="1242"/>
      <c r="C92" s="228" t="s">
        <v>350</v>
      </c>
      <c r="D92" s="228"/>
      <c r="E92" s="1897">
        <f>$O$92*P92</f>
        <v>5255469</v>
      </c>
      <c r="F92" s="1900">
        <f t="shared" ref="F92:L92" si="22">$O$92*Q92</f>
        <v>5255469</v>
      </c>
      <c r="G92" s="1900">
        <f t="shared" si="22"/>
        <v>5255469</v>
      </c>
      <c r="H92" s="1900">
        <f t="shared" si="22"/>
        <v>4204375.2</v>
      </c>
      <c r="I92" s="1900">
        <f t="shared" si="22"/>
        <v>0</v>
      </c>
      <c r="J92" s="1900">
        <f t="shared" si="22"/>
        <v>0</v>
      </c>
      <c r="K92" s="1900">
        <f t="shared" si="22"/>
        <v>0</v>
      </c>
      <c r="L92" s="1894">
        <f t="shared" si="22"/>
        <v>0</v>
      </c>
      <c r="M92" s="231">
        <f t="shared" si="21"/>
        <v>26277345</v>
      </c>
      <c r="N92" s="1241"/>
      <c r="O92" s="843">
        <f>22157911+4119434</f>
        <v>26277345</v>
      </c>
      <c r="P92" s="1887">
        <v>0.2</v>
      </c>
      <c r="Q92" s="1887">
        <v>0.2</v>
      </c>
      <c r="R92" s="1887">
        <v>0.2</v>
      </c>
      <c r="S92" s="1887">
        <v>0.16</v>
      </c>
    </row>
    <row r="93" spans="2:20" x14ac:dyDescent="0.25">
      <c r="B93" s="1242"/>
      <c r="C93" s="228" t="s">
        <v>351</v>
      </c>
      <c r="D93" s="228"/>
      <c r="E93" s="1897">
        <f>$O$93*P93</f>
        <v>0</v>
      </c>
      <c r="F93" s="1900">
        <f t="shared" ref="F93:L93" si="23">$O$93*Q93</f>
        <v>0</v>
      </c>
      <c r="G93" s="1900">
        <f t="shared" si="23"/>
        <v>0</v>
      </c>
      <c r="H93" s="1900">
        <f t="shared" si="23"/>
        <v>0</v>
      </c>
      <c r="I93" s="1900">
        <f t="shared" si="23"/>
        <v>0</v>
      </c>
      <c r="J93" s="1900">
        <f t="shared" si="23"/>
        <v>0</v>
      </c>
      <c r="K93" s="1900">
        <f t="shared" si="23"/>
        <v>0</v>
      </c>
      <c r="L93" s="1894">
        <f t="shared" si="23"/>
        <v>0</v>
      </c>
      <c r="M93" s="231">
        <f t="shared" si="21"/>
        <v>750958.5</v>
      </c>
      <c r="N93" s="1241"/>
      <c r="O93" s="843">
        <v>88250</v>
      </c>
    </row>
    <row r="94" spans="2:20" x14ac:dyDescent="0.25">
      <c r="B94" s="1242"/>
      <c r="C94" s="229" t="s">
        <v>209</v>
      </c>
      <c r="D94" s="229"/>
      <c r="E94" s="1897">
        <f>$O$94*P94</f>
        <v>74254.400000000009</v>
      </c>
      <c r="F94" s="1900">
        <f t="shared" ref="F94:L94" si="24">$O$94*Q94</f>
        <v>74254.400000000009</v>
      </c>
      <c r="G94" s="1900">
        <f t="shared" si="24"/>
        <v>74254.400000000009</v>
      </c>
      <c r="H94" s="1900">
        <f t="shared" si="24"/>
        <v>74254.400000000009</v>
      </c>
      <c r="I94" s="1900">
        <f t="shared" si="24"/>
        <v>278454</v>
      </c>
      <c r="J94" s="1900">
        <f t="shared" si="24"/>
        <v>0</v>
      </c>
      <c r="K94" s="1900">
        <f t="shared" si="24"/>
        <v>0</v>
      </c>
      <c r="L94" s="1894">
        <f t="shared" si="24"/>
        <v>0</v>
      </c>
      <c r="M94" s="231">
        <f t="shared" si="21"/>
        <v>928180.00000000012</v>
      </c>
      <c r="N94" s="1241"/>
      <c r="O94" s="843">
        <v>928180</v>
      </c>
      <c r="P94" s="1887">
        <v>0.08</v>
      </c>
      <c r="Q94" s="1887">
        <v>0.08</v>
      </c>
      <c r="R94" s="1887">
        <v>0.08</v>
      </c>
      <c r="S94" s="1887">
        <v>0.08</v>
      </c>
      <c r="T94" s="1887">
        <v>0.3</v>
      </c>
    </row>
    <row r="95" spans="2:20" x14ac:dyDescent="0.25">
      <c r="B95" s="1242"/>
      <c r="C95" s="229" t="s">
        <v>215</v>
      </c>
      <c r="D95" s="229"/>
      <c r="E95" s="1897">
        <f>$O$95*P95</f>
        <v>0</v>
      </c>
      <c r="F95" s="1900">
        <f t="shared" ref="F95:L95" si="25">$O$95*Q95</f>
        <v>0</v>
      </c>
      <c r="G95" s="1900">
        <f t="shared" si="25"/>
        <v>0</v>
      </c>
      <c r="H95" s="1900">
        <f t="shared" si="25"/>
        <v>101031.5</v>
      </c>
      <c r="I95" s="1900">
        <f t="shared" si="25"/>
        <v>0</v>
      </c>
      <c r="J95" s="1900">
        <f t="shared" si="25"/>
        <v>0</v>
      </c>
      <c r="K95" s="1900">
        <f t="shared" si="25"/>
        <v>0</v>
      </c>
      <c r="L95" s="1894">
        <f t="shared" si="25"/>
        <v>0</v>
      </c>
      <c r="M95" s="231">
        <f t="shared" si="21"/>
        <v>202063</v>
      </c>
      <c r="N95" s="1241"/>
      <c r="O95" s="843">
        <v>202063</v>
      </c>
      <c r="S95" s="1887">
        <v>0.5</v>
      </c>
    </row>
    <row r="96" spans="2:20" x14ac:dyDescent="0.25">
      <c r="B96" s="1242"/>
      <c r="C96" s="229" t="s">
        <v>223</v>
      </c>
      <c r="D96" s="229"/>
      <c r="E96" s="1897">
        <f>$O$96*P96</f>
        <v>0</v>
      </c>
      <c r="F96" s="1900">
        <f t="shared" ref="F96:L96" si="26">$O$96*Q96</f>
        <v>0</v>
      </c>
      <c r="G96" s="1900">
        <f t="shared" si="26"/>
        <v>0</v>
      </c>
      <c r="H96" s="1900">
        <f t="shared" si="26"/>
        <v>706423</v>
      </c>
      <c r="I96" s="1900">
        <f t="shared" si="26"/>
        <v>0</v>
      </c>
      <c r="J96" s="1900">
        <f t="shared" si="26"/>
        <v>0</v>
      </c>
      <c r="K96" s="1900">
        <f t="shared" si="26"/>
        <v>0</v>
      </c>
      <c r="L96" s="1894">
        <f t="shared" si="26"/>
        <v>0</v>
      </c>
      <c r="M96" s="231">
        <f t="shared" si="21"/>
        <v>706423</v>
      </c>
      <c r="N96" s="1241"/>
      <c r="O96" s="843">
        <v>706423</v>
      </c>
      <c r="S96" s="1887">
        <v>1</v>
      </c>
    </row>
    <row r="97" spans="2:18" x14ac:dyDescent="0.25">
      <c r="B97" s="1242"/>
      <c r="C97" s="229" t="s">
        <v>226</v>
      </c>
      <c r="D97" s="229"/>
      <c r="E97" s="1897">
        <f>$O$97*P97</f>
        <v>173631.15</v>
      </c>
      <c r="F97" s="1900">
        <f t="shared" ref="F97:L97" si="27">$O$97*Q97</f>
        <v>173631.15</v>
      </c>
      <c r="G97" s="1900">
        <f t="shared" si="27"/>
        <v>115754.1</v>
      </c>
      <c r="H97" s="1900">
        <f t="shared" si="27"/>
        <v>0</v>
      </c>
      <c r="I97" s="1900">
        <f t="shared" si="27"/>
        <v>0</v>
      </c>
      <c r="J97" s="1900">
        <f t="shared" si="27"/>
        <v>0</v>
      </c>
      <c r="K97" s="1900">
        <f t="shared" si="27"/>
        <v>0</v>
      </c>
      <c r="L97" s="1894">
        <f t="shared" si="27"/>
        <v>0</v>
      </c>
      <c r="M97" s="231">
        <f t="shared" si="21"/>
        <v>1157541</v>
      </c>
      <c r="N97" s="1241"/>
      <c r="O97" s="843">
        <v>1157541</v>
      </c>
      <c r="P97" s="1887">
        <v>0.15</v>
      </c>
      <c r="Q97" s="1887">
        <v>0.15</v>
      </c>
      <c r="R97" s="1887">
        <v>0.1</v>
      </c>
    </row>
    <row r="98" spans="2:18" ht="15.75" thickBot="1" x14ac:dyDescent="0.3">
      <c r="B98" s="1242"/>
      <c r="C98" s="229" t="s">
        <v>352</v>
      </c>
      <c r="D98" s="229"/>
      <c r="E98" s="1898">
        <f>$O$98*P98</f>
        <v>0</v>
      </c>
      <c r="F98" s="1901">
        <f t="shared" ref="F98:L98" si="28">$O$98*Q98</f>
        <v>0</v>
      </c>
      <c r="G98" s="1901">
        <f t="shared" si="28"/>
        <v>0</v>
      </c>
      <c r="H98" s="1901">
        <f t="shared" si="28"/>
        <v>0</v>
      </c>
      <c r="I98" s="1901">
        <f t="shared" si="28"/>
        <v>0</v>
      </c>
      <c r="J98" s="1901">
        <f t="shared" si="28"/>
        <v>0</v>
      </c>
      <c r="K98" s="1901">
        <f t="shared" si="28"/>
        <v>0</v>
      </c>
      <c r="L98" s="1895">
        <f t="shared" si="28"/>
        <v>0</v>
      </c>
      <c r="M98" s="232">
        <f t="shared" si="21"/>
        <v>115594</v>
      </c>
      <c r="N98" s="1241"/>
      <c r="O98" s="843">
        <v>115594</v>
      </c>
    </row>
    <row r="99" spans="2:18" ht="3.75" customHeight="1" thickBot="1" x14ac:dyDescent="0.3">
      <c r="B99" s="1242"/>
      <c r="C99" s="223"/>
      <c r="D99" s="223"/>
      <c r="E99" s="220"/>
      <c r="F99" s="220"/>
      <c r="G99" s="220"/>
      <c r="H99" s="220"/>
      <c r="I99" s="220"/>
      <c r="J99" s="220"/>
      <c r="K99" s="220"/>
      <c r="L99" s="220"/>
      <c r="M99" s="221"/>
      <c r="N99" s="1241"/>
    </row>
    <row r="100" spans="2:18" ht="15.75" thickBot="1" x14ac:dyDescent="0.3">
      <c r="B100" s="1242"/>
      <c r="C100" s="224" t="s">
        <v>353</v>
      </c>
      <c r="D100" s="224"/>
      <c r="E100" s="233">
        <f>SUM(E91:E98)</f>
        <v>5503354.5500000007</v>
      </c>
      <c r="F100" s="234">
        <f t="shared" ref="F100:L100" si="29">SUM(F91:F98)</f>
        <v>5503354.5500000007</v>
      </c>
      <c r="G100" s="234">
        <f t="shared" si="29"/>
        <v>5445477.5</v>
      </c>
      <c r="H100" s="234">
        <f t="shared" si="29"/>
        <v>5086084.1000000006</v>
      </c>
      <c r="I100" s="234">
        <f t="shared" si="29"/>
        <v>278454</v>
      </c>
      <c r="J100" s="234">
        <f t="shared" si="29"/>
        <v>0</v>
      </c>
      <c r="K100" s="234">
        <f t="shared" si="29"/>
        <v>0</v>
      </c>
      <c r="L100" s="235">
        <f t="shared" si="29"/>
        <v>0</v>
      </c>
      <c r="M100" s="225">
        <f>SUM(M91:M98)</f>
        <v>30712560.5</v>
      </c>
      <c r="N100" s="1241"/>
      <c r="O100" s="843">
        <f>SUM(O91:O98)</f>
        <v>30049852</v>
      </c>
    </row>
    <row r="101" spans="2:18" ht="3.75" customHeight="1" thickBot="1" x14ac:dyDescent="0.3">
      <c r="B101" s="1242"/>
      <c r="C101" s="212"/>
      <c r="D101" s="212"/>
      <c r="E101" s="220"/>
      <c r="F101" s="220"/>
      <c r="G101" s="220"/>
      <c r="H101" s="220"/>
      <c r="I101" s="220"/>
      <c r="J101" s="1270"/>
      <c r="K101" s="212"/>
      <c r="L101" s="212"/>
      <c r="M101" s="223"/>
      <c r="N101" s="1241"/>
    </row>
    <row r="102" spans="2:18" ht="15.75" thickBot="1" x14ac:dyDescent="0.3">
      <c r="B102" s="1242"/>
      <c r="C102" s="217" t="s">
        <v>354</v>
      </c>
      <c r="D102" s="217"/>
      <c r="E102" s="233">
        <f>E88-E100</f>
        <v>0.44999999925494194</v>
      </c>
      <c r="F102" s="234">
        <f t="shared" ref="F102:L102" si="30">F88-F100</f>
        <v>0.44999999925494194</v>
      </c>
      <c r="G102" s="234">
        <f t="shared" si="30"/>
        <v>0.5</v>
      </c>
      <c r="H102" s="234">
        <f t="shared" si="30"/>
        <v>-0.10000000055879354</v>
      </c>
      <c r="I102" s="234">
        <f t="shared" si="30"/>
        <v>0</v>
      </c>
      <c r="J102" s="234">
        <f t="shared" si="30"/>
        <v>0</v>
      </c>
      <c r="K102" s="234">
        <f t="shared" si="30"/>
        <v>0</v>
      </c>
      <c r="L102" s="235">
        <f t="shared" si="30"/>
        <v>0</v>
      </c>
      <c r="M102" s="219">
        <f>M88-M100</f>
        <v>3.5</v>
      </c>
      <c r="N102" s="1241"/>
    </row>
    <row r="103" spans="2:18" ht="7.5" customHeight="1" x14ac:dyDescent="0.25">
      <c r="B103" s="1242"/>
      <c r="C103" s="212"/>
      <c r="D103" s="212"/>
      <c r="E103" s="212"/>
      <c r="F103" s="220"/>
      <c r="G103" s="220"/>
      <c r="H103" s="220"/>
      <c r="I103" s="220"/>
      <c r="J103" s="220"/>
      <c r="K103" s="220"/>
      <c r="L103" s="220"/>
      <c r="M103" s="220"/>
      <c r="N103" s="1241"/>
    </row>
    <row r="104" spans="2:18" x14ac:dyDescent="0.25">
      <c r="B104" s="1242"/>
      <c r="C104" s="218" t="s">
        <v>355</v>
      </c>
      <c r="D104" s="212"/>
      <c r="E104" s="813"/>
      <c r="F104" s="220"/>
      <c r="G104" s="220"/>
      <c r="H104" s="220"/>
      <c r="I104" s="220"/>
      <c r="J104" s="220"/>
      <c r="K104" s="220"/>
      <c r="L104" s="220"/>
      <c r="M104" s="220"/>
      <c r="N104" s="1241"/>
    </row>
    <row r="105" spans="2:18" ht="15" customHeight="1" x14ac:dyDescent="0.25">
      <c r="B105" s="1242"/>
      <c r="C105" s="2149"/>
      <c r="D105" s="2150"/>
      <c r="E105" s="2150"/>
      <c r="F105" s="2150"/>
      <c r="G105" s="2150"/>
      <c r="H105" s="2150"/>
      <c r="I105" s="2150"/>
      <c r="J105" s="2150"/>
      <c r="K105" s="2150"/>
      <c r="L105" s="2151"/>
      <c r="M105" s="809"/>
      <c r="N105" s="1241"/>
    </row>
    <row r="106" spans="2:18" ht="15" customHeight="1" x14ac:dyDescent="0.25">
      <c r="B106" s="1242"/>
      <c r="C106" s="2152"/>
      <c r="D106" s="2153"/>
      <c r="E106" s="2153"/>
      <c r="F106" s="2153"/>
      <c r="G106" s="2153"/>
      <c r="H106" s="2153"/>
      <c r="I106" s="2153"/>
      <c r="J106" s="2153"/>
      <c r="K106" s="2153"/>
      <c r="L106" s="2154"/>
      <c r="M106" s="809"/>
      <c r="N106" s="1241"/>
    </row>
    <row r="107" spans="2:18" x14ac:dyDescent="0.25">
      <c r="B107" s="1242"/>
      <c r="C107" s="2152"/>
      <c r="D107" s="2153"/>
      <c r="E107" s="2153"/>
      <c r="F107" s="2153"/>
      <c r="G107" s="2153"/>
      <c r="H107" s="2153"/>
      <c r="I107" s="2153"/>
      <c r="J107" s="2153"/>
      <c r="K107" s="2153"/>
      <c r="L107" s="2154"/>
      <c r="M107" s="809"/>
      <c r="N107" s="1241"/>
    </row>
    <row r="108" spans="2:18" ht="15" customHeight="1" x14ac:dyDescent="0.25">
      <c r="B108" s="1242"/>
      <c r="C108" s="2155"/>
      <c r="D108" s="2156"/>
      <c r="E108" s="2156"/>
      <c r="F108" s="2156"/>
      <c r="G108" s="2156"/>
      <c r="H108" s="2156"/>
      <c r="I108" s="2156"/>
      <c r="J108" s="2156"/>
      <c r="K108" s="2156"/>
      <c r="L108" s="2157"/>
      <c r="M108" s="809"/>
      <c r="N108" s="1241"/>
    </row>
    <row r="109" spans="2:18" ht="9" customHeight="1" thickBot="1" x14ac:dyDescent="0.3">
      <c r="B109" s="1271"/>
      <c r="C109" s="921"/>
      <c r="D109" s="921"/>
      <c r="E109" s="1277"/>
      <c r="F109" s="1277"/>
      <c r="G109" s="1277"/>
      <c r="H109" s="1277"/>
      <c r="I109" s="1277"/>
      <c r="J109" s="1277"/>
      <c r="K109" s="1277"/>
      <c r="L109" s="1277"/>
      <c r="M109" s="1277"/>
      <c r="N109" s="1273"/>
    </row>
  </sheetData>
  <sheetProtection password="9F6B" sheet="1" objects="1" scenarios="1" formatCells="0" formatColumns="0" formatRows="0" insertRows="0"/>
  <mergeCells count="3">
    <mergeCell ref="C54:L57"/>
    <mergeCell ref="C105:L108"/>
    <mergeCell ref="C62:M62"/>
  </mergeCells>
  <pageMargins left="0.7" right="0.7" top="0.75" bottom="0.75" header="0.3" footer="0.3"/>
  <pageSetup scale="66" fitToHeight="2" orientation="portrait" r:id="rId1"/>
  <headerFooter>
    <oddFooter>&amp;LForm 7B
Estimate of Cash Flow During Development&amp;CCFA Forms&amp;REdition: 2015
Version: 1.1</oddFooter>
  </headerFooter>
  <rowBreaks count="1" manualBreakCount="1">
    <brk id="59" min="1" max="1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O25"/>
  <sheetViews>
    <sheetView showGridLines="0" zoomScaleNormal="100" workbookViewId="0">
      <selection activeCell="H22" sqref="H22"/>
    </sheetView>
  </sheetViews>
  <sheetFormatPr defaultRowHeight="15" x14ac:dyDescent="0.25"/>
  <cols>
    <col min="1" max="2" width="1.7109375" style="923" customWidth="1"/>
    <col min="3" max="3" width="14.28515625" style="923" customWidth="1"/>
    <col min="4" max="4" width="7" style="923" bestFit="1" customWidth="1"/>
    <col min="5" max="8" width="9.140625" style="923"/>
    <col min="9" max="9" width="11" style="923" customWidth="1"/>
    <col min="10" max="11" width="9.140625" style="923"/>
    <col min="12" max="12" width="11.7109375" style="923" bestFit="1" customWidth="1"/>
    <col min="13" max="13" width="12" style="923" customWidth="1"/>
    <col min="14" max="14" width="11.42578125" style="923" customWidth="1"/>
    <col min="15" max="15" width="1.7109375" style="923" customWidth="1"/>
    <col min="16" max="16384" width="9.140625" style="923"/>
  </cols>
  <sheetData>
    <row r="1" spans="2:15" ht="9" customHeight="1" thickBot="1" x14ac:dyDescent="0.3"/>
    <row r="2" spans="2:15" ht="9" customHeight="1" x14ac:dyDescent="0.25">
      <c r="B2" s="354"/>
      <c r="C2" s="1508"/>
      <c r="D2" s="1508"/>
      <c r="E2" s="1509"/>
      <c r="F2" s="1509"/>
      <c r="G2" s="1508"/>
      <c r="H2" s="1508"/>
      <c r="I2" s="1508"/>
      <c r="J2" s="1508"/>
      <c r="K2" s="1508"/>
      <c r="L2" s="1508"/>
      <c r="M2" s="1508"/>
      <c r="N2" s="1508"/>
      <c r="O2" s="1510"/>
    </row>
    <row r="3" spans="2:15" ht="18.75" x14ac:dyDescent="0.25">
      <c r="B3" s="8"/>
      <c r="C3" s="1939" t="s">
        <v>1361</v>
      </c>
      <c r="D3" s="1939"/>
      <c r="E3" s="1939"/>
      <c r="F3" s="1939"/>
      <c r="G3" s="1939"/>
      <c r="H3" s="1939"/>
      <c r="I3" s="1939"/>
      <c r="J3" s="1939"/>
      <c r="K3" s="1939"/>
      <c r="L3" s="1939"/>
      <c r="M3" s="1939"/>
      <c r="N3" s="1939"/>
      <c r="O3" s="1511"/>
    </row>
    <row r="4" spans="2:15" x14ac:dyDescent="0.25">
      <c r="B4" s="8"/>
      <c r="C4" s="5"/>
      <c r="D4" s="5"/>
      <c r="E4" s="247"/>
      <c r="F4" s="247"/>
      <c r="G4" s="5"/>
      <c r="H4" s="5"/>
      <c r="I4" s="5"/>
      <c r="J4" s="5"/>
      <c r="K4" s="5"/>
      <c r="L4" s="5"/>
      <c r="M4" s="5"/>
      <c r="N4" s="5"/>
      <c r="O4" s="1511"/>
    </row>
    <row r="5" spans="2:15" x14ac:dyDescent="0.25">
      <c r="B5" s="1129"/>
      <c r="C5" s="927" t="s">
        <v>63</v>
      </c>
      <c r="D5" s="2158" t="str">
        <f>IF('1A'!G5="","Enter Project Name on Form 1A",'1A'!G5)</f>
        <v>Liberty Bank Building</v>
      </c>
      <c r="E5" s="2158"/>
      <c r="F5" s="2158"/>
      <c r="G5" s="2158"/>
      <c r="H5" s="2158"/>
      <c r="I5" s="2158"/>
      <c r="J5" s="2158"/>
      <c r="K5" s="1128"/>
      <c r="L5" s="1128"/>
      <c r="M5" s="1128"/>
      <c r="N5" s="1128"/>
      <c r="O5" s="1203"/>
    </row>
    <row r="6" spans="2:15" ht="22.5" customHeight="1" thickBot="1" x14ac:dyDescent="0.3">
      <c r="B6" s="8"/>
      <c r="C6" s="5"/>
      <c r="D6" s="5"/>
      <c r="E6" s="247"/>
      <c r="F6" s="247"/>
      <c r="G6" s="5"/>
      <c r="H6" s="5"/>
      <c r="I6" s="5"/>
      <c r="J6" s="5"/>
      <c r="K6" s="5"/>
      <c r="L6" s="5"/>
      <c r="M6" s="5"/>
      <c r="N6" s="5"/>
      <c r="O6" s="1511"/>
    </row>
    <row r="7" spans="2:15" ht="45.75" thickBot="1" x14ac:dyDescent="0.3">
      <c r="B7" s="8"/>
      <c r="C7" s="1512" t="s">
        <v>358</v>
      </c>
      <c r="D7" s="1513" t="s">
        <v>663</v>
      </c>
      <c r="E7" s="1513" t="s">
        <v>359</v>
      </c>
      <c r="F7" s="1514" t="s">
        <v>1072</v>
      </c>
      <c r="G7" s="1515" t="s">
        <v>360</v>
      </c>
      <c r="H7" s="1513" t="s">
        <v>361</v>
      </c>
      <c r="I7" s="1515" t="s">
        <v>362</v>
      </c>
      <c r="J7" s="1515" t="s">
        <v>363</v>
      </c>
      <c r="K7" s="1513" t="s">
        <v>364</v>
      </c>
      <c r="L7" s="1515" t="s">
        <v>365</v>
      </c>
      <c r="M7" s="1515" t="s">
        <v>366</v>
      </c>
      <c r="N7" s="1516" t="s">
        <v>367</v>
      </c>
      <c r="O7" s="248"/>
    </row>
    <row r="8" spans="2:15" x14ac:dyDescent="0.25">
      <c r="B8" s="8"/>
      <c r="C8" s="1496">
        <v>0.3</v>
      </c>
      <c r="D8" s="1497">
        <v>1</v>
      </c>
      <c r="E8" s="1497" t="s">
        <v>41</v>
      </c>
      <c r="F8" s="1498">
        <v>525</v>
      </c>
      <c r="G8" s="1499">
        <v>130</v>
      </c>
      <c r="H8" s="1499">
        <v>40</v>
      </c>
      <c r="I8" s="1517">
        <f>G8+H8</f>
        <v>170</v>
      </c>
      <c r="J8" s="1499">
        <f>826-I8</f>
        <v>656</v>
      </c>
      <c r="K8" s="1517">
        <f>I8+J8</f>
        <v>826</v>
      </c>
      <c r="L8" s="1517">
        <f>D8*G8*12</f>
        <v>1560</v>
      </c>
      <c r="M8" s="1517">
        <f>D8*J8*12</f>
        <v>7872</v>
      </c>
      <c r="N8" s="1518">
        <f>L8+M8</f>
        <v>9432</v>
      </c>
      <c r="O8" s="248"/>
    </row>
    <row r="9" spans="2:15" x14ac:dyDescent="0.25">
      <c r="B9" s="8"/>
      <c r="C9" s="1500">
        <v>0.5</v>
      </c>
      <c r="D9" s="1501">
        <v>5</v>
      </c>
      <c r="E9" s="1501" t="s">
        <v>41</v>
      </c>
      <c r="F9" s="1501">
        <v>525</v>
      </c>
      <c r="G9" s="1502">
        <f>785-H9</f>
        <v>745</v>
      </c>
      <c r="H9" s="1502">
        <v>40</v>
      </c>
      <c r="I9" s="1519">
        <f t="shared" ref="I9:I21" si="0">G9+H9</f>
        <v>785</v>
      </c>
      <c r="J9" s="1502">
        <v>0</v>
      </c>
      <c r="K9" s="1519">
        <f t="shared" ref="K9:K21" si="1">I9+J9</f>
        <v>785</v>
      </c>
      <c r="L9" s="1519">
        <f t="shared" ref="L9:L21" si="2">D9*G9*12</f>
        <v>44700</v>
      </c>
      <c r="M9" s="1519">
        <f t="shared" ref="M9:M21" si="3">D9*J9*12</f>
        <v>0</v>
      </c>
      <c r="N9" s="1520">
        <f t="shared" ref="N9:N21" si="4">L9+M9</f>
        <v>44700</v>
      </c>
      <c r="O9" s="248"/>
    </row>
    <row r="10" spans="2:15" x14ac:dyDescent="0.25">
      <c r="B10" s="8"/>
      <c r="C10" s="1500">
        <v>0.6</v>
      </c>
      <c r="D10" s="1501">
        <v>19</v>
      </c>
      <c r="E10" s="1501" t="s">
        <v>41</v>
      </c>
      <c r="F10" s="1501">
        <v>525</v>
      </c>
      <c r="G10" s="1502">
        <f>942-H10</f>
        <v>902</v>
      </c>
      <c r="H10" s="1502">
        <v>40</v>
      </c>
      <c r="I10" s="1519">
        <f t="shared" si="0"/>
        <v>942</v>
      </c>
      <c r="J10" s="1502">
        <v>0</v>
      </c>
      <c r="K10" s="1519">
        <f t="shared" si="1"/>
        <v>942</v>
      </c>
      <c r="L10" s="1519">
        <f t="shared" si="2"/>
        <v>205656</v>
      </c>
      <c r="M10" s="1519">
        <f t="shared" si="3"/>
        <v>0</v>
      </c>
      <c r="N10" s="1520">
        <f t="shared" si="4"/>
        <v>205656</v>
      </c>
      <c r="O10" s="248"/>
    </row>
    <row r="11" spans="2:15" x14ac:dyDescent="0.25">
      <c r="B11" s="8"/>
      <c r="C11" s="1500">
        <v>0.3</v>
      </c>
      <c r="D11" s="1501">
        <v>4</v>
      </c>
      <c r="E11" s="1501" t="s">
        <v>1285</v>
      </c>
      <c r="F11" s="1501">
        <v>650</v>
      </c>
      <c r="G11" s="1502">
        <v>175</v>
      </c>
      <c r="H11" s="1502">
        <v>40</v>
      </c>
      <c r="I11" s="1519">
        <f t="shared" si="0"/>
        <v>215</v>
      </c>
      <c r="J11" s="1502">
        <f>978-I11</f>
        <v>763</v>
      </c>
      <c r="K11" s="1519">
        <f t="shared" si="1"/>
        <v>978</v>
      </c>
      <c r="L11" s="1519">
        <f t="shared" si="2"/>
        <v>8400</v>
      </c>
      <c r="M11" s="1519">
        <f t="shared" si="3"/>
        <v>36624</v>
      </c>
      <c r="N11" s="1520">
        <f t="shared" si="4"/>
        <v>45024</v>
      </c>
      <c r="O11" s="1511"/>
    </row>
    <row r="12" spans="2:15" x14ac:dyDescent="0.25">
      <c r="B12" s="8"/>
      <c r="C12" s="1500">
        <v>0.5</v>
      </c>
      <c r="D12" s="1501">
        <v>5</v>
      </c>
      <c r="E12" s="1501" t="s">
        <v>1285</v>
      </c>
      <c r="F12" s="1501">
        <v>650</v>
      </c>
      <c r="G12" s="1502">
        <f>840-H12</f>
        <v>800</v>
      </c>
      <c r="H12" s="1502">
        <v>40</v>
      </c>
      <c r="I12" s="1519">
        <f t="shared" si="0"/>
        <v>840</v>
      </c>
      <c r="J12" s="1502">
        <v>0</v>
      </c>
      <c r="K12" s="1519">
        <f t="shared" si="1"/>
        <v>840</v>
      </c>
      <c r="L12" s="1519">
        <f t="shared" si="2"/>
        <v>48000</v>
      </c>
      <c r="M12" s="1519">
        <f t="shared" si="3"/>
        <v>0</v>
      </c>
      <c r="N12" s="1520">
        <f t="shared" si="4"/>
        <v>48000</v>
      </c>
      <c r="O12" s="1511"/>
    </row>
    <row r="13" spans="2:15" x14ac:dyDescent="0.25">
      <c r="B13" s="8"/>
      <c r="C13" s="1500">
        <v>0.6</v>
      </c>
      <c r="D13" s="1501">
        <v>65</v>
      </c>
      <c r="E13" s="1501" t="s">
        <v>1285</v>
      </c>
      <c r="F13" s="1501">
        <v>650</v>
      </c>
      <c r="G13" s="1502">
        <f>1008-H13</f>
        <v>968</v>
      </c>
      <c r="H13" s="1502">
        <v>40</v>
      </c>
      <c r="I13" s="1519">
        <f t="shared" si="0"/>
        <v>1008</v>
      </c>
      <c r="J13" s="1502">
        <v>0</v>
      </c>
      <c r="K13" s="1519">
        <f t="shared" si="1"/>
        <v>1008</v>
      </c>
      <c r="L13" s="1519">
        <f t="shared" si="2"/>
        <v>755040</v>
      </c>
      <c r="M13" s="1519">
        <f t="shared" si="3"/>
        <v>0</v>
      </c>
      <c r="N13" s="1520">
        <f t="shared" si="4"/>
        <v>755040</v>
      </c>
      <c r="O13" s="1511"/>
    </row>
    <row r="14" spans="2:15" x14ac:dyDescent="0.25">
      <c r="B14" s="8"/>
      <c r="C14" s="1500">
        <v>0.3</v>
      </c>
      <c r="D14" s="1501">
        <v>3</v>
      </c>
      <c r="E14" s="1501" t="s">
        <v>1286</v>
      </c>
      <c r="F14" s="1501">
        <v>875</v>
      </c>
      <c r="G14" s="1502">
        <v>300</v>
      </c>
      <c r="H14" s="1502">
        <v>65</v>
      </c>
      <c r="I14" s="1519">
        <f t="shared" si="0"/>
        <v>365</v>
      </c>
      <c r="J14" s="1502">
        <f>1203-I14</f>
        <v>838</v>
      </c>
      <c r="K14" s="1519">
        <f t="shared" si="1"/>
        <v>1203</v>
      </c>
      <c r="L14" s="1519">
        <f t="shared" si="2"/>
        <v>10800</v>
      </c>
      <c r="M14" s="1519">
        <f t="shared" si="3"/>
        <v>30168</v>
      </c>
      <c r="N14" s="1520">
        <f t="shared" si="4"/>
        <v>40968</v>
      </c>
      <c r="O14" s="1511"/>
    </row>
    <row r="15" spans="2:15" x14ac:dyDescent="0.25">
      <c r="B15" s="8"/>
      <c r="C15" s="1500">
        <v>0.6</v>
      </c>
      <c r="D15" s="1501">
        <v>12</v>
      </c>
      <c r="E15" s="1501" t="s">
        <v>1286</v>
      </c>
      <c r="F15" s="1501">
        <v>875</v>
      </c>
      <c r="G15" s="1502">
        <f>1210-H15</f>
        <v>1145</v>
      </c>
      <c r="H15" s="1502">
        <v>65</v>
      </c>
      <c r="I15" s="1519">
        <f t="shared" si="0"/>
        <v>1210</v>
      </c>
      <c r="J15" s="1502">
        <v>0</v>
      </c>
      <c r="K15" s="1519">
        <f t="shared" si="1"/>
        <v>1210</v>
      </c>
      <c r="L15" s="1519">
        <f t="shared" si="2"/>
        <v>164880</v>
      </c>
      <c r="M15" s="1519">
        <f t="shared" si="3"/>
        <v>0</v>
      </c>
      <c r="N15" s="1520">
        <f t="shared" si="4"/>
        <v>164880</v>
      </c>
      <c r="O15" s="1511"/>
    </row>
    <row r="16" spans="2:15" x14ac:dyDescent="0.25">
      <c r="B16" s="8"/>
      <c r="C16" s="1500"/>
      <c r="D16" s="1501"/>
      <c r="E16" s="1501"/>
      <c r="F16" s="1501"/>
      <c r="G16" s="1502">
        <v>0</v>
      </c>
      <c r="H16" s="1502">
        <v>0</v>
      </c>
      <c r="I16" s="1519">
        <f t="shared" si="0"/>
        <v>0</v>
      </c>
      <c r="J16" s="1502">
        <v>0</v>
      </c>
      <c r="K16" s="1519">
        <f t="shared" si="1"/>
        <v>0</v>
      </c>
      <c r="L16" s="1519">
        <f t="shared" si="2"/>
        <v>0</v>
      </c>
      <c r="M16" s="1519">
        <f t="shared" si="3"/>
        <v>0</v>
      </c>
      <c r="N16" s="1520">
        <f t="shared" si="4"/>
        <v>0</v>
      </c>
      <c r="O16" s="1511"/>
    </row>
    <row r="17" spans="2:15" x14ac:dyDescent="0.25">
      <c r="B17" s="8"/>
      <c r="C17" s="1500"/>
      <c r="D17" s="1501"/>
      <c r="E17" s="1501"/>
      <c r="F17" s="1501"/>
      <c r="G17" s="1502">
        <v>0</v>
      </c>
      <c r="H17" s="1502">
        <v>0</v>
      </c>
      <c r="I17" s="1519">
        <f t="shared" si="0"/>
        <v>0</v>
      </c>
      <c r="J17" s="1502">
        <v>0</v>
      </c>
      <c r="K17" s="1519">
        <f t="shared" si="1"/>
        <v>0</v>
      </c>
      <c r="L17" s="1519">
        <f t="shared" si="2"/>
        <v>0</v>
      </c>
      <c r="M17" s="1519">
        <f t="shared" si="3"/>
        <v>0</v>
      </c>
      <c r="N17" s="1520">
        <f t="shared" si="4"/>
        <v>0</v>
      </c>
      <c r="O17" s="248"/>
    </row>
    <row r="18" spans="2:15" x14ac:dyDescent="0.25">
      <c r="B18" s="8"/>
      <c r="C18" s="1500"/>
      <c r="D18" s="1501"/>
      <c r="E18" s="1501"/>
      <c r="F18" s="1501"/>
      <c r="G18" s="1502">
        <v>0</v>
      </c>
      <c r="H18" s="1502">
        <v>0</v>
      </c>
      <c r="I18" s="1519">
        <f t="shared" si="0"/>
        <v>0</v>
      </c>
      <c r="J18" s="1502">
        <v>0</v>
      </c>
      <c r="K18" s="1519">
        <f t="shared" si="1"/>
        <v>0</v>
      </c>
      <c r="L18" s="1519">
        <f t="shared" si="2"/>
        <v>0</v>
      </c>
      <c r="M18" s="1519">
        <f t="shared" si="3"/>
        <v>0</v>
      </c>
      <c r="N18" s="1520">
        <f t="shared" si="4"/>
        <v>0</v>
      </c>
      <c r="O18" s="248"/>
    </row>
    <row r="19" spans="2:15" x14ac:dyDescent="0.25">
      <c r="B19" s="8"/>
      <c r="C19" s="1500"/>
      <c r="D19" s="1501"/>
      <c r="E19" s="1501"/>
      <c r="F19" s="1501"/>
      <c r="G19" s="1502">
        <v>0</v>
      </c>
      <c r="H19" s="1502">
        <v>0</v>
      </c>
      <c r="I19" s="1519">
        <f t="shared" si="0"/>
        <v>0</v>
      </c>
      <c r="J19" s="1502">
        <v>0</v>
      </c>
      <c r="K19" s="1519">
        <f t="shared" si="1"/>
        <v>0</v>
      </c>
      <c r="L19" s="1519">
        <f t="shared" si="2"/>
        <v>0</v>
      </c>
      <c r="M19" s="1519">
        <f t="shared" si="3"/>
        <v>0</v>
      </c>
      <c r="N19" s="1520">
        <f t="shared" si="4"/>
        <v>0</v>
      </c>
      <c r="O19" s="248"/>
    </row>
    <row r="20" spans="2:15" x14ac:dyDescent="0.25">
      <c r="B20" s="8"/>
      <c r="C20" s="1500"/>
      <c r="D20" s="1501"/>
      <c r="E20" s="1501"/>
      <c r="F20" s="1501"/>
      <c r="G20" s="1502">
        <v>0</v>
      </c>
      <c r="H20" s="1502">
        <v>0</v>
      </c>
      <c r="I20" s="1519">
        <f t="shared" si="0"/>
        <v>0</v>
      </c>
      <c r="J20" s="1502">
        <v>0</v>
      </c>
      <c r="K20" s="1519">
        <f t="shared" si="1"/>
        <v>0</v>
      </c>
      <c r="L20" s="1519">
        <f t="shared" si="2"/>
        <v>0</v>
      </c>
      <c r="M20" s="1519">
        <f t="shared" si="3"/>
        <v>0</v>
      </c>
      <c r="N20" s="1520">
        <f t="shared" si="4"/>
        <v>0</v>
      </c>
      <c r="O20" s="248"/>
    </row>
    <row r="21" spans="2:15" ht="24" x14ac:dyDescent="0.25">
      <c r="B21" s="8"/>
      <c r="C21" s="1521" t="s">
        <v>368</v>
      </c>
      <c r="D21" s="1503">
        <v>1</v>
      </c>
      <c r="E21" s="1501" t="s">
        <v>1285</v>
      </c>
      <c r="F21" s="1503">
        <v>650</v>
      </c>
      <c r="G21" s="1502">
        <v>968</v>
      </c>
      <c r="H21" s="1502">
        <v>40</v>
      </c>
      <c r="I21" s="1519">
        <f t="shared" si="0"/>
        <v>1008</v>
      </c>
      <c r="J21" s="1502">
        <v>0</v>
      </c>
      <c r="K21" s="1519">
        <f t="shared" si="1"/>
        <v>1008</v>
      </c>
      <c r="L21" s="1519">
        <f t="shared" si="2"/>
        <v>11616</v>
      </c>
      <c r="M21" s="1519">
        <f t="shared" si="3"/>
        <v>0</v>
      </c>
      <c r="N21" s="1520">
        <f t="shared" si="4"/>
        <v>11616</v>
      </c>
      <c r="O21" s="248"/>
    </row>
    <row r="22" spans="2:15" ht="24.75" thickBot="1" x14ac:dyDescent="0.3">
      <c r="B22" s="8"/>
      <c r="C22" s="1522" t="s">
        <v>664</v>
      </c>
      <c r="D22" s="1504"/>
      <c r="E22" s="1505"/>
      <c r="F22" s="1506"/>
      <c r="G22" s="1507">
        <v>0</v>
      </c>
      <c r="H22" s="1507">
        <v>0</v>
      </c>
      <c r="I22" s="1523">
        <f>G22+H22</f>
        <v>0</v>
      </c>
      <c r="J22" s="1507">
        <v>0</v>
      </c>
      <c r="K22" s="1523">
        <f>I22+J22</f>
        <v>0</v>
      </c>
      <c r="L22" s="1523">
        <f>D22*G22*12</f>
        <v>0</v>
      </c>
      <c r="M22" s="1523">
        <f>D22*J22*12</f>
        <v>0</v>
      </c>
      <c r="N22" s="1524">
        <f>L22+M22</f>
        <v>0</v>
      </c>
      <c r="O22" s="248"/>
    </row>
    <row r="23" spans="2:15" ht="16.5" thickTop="1" thickBot="1" x14ac:dyDescent="0.3">
      <c r="B23" s="8"/>
      <c r="C23" s="1525" t="s">
        <v>101</v>
      </c>
      <c r="D23" s="1526">
        <f>SUM(D8:D22)</f>
        <v>115</v>
      </c>
      <c r="E23" s="1527"/>
      <c r="F23" s="1528"/>
      <c r="G23" s="1529"/>
      <c r="H23" s="1529"/>
      <c r="I23" s="1530"/>
      <c r="J23" s="1530"/>
      <c r="K23" s="1530"/>
      <c r="L23" s="1531">
        <f>SUM(L8:L21)+L22</f>
        <v>1250652</v>
      </c>
      <c r="M23" s="1532">
        <f>SUM(M8:M21)+M22</f>
        <v>74664</v>
      </c>
      <c r="N23" s="1533">
        <f>SUM(N8:N21)+N22</f>
        <v>1325316</v>
      </c>
      <c r="O23" s="248"/>
    </row>
    <row r="24" spans="2:15" x14ac:dyDescent="0.25">
      <c r="B24" s="8"/>
      <c r="C24" s="1534"/>
      <c r="D24" s="1535"/>
      <c r="E24" s="1536"/>
      <c r="F24" s="1536"/>
      <c r="G24" s="1536"/>
      <c r="H24" s="1536"/>
      <c r="I24" s="1536"/>
      <c r="J24" s="1536"/>
      <c r="K24" s="1536"/>
      <c r="L24" s="1537"/>
      <c r="M24" s="1538" t="str">
        <f>IF(M23&lt;&gt;'8B'!H18,"WARNING: Gross Rent Subsidy does not Match Rent Subsidy Sources (Form 8B)","")</f>
        <v/>
      </c>
      <c r="N24" s="1537"/>
      <c r="O24" s="248"/>
    </row>
    <row r="25" spans="2:15" ht="9" customHeight="1" thickBot="1" x14ac:dyDescent="0.3">
      <c r="B25" s="9"/>
      <c r="C25" s="1539"/>
      <c r="D25" s="1539"/>
      <c r="E25" s="1539"/>
      <c r="F25" s="1539"/>
      <c r="G25" s="1539"/>
      <c r="H25" s="1539"/>
      <c r="I25" s="1539"/>
      <c r="J25" s="1539"/>
      <c r="K25" s="1539"/>
      <c r="L25" s="1539"/>
      <c r="M25" s="1540"/>
      <c r="N25" s="1539"/>
      <c r="O25" s="11"/>
    </row>
  </sheetData>
  <sheetProtection formatCells="0" formatColumns="0" formatRows="0" insertRows="0"/>
  <mergeCells count="2">
    <mergeCell ref="C3:N3"/>
    <mergeCell ref="D5:J5"/>
  </mergeCells>
  <dataValidations count="2">
    <dataValidation type="list" allowBlank="1" showInputMessage="1" showErrorMessage="1" sqref="C8:C20">
      <formula1>"25%,30%,35%,40%,45%,50%,55%,60%,65%,80%"</formula1>
    </dataValidation>
    <dataValidation type="list" allowBlank="1" showInputMessage="1" showErrorMessage="1" sqref="E8:E22">
      <formula1>"Beds,Studio,SRO,1 BR,2 BR,3 BR,4 BR,5+ BR"</formula1>
    </dataValidation>
  </dataValidations>
  <pageMargins left="0.7" right="0.7" top="0.75" bottom="0.75" header="0.3" footer="0.3"/>
  <pageSetup scale="97" orientation="landscape" r:id="rId1"/>
  <headerFooter>
    <oddFooter>&amp;LForm 8A
Proposed Rents and AMIs Served&amp;CCFA Forms&amp;REdition: 2015
Version: 1.1</oddFooter>
  </headerFooter>
  <extLst>
    <ext xmlns:x14="http://schemas.microsoft.com/office/spreadsheetml/2009/9/main" uri="{78C0D931-6437-407d-A8EE-F0AAD7539E65}">
      <x14:conditionalFormattings>
        <x14:conditionalFormatting xmlns:xm="http://schemas.microsoft.com/office/excel/2006/main">
          <x14:cfRule type="expression" priority="1" id="{1581DC51-1810-4ADE-8BDC-C3545D7711A6}">
            <xm:f>$M$23&lt;&gt;'8B'!$H$18</xm:f>
            <x14:dxf>
              <font>
                <color rgb="FF990000"/>
              </font>
              <fill>
                <patternFill>
                  <bgColor theme="5" tint="0.79998168889431442"/>
                </patternFill>
              </fill>
            </x14:dxf>
          </x14:cfRule>
          <xm:sqref>M23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5:J37"/>
  <sheetViews>
    <sheetView showGridLines="0" topLeftCell="A10" zoomScaleNormal="100" workbookViewId="0">
      <selection activeCell="H36" sqref="H36"/>
    </sheetView>
  </sheetViews>
  <sheetFormatPr defaultRowHeight="15" x14ac:dyDescent="0.25"/>
  <cols>
    <col min="1" max="2" width="1.7109375" style="844" customWidth="1"/>
    <col min="3" max="3" width="14.28515625" style="844" customWidth="1"/>
    <col min="4" max="4" width="28.5703125" style="844" customWidth="1"/>
    <col min="5" max="5" width="9.140625" style="844"/>
    <col min="6" max="8" width="17.140625" style="844" customWidth="1"/>
    <col min="9" max="9" width="20" style="844" customWidth="1"/>
    <col min="10" max="10" width="1.7109375" style="844" customWidth="1"/>
    <col min="11" max="16384" width="9.140625" style="844"/>
  </cols>
  <sheetData>
    <row r="5" spans="2:10" ht="9" customHeight="1" thickBot="1" x14ac:dyDescent="0.3"/>
    <row r="6" spans="2:10" ht="9" customHeight="1" x14ac:dyDescent="0.3">
      <c r="B6" s="1289"/>
      <c r="C6" s="1290"/>
      <c r="D6" s="1290"/>
      <c r="E6" s="1290"/>
      <c r="F6" s="1290"/>
      <c r="G6" s="1290"/>
      <c r="H6" s="1290"/>
      <c r="I6" s="1290"/>
      <c r="J6" s="1291"/>
    </row>
    <row r="7" spans="2:10" ht="18.75" x14ac:dyDescent="0.3">
      <c r="B7" s="1292"/>
      <c r="C7" s="2030" t="s">
        <v>1271</v>
      </c>
      <c r="D7" s="2030"/>
      <c r="E7" s="2030"/>
      <c r="F7" s="2030"/>
      <c r="G7" s="2030"/>
      <c r="H7" s="2030"/>
      <c r="I7" s="2030"/>
      <c r="J7" s="1199"/>
    </row>
    <row r="8" spans="2:10" ht="18.75" x14ac:dyDescent="0.3">
      <c r="B8" s="1292"/>
      <c r="C8" s="402"/>
      <c r="D8" s="402"/>
      <c r="E8" s="402"/>
      <c r="F8" s="402"/>
      <c r="G8" s="402"/>
      <c r="H8" s="402"/>
      <c r="I8" s="402"/>
      <c r="J8" s="1199"/>
    </row>
    <row r="9" spans="2:10" x14ac:dyDescent="0.25">
      <c r="B9" s="357"/>
      <c r="C9" s="1293" t="s">
        <v>63</v>
      </c>
      <c r="D9" s="1294" t="str">
        <f>IF('1A'!G5="","Enter Project Name on Form 1A",'1A'!G5)</f>
        <v>Liberty Bank Building</v>
      </c>
      <c r="E9" s="1295"/>
      <c r="F9" s="1294"/>
      <c r="G9" s="1294"/>
      <c r="H9" s="355"/>
      <c r="I9" s="355"/>
      <c r="J9" s="356"/>
    </row>
    <row r="10" spans="2:10" x14ac:dyDescent="0.25">
      <c r="B10" s="357"/>
      <c r="C10" s="821"/>
      <c r="D10" s="821"/>
      <c r="E10" s="821"/>
      <c r="F10" s="355"/>
      <c r="G10" s="355"/>
      <c r="H10" s="355"/>
      <c r="I10" s="355"/>
      <c r="J10" s="356"/>
    </row>
    <row r="11" spans="2:10" ht="15.75" thickBot="1" x14ac:dyDescent="0.3">
      <c r="B11" s="357"/>
      <c r="C11" s="1296" t="s">
        <v>369</v>
      </c>
      <c r="D11" s="1296"/>
      <c r="E11" s="821"/>
      <c r="F11" s="355"/>
      <c r="G11" s="355"/>
      <c r="H11" s="355"/>
      <c r="I11" s="355"/>
      <c r="J11" s="356"/>
    </row>
    <row r="12" spans="2:10" ht="15" customHeight="1" x14ac:dyDescent="0.25">
      <c r="B12" s="357"/>
      <c r="C12" s="2180" t="s">
        <v>317</v>
      </c>
      <c r="D12" s="2186"/>
      <c r="E12" s="2182"/>
      <c r="F12" s="2191" t="s">
        <v>370</v>
      </c>
      <c r="G12" s="2192" t="s">
        <v>371</v>
      </c>
      <c r="H12" s="2191" t="s">
        <v>372</v>
      </c>
      <c r="I12" s="2191" t="s">
        <v>373</v>
      </c>
      <c r="J12" s="356"/>
    </row>
    <row r="13" spans="2:10" ht="15.75" thickBot="1" x14ac:dyDescent="0.3">
      <c r="B13" s="357"/>
      <c r="C13" s="2183"/>
      <c r="D13" s="2187"/>
      <c r="E13" s="2188"/>
      <c r="F13" s="2190"/>
      <c r="G13" s="2193"/>
      <c r="H13" s="2190"/>
      <c r="I13" s="2190"/>
      <c r="J13" s="356"/>
    </row>
    <row r="14" spans="2:10" x14ac:dyDescent="0.25">
      <c r="B14" s="357"/>
      <c r="C14" s="2171" t="s">
        <v>1438</v>
      </c>
      <c r="D14" s="2172"/>
      <c r="E14" s="2173"/>
      <c r="F14" s="1278">
        <v>74664</v>
      </c>
      <c r="G14" s="1278">
        <v>0</v>
      </c>
      <c r="H14" s="367">
        <f>SUM(F14:G14)</f>
        <v>74664</v>
      </c>
      <c r="I14" s="1766" t="s">
        <v>1408</v>
      </c>
      <c r="J14" s="356"/>
    </row>
    <row r="15" spans="2:10" x14ac:dyDescent="0.25">
      <c r="B15" s="357"/>
      <c r="C15" s="2174"/>
      <c r="D15" s="2175"/>
      <c r="E15" s="2176"/>
      <c r="F15" s="1280">
        <v>0</v>
      </c>
      <c r="G15" s="1280">
        <v>0</v>
      </c>
      <c r="H15" s="368">
        <f>SUM(F15:G15)</f>
        <v>0</v>
      </c>
      <c r="I15" s="1767"/>
      <c r="J15" s="356"/>
    </row>
    <row r="16" spans="2:10" x14ac:dyDescent="0.25">
      <c r="B16" s="357"/>
      <c r="C16" s="2174"/>
      <c r="D16" s="2175"/>
      <c r="E16" s="2176"/>
      <c r="F16" s="1280">
        <v>0</v>
      </c>
      <c r="G16" s="1280">
        <v>0</v>
      </c>
      <c r="H16" s="368">
        <f>SUM(F16:G16)</f>
        <v>0</v>
      </c>
      <c r="I16" s="1767"/>
      <c r="J16" s="356"/>
    </row>
    <row r="17" spans="2:10" ht="15.75" thickBot="1" x14ac:dyDescent="0.3">
      <c r="B17" s="357"/>
      <c r="C17" s="2177"/>
      <c r="D17" s="2178"/>
      <c r="E17" s="2179"/>
      <c r="F17" s="1282">
        <v>0</v>
      </c>
      <c r="G17" s="1282">
        <v>0</v>
      </c>
      <c r="H17" s="369">
        <f>SUM(F17:G17)</f>
        <v>0</v>
      </c>
      <c r="I17" s="1768"/>
      <c r="J17" s="356"/>
    </row>
    <row r="18" spans="2:10" ht="16.5" thickTop="1" thickBot="1" x14ac:dyDescent="0.3">
      <c r="B18" s="357"/>
      <c r="C18" s="2159" t="s">
        <v>374</v>
      </c>
      <c r="D18" s="2160"/>
      <c r="E18" s="2161"/>
      <c r="F18" s="363">
        <f>SUM(F14:F17)</f>
        <v>74664</v>
      </c>
      <c r="G18" s="363">
        <f>SUM(G14:G17)</f>
        <v>0</v>
      </c>
      <c r="H18" s="790">
        <f>SUM(H14:H17)</f>
        <v>74664</v>
      </c>
      <c r="I18" s="1769"/>
      <c r="J18" s="356"/>
    </row>
    <row r="19" spans="2:10" x14ac:dyDescent="0.25">
      <c r="B19" s="357"/>
      <c r="C19" s="821"/>
      <c r="D19" s="821"/>
      <c r="E19" s="821"/>
      <c r="F19" s="355"/>
      <c r="G19" s="355"/>
      <c r="H19" s="358" t="s">
        <v>35</v>
      </c>
      <c r="I19" s="355"/>
      <c r="J19" s="356"/>
    </row>
    <row r="20" spans="2:10" ht="15.75" thickBot="1" x14ac:dyDescent="0.3">
      <c r="B20" s="357"/>
      <c r="C20" s="1296" t="s">
        <v>375</v>
      </c>
      <c r="D20" s="1296"/>
      <c r="E20" s="821"/>
      <c r="F20" s="355"/>
      <c r="G20" s="355"/>
      <c r="H20" s="355"/>
      <c r="I20" s="355"/>
      <c r="J20" s="356"/>
    </row>
    <row r="21" spans="2:10" x14ac:dyDescent="0.25">
      <c r="B21" s="357"/>
      <c r="C21" s="2180" t="s">
        <v>317</v>
      </c>
      <c r="D21" s="2181"/>
      <c r="E21" s="2182"/>
      <c r="F21" s="2189" t="s">
        <v>370</v>
      </c>
      <c r="G21" s="2189" t="s">
        <v>371</v>
      </c>
      <c r="H21" s="2189" t="s">
        <v>372</v>
      </c>
      <c r="I21" s="2189" t="s">
        <v>373</v>
      </c>
      <c r="J21" s="356"/>
    </row>
    <row r="22" spans="2:10" ht="15.75" thickBot="1" x14ac:dyDescent="0.3">
      <c r="B22" s="357"/>
      <c r="C22" s="2183"/>
      <c r="D22" s="2184"/>
      <c r="E22" s="2185"/>
      <c r="F22" s="2190"/>
      <c r="G22" s="2190"/>
      <c r="H22" s="2190"/>
      <c r="I22" s="2190"/>
      <c r="J22" s="356"/>
    </row>
    <row r="23" spans="2:10" x14ac:dyDescent="0.25">
      <c r="B23" s="357"/>
      <c r="C23" s="2162"/>
      <c r="D23" s="2163"/>
      <c r="E23" s="2164"/>
      <c r="F23" s="1284">
        <v>0</v>
      </c>
      <c r="G23" s="1284">
        <v>0</v>
      </c>
      <c r="H23" s="370">
        <f>SUM(F23:G23)</f>
        <v>0</v>
      </c>
      <c r="I23" s="1279"/>
      <c r="J23" s="356"/>
    </row>
    <row r="24" spans="2:10" x14ac:dyDescent="0.25">
      <c r="B24" s="357"/>
      <c r="C24" s="2165"/>
      <c r="D24" s="2166"/>
      <c r="E24" s="2167"/>
      <c r="F24" s="1285">
        <v>0</v>
      </c>
      <c r="G24" s="1285">
        <v>0</v>
      </c>
      <c r="H24" s="371">
        <f t="shared" ref="H24:H27" si="0">SUM(F24:G24)</f>
        <v>0</v>
      </c>
      <c r="I24" s="1281"/>
      <c r="J24" s="356"/>
    </row>
    <row r="25" spans="2:10" x14ac:dyDescent="0.25">
      <c r="B25" s="357"/>
      <c r="C25" s="2165"/>
      <c r="D25" s="2166"/>
      <c r="E25" s="2167"/>
      <c r="F25" s="1285">
        <v>0</v>
      </c>
      <c r="G25" s="1285">
        <v>0</v>
      </c>
      <c r="H25" s="371">
        <f>SUM(F25:G25)</f>
        <v>0</v>
      </c>
      <c r="I25" s="1281"/>
      <c r="J25" s="356"/>
    </row>
    <row r="26" spans="2:10" x14ac:dyDescent="0.25">
      <c r="B26" s="357"/>
      <c r="C26" s="2165"/>
      <c r="D26" s="2166"/>
      <c r="E26" s="2167"/>
      <c r="F26" s="1285">
        <v>0</v>
      </c>
      <c r="G26" s="1285">
        <v>0</v>
      </c>
      <c r="H26" s="371">
        <f t="shared" si="0"/>
        <v>0</v>
      </c>
      <c r="I26" s="1281"/>
      <c r="J26" s="356"/>
    </row>
    <row r="27" spans="2:10" ht="15.75" thickBot="1" x14ac:dyDescent="0.3">
      <c r="B27" s="357"/>
      <c r="C27" s="2168"/>
      <c r="D27" s="2169"/>
      <c r="E27" s="2170"/>
      <c r="F27" s="1286">
        <v>0</v>
      </c>
      <c r="G27" s="1286">
        <v>0</v>
      </c>
      <c r="H27" s="372">
        <f t="shared" si="0"/>
        <v>0</v>
      </c>
      <c r="I27" s="1283"/>
      <c r="J27" s="356"/>
    </row>
    <row r="28" spans="2:10" ht="16.5" thickTop="1" thickBot="1" x14ac:dyDescent="0.3">
      <c r="B28" s="357"/>
      <c r="C28" s="2159" t="s">
        <v>665</v>
      </c>
      <c r="D28" s="2160"/>
      <c r="E28" s="2161"/>
      <c r="F28" s="364">
        <f>SUM(F23:F27)</f>
        <v>0</v>
      </c>
      <c r="G28" s="364">
        <f>SUM(G23:G27)</f>
        <v>0</v>
      </c>
      <c r="H28" s="365">
        <f>SUM(H23:H27)</f>
        <v>0</v>
      </c>
      <c r="I28" s="1287"/>
      <c r="J28" s="356"/>
    </row>
    <row r="29" spans="2:10" x14ac:dyDescent="0.25">
      <c r="B29" s="357"/>
      <c r="C29" s="821"/>
      <c r="D29" s="821"/>
      <c r="E29" s="821"/>
      <c r="F29" s="355"/>
      <c r="G29" s="355"/>
      <c r="H29" s="355"/>
      <c r="I29" s="355"/>
      <c r="J29" s="356"/>
    </row>
    <row r="30" spans="2:10" ht="15.75" thickBot="1" x14ac:dyDescent="0.3">
      <c r="B30" s="357"/>
      <c r="C30" s="1296" t="s">
        <v>377</v>
      </c>
      <c r="D30" s="1296"/>
      <c r="E30" s="821"/>
      <c r="F30" s="355"/>
      <c r="G30" s="355"/>
      <c r="H30" s="355"/>
      <c r="I30" s="355"/>
      <c r="J30" s="356"/>
    </row>
    <row r="31" spans="2:10" x14ac:dyDescent="0.25">
      <c r="B31" s="357"/>
      <c r="C31" s="2180" t="s">
        <v>317</v>
      </c>
      <c r="D31" s="2181"/>
      <c r="E31" s="2182"/>
      <c r="F31" s="2189" t="s">
        <v>370</v>
      </c>
      <c r="G31" s="2189" t="s">
        <v>371</v>
      </c>
      <c r="H31" s="2189" t="s">
        <v>372</v>
      </c>
      <c r="I31" s="2189" t="s">
        <v>373</v>
      </c>
      <c r="J31" s="356"/>
    </row>
    <row r="32" spans="2:10" ht="15.75" thickBot="1" x14ac:dyDescent="0.3">
      <c r="B32" s="357"/>
      <c r="C32" s="2183"/>
      <c r="D32" s="2184"/>
      <c r="E32" s="2185"/>
      <c r="F32" s="2190"/>
      <c r="G32" s="2190"/>
      <c r="H32" s="2190"/>
      <c r="I32" s="2190"/>
      <c r="J32" s="356"/>
    </row>
    <row r="33" spans="2:10" x14ac:dyDescent="0.25">
      <c r="B33" s="357"/>
      <c r="C33" s="2162" t="s">
        <v>1587</v>
      </c>
      <c r="D33" s="2163"/>
      <c r="E33" s="2164"/>
      <c r="F33" s="1278">
        <v>18423</v>
      </c>
      <c r="G33" s="1278">
        <v>0</v>
      </c>
      <c r="H33" s="367">
        <f t="shared" ref="H33:H35" si="1">SUM(F33:G33)</f>
        <v>18423</v>
      </c>
      <c r="I33" s="1279" t="s">
        <v>1588</v>
      </c>
      <c r="J33" s="356"/>
    </row>
    <row r="34" spans="2:10" x14ac:dyDescent="0.25">
      <c r="B34" s="357"/>
      <c r="C34" s="2165"/>
      <c r="D34" s="2166"/>
      <c r="E34" s="2167"/>
      <c r="F34" s="1280">
        <v>0</v>
      </c>
      <c r="G34" s="1280">
        <v>0</v>
      </c>
      <c r="H34" s="368">
        <f t="shared" si="1"/>
        <v>0</v>
      </c>
      <c r="I34" s="1281"/>
      <c r="J34" s="356"/>
    </row>
    <row r="35" spans="2:10" ht="15.75" thickBot="1" x14ac:dyDescent="0.3">
      <c r="B35" s="357"/>
      <c r="C35" s="2168"/>
      <c r="D35" s="2169"/>
      <c r="E35" s="2170"/>
      <c r="F35" s="1282">
        <v>0</v>
      </c>
      <c r="G35" s="1282">
        <v>0</v>
      </c>
      <c r="H35" s="369">
        <f t="shared" si="1"/>
        <v>0</v>
      </c>
      <c r="I35" s="1283"/>
      <c r="J35" s="356"/>
    </row>
    <row r="36" spans="2:10" ht="16.5" thickTop="1" thickBot="1" x14ac:dyDescent="0.3">
      <c r="B36" s="357"/>
      <c r="C36" s="2159" t="s">
        <v>666</v>
      </c>
      <c r="D36" s="2160"/>
      <c r="E36" s="2161"/>
      <c r="F36" s="363">
        <f>SUM(F33:F35)</f>
        <v>18423</v>
      </c>
      <c r="G36" s="363">
        <f>SUM(G33:G35)</f>
        <v>0</v>
      </c>
      <c r="H36" s="366">
        <f>SUM(H33:H35)</f>
        <v>18423</v>
      </c>
      <c r="I36" s="1288"/>
      <c r="J36" s="356"/>
    </row>
    <row r="37" spans="2:10" ht="9" customHeight="1" thickBot="1" x14ac:dyDescent="0.3">
      <c r="B37" s="359"/>
      <c r="C37" s="360"/>
      <c r="D37" s="360"/>
      <c r="E37" s="360"/>
      <c r="F37" s="361"/>
      <c r="G37" s="361"/>
      <c r="H37" s="361"/>
      <c r="I37" s="361"/>
      <c r="J37" s="362"/>
    </row>
  </sheetData>
  <sheetProtection password="9F6B" sheet="1" objects="1" scenarios="1" formatCells="0" formatColumns="0" formatRows="0" insertRows="0"/>
  <mergeCells count="31">
    <mergeCell ref="I31:I32"/>
    <mergeCell ref="F12:F13"/>
    <mergeCell ref="G12:G13"/>
    <mergeCell ref="H12:H13"/>
    <mergeCell ref="I12:I13"/>
    <mergeCell ref="I21:I22"/>
    <mergeCell ref="C31:E32"/>
    <mergeCell ref="C12:E13"/>
    <mergeCell ref="F31:F32"/>
    <mergeCell ref="G31:G32"/>
    <mergeCell ref="H31:H32"/>
    <mergeCell ref="H21:H22"/>
    <mergeCell ref="G21:G22"/>
    <mergeCell ref="F21:F22"/>
    <mergeCell ref="C21:E22"/>
    <mergeCell ref="C7:I7"/>
    <mergeCell ref="C28:E28"/>
    <mergeCell ref="C36:E36"/>
    <mergeCell ref="C18:E18"/>
    <mergeCell ref="C33:E33"/>
    <mergeCell ref="C34:E34"/>
    <mergeCell ref="C35:E35"/>
    <mergeCell ref="C26:E26"/>
    <mergeCell ref="C27:E27"/>
    <mergeCell ref="C14:E14"/>
    <mergeCell ref="C15:E15"/>
    <mergeCell ref="C23:E23"/>
    <mergeCell ref="C24:E24"/>
    <mergeCell ref="C25:E25"/>
    <mergeCell ref="C16:E16"/>
    <mergeCell ref="C17:E17"/>
  </mergeCells>
  <pageMargins left="0.7" right="0.7" top="0.75" bottom="0.75" header="0.3" footer="0.3"/>
  <pageSetup scale="96" orientation="landscape" r:id="rId1"/>
  <headerFooter>
    <oddFooter>&amp;LForm 8B
Operating, Service and Rent Subsidy Sources&amp;CCFA Forms&amp;REdition: 2015
Version: 1.1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7:O39"/>
  <sheetViews>
    <sheetView showGridLines="0" topLeftCell="A10" zoomScaleNormal="100" workbookViewId="0">
      <selection activeCell="O23" sqref="O23"/>
    </sheetView>
  </sheetViews>
  <sheetFormatPr defaultRowHeight="15" x14ac:dyDescent="0.25"/>
  <cols>
    <col min="1" max="2" width="1.7109375" style="923" customWidth="1"/>
    <col min="3" max="3" width="14.28515625" style="923" customWidth="1"/>
    <col min="4" max="4" width="10" style="923" customWidth="1"/>
    <col min="5" max="5" width="14.28515625" style="923" customWidth="1"/>
    <col min="6" max="6" width="11.42578125" style="923" customWidth="1"/>
    <col min="7" max="7" width="9.140625" style="923"/>
    <col min="8" max="8" width="11.42578125" style="923" customWidth="1"/>
    <col min="9" max="9" width="9.140625" style="923"/>
    <col min="10" max="11" width="11.42578125" style="923" customWidth="1"/>
    <col min="12" max="13" width="1.7109375" style="923" customWidth="1"/>
    <col min="14" max="16384" width="9.140625" style="923"/>
  </cols>
  <sheetData>
    <row r="7" spans="2:12" ht="13.5" customHeight="1" thickBot="1" x14ac:dyDescent="0.3"/>
    <row r="8" spans="2:12" ht="9" customHeight="1" x14ac:dyDescent="0.25">
      <c r="B8" s="387"/>
      <c r="C8" s="388"/>
      <c r="D8" s="388"/>
      <c r="E8" s="389"/>
      <c r="F8" s="389"/>
      <c r="G8" s="390"/>
      <c r="H8" s="391"/>
      <c r="I8" s="391"/>
      <c r="J8" s="392"/>
      <c r="K8" s="390"/>
      <c r="L8" s="394"/>
    </row>
    <row r="9" spans="2:12" ht="18.75" x14ac:dyDescent="0.3">
      <c r="B9" s="395"/>
      <c r="C9" s="1917" t="s">
        <v>378</v>
      </c>
      <c r="D9" s="1917"/>
      <c r="E9" s="1917"/>
      <c r="F9" s="1917"/>
      <c r="G9" s="1917"/>
      <c r="H9" s="1917"/>
      <c r="I9" s="1917"/>
      <c r="J9" s="1917"/>
      <c r="K9" s="1917"/>
      <c r="L9" s="356"/>
    </row>
    <row r="10" spans="2:12" x14ac:dyDescent="0.25">
      <c r="B10" s="395"/>
      <c r="C10" s="355"/>
      <c r="D10" s="355"/>
      <c r="E10" s="396"/>
      <c r="F10" s="396"/>
      <c r="G10" s="397"/>
      <c r="H10" s="398"/>
      <c r="I10" s="398"/>
      <c r="J10" s="399"/>
      <c r="K10" s="397"/>
      <c r="L10" s="356"/>
    </row>
    <row r="11" spans="2:12" x14ac:dyDescent="0.25">
      <c r="B11" s="395"/>
      <c r="C11" s="1297" t="s">
        <v>1</v>
      </c>
      <c r="D11" s="1127" t="str">
        <f>IF('1A'!G5="","Enter Project Name on Form 1A",'1A'!G5)</f>
        <v>Liberty Bank Building</v>
      </c>
      <c r="E11" s="1127"/>
      <c r="F11" s="1127"/>
      <c r="G11" s="1127"/>
      <c r="H11" s="1127"/>
      <c r="I11" s="1298"/>
      <c r="J11" s="247"/>
      <c r="K11" s="247"/>
      <c r="L11" s="356"/>
    </row>
    <row r="12" spans="2:12" ht="22.5" customHeight="1" thickBot="1" x14ac:dyDescent="0.3">
      <c r="B12" s="395"/>
      <c r="C12" s="402"/>
      <c r="D12" s="402"/>
      <c r="E12" s="402"/>
      <c r="F12" s="402"/>
      <c r="G12" s="402"/>
      <c r="H12" s="402"/>
      <c r="I12" s="402"/>
      <c r="J12" s="402"/>
      <c r="K12" s="402"/>
      <c r="L12" s="356"/>
    </row>
    <row r="13" spans="2:12" ht="16.5" thickBot="1" x14ac:dyDescent="0.3">
      <c r="B13" s="395"/>
      <c r="C13" s="1299" t="s">
        <v>379</v>
      </c>
      <c r="D13" s="1300"/>
      <c r="E13" s="1300"/>
      <c r="F13" s="1300"/>
      <c r="G13" s="1300"/>
      <c r="H13" s="1300"/>
      <c r="I13" s="1300"/>
      <c r="J13" s="1300"/>
      <c r="K13" s="1301"/>
      <c r="L13" s="356"/>
    </row>
    <row r="14" spans="2:12" ht="78" thickBot="1" x14ac:dyDescent="0.3">
      <c r="B14" s="395"/>
      <c r="C14" s="2206" t="s">
        <v>380</v>
      </c>
      <c r="D14" s="2207"/>
      <c r="E14" s="1302" t="s">
        <v>381</v>
      </c>
      <c r="F14" s="1303" t="s">
        <v>382</v>
      </c>
      <c r="G14" s="1304" t="s">
        <v>383</v>
      </c>
      <c r="H14" s="1303" t="s">
        <v>384</v>
      </c>
      <c r="I14" s="1303" t="s">
        <v>385</v>
      </c>
      <c r="J14" s="1304" t="s">
        <v>386</v>
      </c>
      <c r="K14" s="1305" t="s">
        <v>387</v>
      </c>
      <c r="L14" s="356"/>
    </row>
    <row r="15" spans="2:12" x14ac:dyDescent="0.25">
      <c r="B15" s="404"/>
      <c r="C15" s="2204" t="s">
        <v>1444</v>
      </c>
      <c r="D15" s="2205"/>
      <c r="E15" s="766" t="s">
        <v>1445</v>
      </c>
      <c r="F15" s="767">
        <f>70720/2</f>
        <v>35360</v>
      </c>
      <c r="G15" s="768">
        <v>1</v>
      </c>
      <c r="H15" s="769">
        <f>F15*G15</f>
        <v>35360</v>
      </c>
      <c r="I15" s="768">
        <v>0.33400000000000002</v>
      </c>
      <c r="J15" s="769">
        <f>H15*I15</f>
        <v>11810.24</v>
      </c>
      <c r="K15" s="770">
        <f>H15+J15</f>
        <v>47170.239999999998</v>
      </c>
      <c r="L15" s="406"/>
    </row>
    <row r="16" spans="2:12" x14ac:dyDescent="0.25">
      <c r="B16" s="395"/>
      <c r="C16" s="2194" t="s">
        <v>1446</v>
      </c>
      <c r="D16" s="2195"/>
      <c r="E16" s="374" t="s">
        <v>1445</v>
      </c>
      <c r="F16" s="375">
        <f>70720/2</f>
        <v>35360</v>
      </c>
      <c r="G16" s="243">
        <v>1</v>
      </c>
      <c r="H16" s="383">
        <f t="shared" ref="H16:H19" si="0">F16*G16</f>
        <v>35360</v>
      </c>
      <c r="I16" s="243">
        <v>0.33400000000000002</v>
      </c>
      <c r="J16" s="383">
        <f t="shared" ref="J16:J19" si="1">H16*I16</f>
        <v>11810.24</v>
      </c>
      <c r="K16" s="385">
        <f t="shared" ref="K16:K19" si="2">H16+J16</f>
        <v>47170.239999999998</v>
      </c>
      <c r="L16" s="410"/>
    </row>
    <row r="17" spans="2:15" x14ac:dyDescent="0.25">
      <c r="B17" s="395"/>
      <c r="C17" s="2194"/>
      <c r="D17" s="2195"/>
      <c r="E17" s="374"/>
      <c r="F17" s="375">
        <v>0</v>
      </c>
      <c r="G17" s="243">
        <v>0</v>
      </c>
      <c r="H17" s="383">
        <f t="shared" si="0"/>
        <v>0</v>
      </c>
      <c r="I17" s="243">
        <v>0</v>
      </c>
      <c r="J17" s="383">
        <f t="shared" si="1"/>
        <v>0</v>
      </c>
      <c r="K17" s="385">
        <f t="shared" si="2"/>
        <v>0</v>
      </c>
      <c r="L17" s="410"/>
    </row>
    <row r="18" spans="2:15" x14ac:dyDescent="0.25">
      <c r="B18" s="395"/>
      <c r="C18" s="2194"/>
      <c r="D18" s="2195"/>
      <c r="E18" s="374"/>
      <c r="F18" s="375">
        <v>0</v>
      </c>
      <c r="G18" s="243">
        <v>0</v>
      </c>
      <c r="H18" s="383">
        <f t="shared" si="0"/>
        <v>0</v>
      </c>
      <c r="I18" s="243">
        <v>0</v>
      </c>
      <c r="J18" s="383">
        <f t="shared" si="1"/>
        <v>0</v>
      </c>
      <c r="K18" s="385">
        <f t="shared" si="2"/>
        <v>0</v>
      </c>
      <c r="L18" s="356"/>
      <c r="O18" s="1837"/>
    </row>
    <row r="19" spans="2:15" ht="15.75" thickBot="1" x14ac:dyDescent="0.3">
      <c r="B19" s="395"/>
      <c r="C19" s="2196"/>
      <c r="D19" s="2197"/>
      <c r="E19" s="376"/>
      <c r="F19" s="377">
        <v>0</v>
      </c>
      <c r="G19" s="244">
        <v>0</v>
      </c>
      <c r="H19" s="384">
        <f t="shared" si="0"/>
        <v>0</v>
      </c>
      <c r="I19" s="244">
        <v>0</v>
      </c>
      <c r="J19" s="384">
        <f t="shared" si="1"/>
        <v>0</v>
      </c>
      <c r="K19" s="386">
        <f t="shared" si="2"/>
        <v>0</v>
      </c>
      <c r="L19" s="356"/>
    </row>
    <row r="20" spans="2:15" ht="17.25" thickTop="1" thickBot="1" x14ac:dyDescent="0.3">
      <c r="B20" s="395"/>
      <c r="C20" s="379" t="s">
        <v>388</v>
      </c>
      <c r="D20" s="380"/>
      <c r="E20" s="380"/>
      <c r="F20" s="380"/>
      <c r="G20" s="380"/>
      <c r="H20" s="241"/>
      <c r="I20" s="241"/>
      <c r="J20" s="242"/>
      <c r="K20" s="245">
        <f>SUM(K15:K19)</f>
        <v>94340.479999999996</v>
      </c>
      <c r="L20" s="356"/>
    </row>
    <row r="21" spans="2:15" ht="15" customHeight="1" thickBot="1" x14ac:dyDescent="0.3">
      <c r="B21" s="395"/>
      <c r="C21" s="1306"/>
      <c r="D21" s="355"/>
      <c r="E21" s="396"/>
      <c r="F21" s="1307"/>
      <c r="G21" s="1308"/>
      <c r="H21" s="1307"/>
      <c r="I21" s="1308"/>
      <c r="J21" s="1307"/>
      <c r="K21" s="1307"/>
      <c r="L21" s="1309"/>
    </row>
    <row r="22" spans="2:15" ht="16.5" thickBot="1" x14ac:dyDescent="0.3">
      <c r="B22" s="395"/>
      <c r="C22" s="2198" t="s">
        <v>389</v>
      </c>
      <c r="D22" s="2199"/>
      <c r="E22" s="2199"/>
      <c r="F22" s="2199"/>
      <c r="G22" s="2199"/>
      <c r="H22" s="2199"/>
      <c r="I22" s="2199"/>
      <c r="J22" s="2199"/>
      <c r="K22" s="2200"/>
      <c r="L22" s="356"/>
    </row>
    <row r="23" spans="2:15" ht="78" thickBot="1" x14ac:dyDescent="0.3">
      <c r="B23" s="395"/>
      <c r="C23" s="2206" t="s">
        <v>380</v>
      </c>
      <c r="D23" s="2207"/>
      <c r="E23" s="1302" t="s">
        <v>381</v>
      </c>
      <c r="F23" s="1303" t="s">
        <v>382</v>
      </c>
      <c r="G23" s="1304" t="s">
        <v>383</v>
      </c>
      <c r="H23" s="1303" t="s">
        <v>384</v>
      </c>
      <c r="I23" s="1303" t="s">
        <v>385</v>
      </c>
      <c r="J23" s="1304" t="s">
        <v>386</v>
      </c>
      <c r="K23" s="1305" t="s">
        <v>387</v>
      </c>
      <c r="L23" s="356"/>
    </row>
    <row r="24" spans="2:15" x14ac:dyDescent="0.25">
      <c r="B24" s="404"/>
      <c r="C24" s="2208" t="s">
        <v>1447</v>
      </c>
      <c r="D24" s="2209"/>
      <c r="E24" s="771" t="s">
        <v>1445</v>
      </c>
      <c r="F24" s="767">
        <v>95765</v>
      </c>
      <c r="G24" s="768">
        <v>1</v>
      </c>
      <c r="H24" s="769">
        <f>F24*G24</f>
        <v>95765</v>
      </c>
      <c r="I24" s="768">
        <v>0</v>
      </c>
      <c r="J24" s="769">
        <f>H24*I24</f>
        <v>0</v>
      </c>
      <c r="K24" s="770">
        <f>H24+J24</f>
        <v>95765</v>
      </c>
      <c r="L24" s="406"/>
    </row>
    <row r="25" spans="2:15" x14ac:dyDescent="0.25">
      <c r="B25" s="395"/>
      <c r="C25" s="2194"/>
      <c r="D25" s="2195"/>
      <c r="E25" s="374"/>
      <c r="F25" s="375">
        <v>0</v>
      </c>
      <c r="G25" s="243">
        <v>0</v>
      </c>
      <c r="H25" s="383">
        <f t="shared" ref="H25:H28" si="3">F25*G25</f>
        <v>0</v>
      </c>
      <c r="I25" s="243">
        <v>0</v>
      </c>
      <c r="J25" s="383">
        <f t="shared" ref="J25:J28" si="4">H25*I25</f>
        <v>0</v>
      </c>
      <c r="K25" s="385">
        <f t="shared" ref="K25:K28" si="5">H25+J25</f>
        <v>0</v>
      </c>
      <c r="L25" s="356"/>
    </row>
    <row r="26" spans="2:15" x14ac:dyDescent="0.25">
      <c r="B26" s="395"/>
      <c r="C26" s="2194"/>
      <c r="D26" s="2195"/>
      <c r="E26" s="374"/>
      <c r="F26" s="375">
        <v>0</v>
      </c>
      <c r="G26" s="243">
        <v>0</v>
      </c>
      <c r="H26" s="383">
        <f t="shared" si="3"/>
        <v>0</v>
      </c>
      <c r="I26" s="243">
        <v>0</v>
      </c>
      <c r="J26" s="383">
        <f t="shared" si="4"/>
        <v>0</v>
      </c>
      <c r="K26" s="385">
        <f t="shared" si="5"/>
        <v>0</v>
      </c>
      <c r="L26" s="410"/>
    </row>
    <row r="27" spans="2:15" x14ac:dyDescent="0.25">
      <c r="B27" s="395"/>
      <c r="C27" s="2194"/>
      <c r="D27" s="2195"/>
      <c r="E27" s="374"/>
      <c r="F27" s="375">
        <v>0</v>
      </c>
      <c r="G27" s="243">
        <v>0</v>
      </c>
      <c r="H27" s="383">
        <f t="shared" si="3"/>
        <v>0</v>
      </c>
      <c r="I27" s="243">
        <v>0</v>
      </c>
      <c r="J27" s="383">
        <f t="shared" si="4"/>
        <v>0</v>
      </c>
      <c r="K27" s="385">
        <f t="shared" si="5"/>
        <v>0</v>
      </c>
      <c r="L27" s="356"/>
    </row>
    <row r="28" spans="2:15" ht="15.75" thickBot="1" x14ac:dyDescent="0.3">
      <c r="B28" s="395"/>
      <c r="C28" s="2196"/>
      <c r="D28" s="2197"/>
      <c r="E28" s="376"/>
      <c r="F28" s="378">
        <v>0</v>
      </c>
      <c r="G28" s="244">
        <v>0</v>
      </c>
      <c r="H28" s="384">
        <f t="shared" si="3"/>
        <v>0</v>
      </c>
      <c r="I28" s="244">
        <v>0</v>
      </c>
      <c r="J28" s="384">
        <f t="shared" si="4"/>
        <v>0</v>
      </c>
      <c r="K28" s="386">
        <f t="shared" si="5"/>
        <v>0</v>
      </c>
      <c r="L28" s="356"/>
    </row>
    <row r="29" spans="2:15" ht="17.25" thickTop="1" thickBot="1" x14ac:dyDescent="0.3">
      <c r="B29" s="395"/>
      <c r="C29" s="379" t="s">
        <v>390</v>
      </c>
      <c r="D29" s="380"/>
      <c r="E29" s="380"/>
      <c r="F29" s="380"/>
      <c r="G29" s="380"/>
      <c r="H29" s="241"/>
      <c r="I29" s="241"/>
      <c r="J29" s="242"/>
      <c r="K29" s="245">
        <f>SUM(K24:K28)</f>
        <v>95765</v>
      </c>
      <c r="L29" s="356"/>
    </row>
    <row r="30" spans="2:15" ht="7.5" customHeight="1" thickBot="1" x14ac:dyDescent="0.3">
      <c r="B30" s="395"/>
      <c r="C30" s="355"/>
      <c r="D30" s="355"/>
      <c r="E30" s="396"/>
      <c r="F30" s="396"/>
      <c r="G30" s="397"/>
      <c r="H30" s="398"/>
      <c r="I30" s="398"/>
      <c r="J30" s="399"/>
      <c r="K30" s="397"/>
      <c r="L30" s="356"/>
    </row>
    <row r="31" spans="2:15" ht="17.25" thickTop="1" thickBot="1" x14ac:dyDescent="0.3">
      <c r="B31" s="415"/>
      <c r="C31" s="379" t="s">
        <v>391</v>
      </c>
      <c r="D31" s="380"/>
      <c r="E31" s="380"/>
      <c r="F31" s="380"/>
      <c r="G31" s="380"/>
      <c r="H31" s="241"/>
      <c r="I31" s="241"/>
      <c r="J31" s="242"/>
      <c r="K31" s="245">
        <f>K20+K29</f>
        <v>190105.47999999998</v>
      </c>
      <c r="L31" s="356"/>
    </row>
    <row r="32" spans="2:15" ht="7.5" customHeight="1" x14ac:dyDescent="0.25">
      <c r="B32" s="415"/>
      <c r="C32" s="424"/>
      <c r="D32" s="424"/>
      <c r="E32" s="424"/>
      <c r="F32" s="424"/>
      <c r="G32" s="424"/>
      <c r="H32" s="436"/>
      <c r="I32" s="436"/>
      <c r="J32" s="437"/>
      <c r="K32" s="437"/>
      <c r="L32" s="356"/>
    </row>
    <row r="33" spans="2:12" ht="16.5" thickBot="1" x14ac:dyDescent="0.3">
      <c r="B33" s="395"/>
      <c r="C33" s="1310" t="s">
        <v>662</v>
      </c>
      <c r="D33" s="1310"/>
      <c r="E33" s="1310"/>
      <c r="F33" s="1310"/>
      <c r="G33" s="1310"/>
      <c r="H33" s="1310"/>
      <c r="I33" s="1310"/>
      <c r="J33" s="1310"/>
      <c r="K33" s="1310"/>
      <c r="L33" s="356"/>
    </row>
    <row r="34" spans="2:12" x14ac:dyDescent="0.25">
      <c r="B34" s="395"/>
      <c r="C34" s="2201" t="s">
        <v>1448</v>
      </c>
      <c r="D34" s="2202"/>
      <c r="E34" s="2202"/>
      <c r="F34" s="2202"/>
      <c r="G34" s="2202"/>
      <c r="H34" s="2202"/>
      <c r="I34" s="2202"/>
      <c r="J34" s="2202"/>
      <c r="K34" s="2203"/>
      <c r="L34" s="356"/>
    </row>
    <row r="35" spans="2:12" x14ac:dyDescent="0.25">
      <c r="B35" s="395"/>
      <c r="C35" s="1923"/>
      <c r="D35" s="1924"/>
      <c r="E35" s="1924"/>
      <c r="F35" s="1924"/>
      <c r="G35" s="1924"/>
      <c r="H35" s="1924"/>
      <c r="I35" s="1924"/>
      <c r="J35" s="1924"/>
      <c r="K35" s="1925"/>
      <c r="L35" s="356"/>
    </row>
    <row r="36" spans="2:12" x14ac:dyDescent="0.25">
      <c r="B36" s="395"/>
      <c r="C36" s="1923"/>
      <c r="D36" s="1924"/>
      <c r="E36" s="1924"/>
      <c r="F36" s="1924"/>
      <c r="G36" s="1924"/>
      <c r="H36" s="1924"/>
      <c r="I36" s="1924"/>
      <c r="J36" s="1924"/>
      <c r="K36" s="1925"/>
      <c r="L36" s="356"/>
    </row>
    <row r="37" spans="2:12" x14ac:dyDescent="0.25">
      <c r="B37" s="395"/>
      <c r="C37" s="1923"/>
      <c r="D37" s="1924"/>
      <c r="E37" s="1924"/>
      <c r="F37" s="1924"/>
      <c r="G37" s="1924"/>
      <c r="H37" s="1924"/>
      <c r="I37" s="1924"/>
      <c r="J37" s="1924"/>
      <c r="K37" s="1925"/>
      <c r="L37" s="356"/>
    </row>
    <row r="38" spans="2:12" x14ac:dyDescent="0.25">
      <c r="B38" s="395"/>
      <c r="C38" s="1926"/>
      <c r="D38" s="1927"/>
      <c r="E38" s="1927"/>
      <c r="F38" s="1927"/>
      <c r="G38" s="1927"/>
      <c r="H38" s="1927"/>
      <c r="I38" s="1927"/>
      <c r="J38" s="1927"/>
      <c r="K38" s="1928"/>
      <c r="L38" s="356"/>
    </row>
    <row r="39" spans="2:12" ht="9" customHeight="1" thickBot="1" x14ac:dyDescent="0.3">
      <c r="B39" s="1311"/>
      <c r="C39" s="1312"/>
      <c r="D39" s="1312"/>
      <c r="E39" s="1312"/>
      <c r="F39" s="1312"/>
      <c r="G39" s="1312"/>
      <c r="H39" s="1312"/>
      <c r="I39" s="1312"/>
      <c r="J39" s="1312"/>
      <c r="K39" s="1312"/>
      <c r="L39" s="362"/>
    </row>
  </sheetData>
  <sheetProtection password="9F6B" sheet="1" objects="1" scenarios="1" formatCells="0" formatColumns="0" formatRows="0" insertRows="0"/>
  <mergeCells count="15">
    <mergeCell ref="C9:K9"/>
    <mergeCell ref="C27:D27"/>
    <mergeCell ref="C28:D28"/>
    <mergeCell ref="C22:K22"/>
    <mergeCell ref="C34:K38"/>
    <mergeCell ref="C15:D15"/>
    <mergeCell ref="C16:D16"/>
    <mergeCell ref="C18:D18"/>
    <mergeCell ref="C19:D19"/>
    <mergeCell ref="C17:D17"/>
    <mergeCell ref="C14:D14"/>
    <mergeCell ref="C23:D23"/>
    <mergeCell ref="C26:D26"/>
    <mergeCell ref="C24:D24"/>
    <mergeCell ref="C25:D25"/>
  </mergeCells>
  <pageMargins left="0.7" right="0.7" top="0.75" bottom="0.75" header="0.3" footer="0.3"/>
  <pageSetup scale="85" orientation="portrait" r:id="rId1"/>
  <headerFooter>
    <oddFooter>&amp;LForm 8C
Operating Personnel Expenses&amp;CCFA Forms&amp;REdition: 2015
Version: 1.1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1:Q51"/>
  <sheetViews>
    <sheetView showGridLines="0" topLeftCell="B13" zoomScaleNormal="100" workbookViewId="0">
      <selection activeCell="G20" sqref="G20"/>
    </sheetView>
  </sheetViews>
  <sheetFormatPr defaultRowHeight="15" x14ac:dyDescent="0.25"/>
  <cols>
    <col min="1" max="2" width="1.7109375" style="844" customWidth="1"/>
    <col min="3" max="3" width="14.28515625" style="844" customWidth="1"/>
    <col min="4" max="4" width="17.140625" style="844" customWidth="1"/>
    <col min="5" max="5" width="14.28515625" style="844" customWidth="1"/>
    <col min="6" max="11" width="9.140625" style="844"/>
    <col min="12" max="12" width="2.85546875" style="844" customWidth="1"/>
    <col min="13" max="16" width="11.42578125" style="844" customWidth="1"/>
    <col min="17" max="17" width="1.7109375" style="844" customWidth="1"/>
    <col min="18" max="16384" width="9.140625" style="844"/>
  </cols>
  <sheetData>
    <row r="11" spans="2:17" ht="9" customHeight="1" thickBot="1" x14ac:dyDescent="0.3"/>
    <row r="12" spans="2:17" ht="9" customHeight="1" x14ac:dyDescent="0.25">
      <c r="B12" s="387"/>
      <c r="C12" s="388"/>
      <c r="D12" s="388"/>
      <c r="E12" s="389"/>
      <c r="F12" s="389"/>
      <c r="G12" s="390"/>
      <c r="H12" s="391"/>
      <c r="I12" s="391"/>
      <c r="J12" s="392"/>
      <c r="K12" s="390"/>
      <c r="L12" s="390"/>
      <c r="M12" s="393"/>
      <c r="N12" s="389"/>
      <c r="O12" s="390"/>
      <c r="P12" s="390"/>
      <c r="Q12" s="394"/>
    </row>
    <row r="13" spans="2:17" ht="18.75" x14ac:dyDescent="0.3">
      <c r="B13" s="395"/>
      <c r="C13" s="1917" t="s">
        <v>392</v>
      </c>
      <c r="D13" s="1917"/>
      <c r="E13" s="1917"/>
      <c r="F13" s="1917"/>
      <c r="G13" s="1917"/>
      <c r="H13" s="1917"/>
      <c r="I13" s="1917"/>
      <c r="J13" s="1917"/>
      <c r="K13" s="1917"/>
      <c r="L13" s="1917"/>
      <c r="M13" s="1917"/>
      <c r="N13" s="1917"/>
      <c r="O13" s="1917"/>
      <c r="P13" s="1917"/>
      <c r="Q13" s="356"/>
    </row>
    <row r="14" spans="2:17" x14ac:dyDescent="0.25">
      <c r="B14" s="395"/>
      <c r="C14" s="355"/>
      <c r="D14" s="355"/>
      <c r="E14" s="396"/>
      <c r="F14" s="396"/>
      <c r="G14" s="397"/>
      <c r="H14" s="398"/>
      <c r="I14" s="398"/>
      <c r="J14" s="399"/>
      <c r="K14" s="397"/>
      <c r="L14" s="397"/>
      <c r="M14" s="400"/>
      <c r="N14" s="396"/>
      <c r="O14" s="397"/>
      <c r="P14" s="1213"/>
      <c r="Q14" s="356"/>
    </row>
    <row r="15" spans="2:17" x14ac:dyDescent="0.25">
      <c r="B15" s="395"/>
      <c r="C15" s="1293" t="s">
        <v>1</v>
      </c>
      <c r="D15" s="1127" t="str">
        <f>IF('1A'!G5="","Enter Project Name on Form 1A",'1A'!G5)</f>
        <v>Liberty Bank Building</v>
      </c>
      <c r="E15" s="1295"/>
      <c r="F15" s="1127"/>
      <c r="G15" s="1127"/>
      <c r="H15" s="1127"/>
      <c r="I15" s="1127"/>
      <c r="J15" s="1127"/>
      <c r="K15" s="1127"/>
      <c r="L15" s="355"/>
      <c r="M15" s="355"/>
      <c r="N15" s="355"/>
      <c r="O15" s="355"/>
      <c r="P15" s="1213"/>
      <c r="Q15" s="440"/>
    </row>
    <row r="16" spans="2:17" x14ac:dyDescent="0.25">
      <c r="B16" s="395"/>
      <c r="C16" s="402"/>
      <c r="D16" s="402"/>
      <c r="E16" s="402"/>
      <c r="F16" s="402"/>
      <c r="G16" s="402"/>
      <c r="H16" s="402"/>
      <c r="I16" s="402"/>
      <c r="J16" s="402"/>
      <c r="K16" s="402"/>
      <c r="L16" s="402"/>
      <c r="M16" s="1213"/>
      <c r="N16" s="1213"/>
      <c r="O16" s="1213"/>
      <c r="P16" s="1213"/>
      <c r="Q16" s="356"/>
    </row>
    <row r="17" spans="2:17" ht="15.75" thickBot="1" x14ac:dyDescent="0.3">
      <c r="B17" s="395"/>
      <c r="C17" s="820"/>
      <c r="D17" s="820"/>
      <c r="E17" s="820"/>
      <c r="F17" s="820"/>
      <c r="G17" s="820"/>
      <c r="H17" s="820"/>
      <c r="I17" s="820"/>
      <c r="J17" s="820"/>
      <c r="K17" s="820"/>
      <c r="L17" s="403"/>
      <c r="M17" s="820"/>
      <c r="N17" s="820"/>
      <c r="O17" s="820"/>
      <c r="P17" s="820"/>
      <c r="Q17" s="356"/>
    </row>
    <row r="18" spans="2:17" ht="16.5" thickBot="1" x14ac:dyDescent="0.3">
      <c r="B18" s="395"/>
      <c r="C18" s="2228" t="s">
        <v>393</v>
      </c>
      <c r="D18" s="2229"/>
      <c r="E18" s="2230"/>
      <c r="F18" s="2230"/>
      <c r="G18" s="2230"/>
      <c r="H18" s="2230"/>
      <c r="I18" s="2230"/>
      <c r="J18" s="2230"/>
      <c r="K18" s="2231"/>
      <c r="L18" s="403"/>
      <c r="M18" s="2213" t="s">
        <v>396</v>
      </c>
      <c r="N18" s="2214"/>
      <c r="O18" s="2214"/>
      <c r="P18" s="2215"/>
      <c r="Q18" s="356"/>
    </row>
    <row r="19" spans="2:17" ht="78" thickBot="1" x14ac:dyDescent="0.3">
      <c r="B19" s="404"/>
      <c r="C19" s="801" t="s">
        <v>394</v>
      </c>
      <c r="D19" s="802"/>
      <c r="E19" s="1302" t="s">
        <v>381</v>
      </c>
      <c r="F19" s="1303" t="s">
        <v>382</v>
      </c>
      <c r="G19" s="1304" t="s">
        <v>383</v>
      </c>
      <c r="H19" s="1303" t="s">
        <v>384</v>
      </c>
      <c r="I19" s="1303" t="s">
        <v>385</v>
      </c>
      <c r="J19" s="1304" t="s">
        <v>386</v>
      </c>
      <c r="K19" s="1305" t="s">
        <v>395</v>
      </c>
      <c r="L19" s="403"/>
      <c r="M19" s="1658" t="s">
        <v>397</v>
      </c>
      <c r="N19" s="1313" t="str">
        <f>IF('8B'!C33="","Enter Source Name on Form 8B",'8B'!C33)</f>
        <v>Seattle HSD</v>
      </c>
      <c r="O19" s="1313" t="str">
        <f>IF('8B'!C34="","Enter Source Name on Form 8B",'8B'!C34)</f>
        <v>Enter Source Name on Form 8B</v>
      </c>
      <c r="P19" s="1314" t="str">
        <f>IF('8B'!C35="","Enter Source Name on Form 8B",'8B'!C35)</f>
        <v>Enter Source Name on Form 8B</v>
      </c>
      <c r="Q19" s="356"/>
    </row>
    <row r="20" spans="2:17" x14ac:dyDescent="0.25">
      <c r="B20" s="404"/>
      <c r="C20" s="2232" t="s">
        <v>1590</v>
      </c>
      <c r="D20" s="2233"/>
      <c r="E20" s="766" t="s">
        <v>1589</v>
      </c>
      <c r="F20" s="767">
        <v>47495</v>
      </c>
      <c r="G20" s="768">
        <v>0.3</v>
      </c>
      <c r="H20" s="769">
        <f>F20*G20</f>
        <v>14248.5</v>
      </c>
      <c r="I20" s="768">
        <v>0.29299999999999998</v>
      </c>
      <c r="J20" s="769">
        <f>H20*I20</f>
        <v>4174.8104999999996</v>
      </c>
      <c r="K20" s="770">
        <f>H20+J20</f>
        <v>18423.3105</v>
      </c>
      <c r="L20" s="405"/>
      <c r="M20" s="773">
        <v>0</v>
      </c>
      <c r="N20" s="774">
        <v>18423</v>
      </c>
      <c r="O20" s="774">
        <v>0</v>
      </c>
      <c r="P20" s="775">
        <v>0</v>
      </c>
      <c r="Q20" s="406"/>
    </row>
    <row r="21" spans="2:17" x14ac:dyDescent="0.25">
      <c r="B21" s="395"/>
      <c r="C21" s="2194"/>
      <c r="D21" s="2195"/>
      <c r="E21" s="374"/>
      <c r="F21" s="375">
        <v>0</v>
      </c>
      <c r="G21" s="243">
        <v>0</v>
      </c>
      <c r="H21" s="383">
        <f t="shared" ref="H21:H28" si="0">F21*G21</f>
        <v>0</v>
      </c>
      <c r="I21" s="243">
        <v>0</v>
      </c>
      <c r="J21" s="383">
        <f t="shared" ref="J21:J28" si="1">H21*I21</f>
        <v>0</v>
      </c>
      <c r="K21" s="385">
        <f t="shared" ref="K21:K28" si="2">H21+J21</f>
        <v>0</v>
      </c>
      <c r="L21" s="405"/>
      <c r="M21" s="407">
        <v>0</v>
      </c>
      <c r="N21" s="408">
        <v>0</v>
      </c>
      <c r="O21" s="408">
        <v>0</v>
      </c>
      <c r="P21" s="409">
        <v>0</v>
      </c>
      <c r="Q21" s="410"/>
    </row>
    <row r="22" spans="2:17" x14ac:dyDescent="0.25">
      <c r="B22" s="395"/>
      <c r="C22" s="2194"/>
      <c r="D22" s="2195"/>
      <c r="E22" s="374"/>
      <c r="F22" s="375">
        <v>0</v>
      </c>
      <c r="G22" s="243">
        <v>0</v>
      </c>
      <c r="H22" s="383">
        <f t="shared" si="0"/>
        <v>0</v>
      </c>
      <c r="I22" s="243">
        <v>0</v>
      </c>
      <c r="J22" s="383">
        <f t="shared" si="1"/>
        <v>0</v>
      </c>
      <c r="K22" s="385">
        <f t="shared" si="2"/>
        <v>0</v>
      </c>
      <c r="L22" s="405"/>
      <c r="M22" s="407">
        <v>0</v>
      </c>
      <c r="N22" s="408">
        <v>0</v>
      </c>
      <c r="O22" s="408">
        <v>0</v>
      </c>
      <c r="P22" s="409">
        <v>0</v>
      </c>
      <c r="Q22" s="356"/>
    </row>
    <row r="23" spans="2:17" x14ac:dyDescent="0.25">
      <c r="B23" s="395"/>
      <c r="C23" s="2194"/>
      <c r="D23" s="2195"/>
      <c r="E23" s="374"/>
      <c r="F23" s="375">
        <v>0</v>
      </c>
      <c r="G23" s="243">
        <v>0</v>
      </c>
      <c r="H23" s="383">
        <f t="shared" si="0"/>
        <v>0</v>
      </c>
      <c r="I23" s="243">
        <v>0</v>
      </c>
      <c r="J23" s="383">
        <f t="shared" si="1"/>
        <v>0</v>
      </c>
      <c r="K23" s="385">
        <f t="shared" si="2"/>
        <v>0</v>
      </c>
      <c r="L23" s="405"/>
      <c r="M23" s="407">
        <v>0</v>
      </c>
      <c r="N23" s="408">
        <v>0</v>
      </c>
      <c r="O23" s="408">
        <v>0</v>
      </c>
      <c r="P23" s="409">
        <v>0</v>
      </c>
      <c r="Q23" s="356"/>
    </row>
    <row r="24" spans="2:17" x14ac:dyDescent="0.25">
      <c r="B24" s="395"/>
      <c r="C24" s="2194"/>
      <c r="D24" s="2195"/>
      <c r="E24" s="374"/>
      <c r="F24" s="375">
        <v>0</v>
      </c>
      <c r="G24" s="243">
        <v>0</v>
      </c>
      <c r="H24" s="383">
        <f t="shared" si="0"/>
        <v>0</v>
      </c>
      <c r="I24" s="243">
        <v>0</v>
      </c>
      <c r="J24" s="383">
        <f t="shared" si="1"/>
        <v>0</v>
      </c>
      <c r="K24" s="385">
        <f t="shared" si="2"/>
        <v>0</v>
      </c>
      <c r="L24" s="405"/>
      <c r="M24" s="407">
        <v>0</v>
      </c>
      <c r="N24" s="408">
        <v>0</v>
      </c>
      <c r="O24" s="408">
        <v>0</v>
      </c>
      <c r="P24" s="409">
        <v>0</v>
      </c>
      <c r="Q24" s="356"/>
    </row>
    <row r="25" spans="2:17" x14ac:dyDescent="0.25">
      <c r="B25" s="395"/>
      <c r="C25" s="2194"/>
      <c r="D25" s="2195"/>
      <c r="E25" s="374"/>
      <c r="F25" s="411">
        <v>0</v>
      </c>
      <c r="G25" s="243">
        <v>0</v>
      </c>
      <c r="H25" s="383">
        <f t="shared" si="0"/>
        <v>0</v>
      </c>
      <c r="I25" s="243">
        <v>0</v>
      </c>
      <c r="J25" s="383">
        <f t="shared" si="1"/>
        <v>0</v>
      </c>
      <c r="K25" s="385">
        <f t="shared" si="2"/>
        <v>0</v>
      </c>
      <c r="L25" s="405"/>
      <c r="M25" s="407">
        <v>0</v>
      </c>
      <c r="N25" s="408">
        <v>0</v>
      </c>
      <c r="O25" s="408">
        <v>0</v>
      </c>
      <c r="P25" s="409">
        <v>0</v>
      </c>
      <c r="Q25" s="356"/>
    </row>
    <row r="26" spans="2:17" x14ac:dyDescent="0.25">
      <c r="B26" s="395"/>
      <c r="C26" s="2194"/>
      <c r="D26" s="2195"/>
      <c r="E26" s="374"/>
      <c r="F26" s="411">
        <v>0</v>
      </c>
      <c r="G26" s="243">
        <v>0</v>
      </c>
      <c r="H26" s="383">
        <f t="shared" si="0"/>
        <v>0</v>
      </c>
      <c r="I26" s="243">
        <v>0</v>
      </c>
      <c r="J26" s="383">
        <f t="shared" si="1"/>
        <v>0</v>
      </c>
      <c r="K26" s="385">
        <f t="shared" si="2"/>
        <v>0</v>
      </c>
      <c r="L26" s="405"/>
      <c r="M26" s="407">
        <v>0</v>
      </c>
      <c r="N26" s="408">
        <v>0</v>
      </c>
      <c r="O26" s="408">
        <v>0</v>
      </c>
      <c r="P26" s="409">
        <v>0</v>
      </c>
      <c r="Q26" s="356"/>
    </row>
    <row r="27" spans="2:17" x14ac:dyDescent="0.25">
      <c r="B27" s="395"/>
      <c r="C27" s="2194"/>
      <c r="D27" s="2195"/>
      <c r="E27" s="374"/>
      <c r="F27" s="411">
        <v>0</v>
      </c>
      <c r="G27" s="243">
        <v>0</v>
      </c>
      <c r="H27" s="383">
        <f t="shared" si="0"/>
        <v>0</v>
      </c>
      <c r="I27" s="243">
        <v>0</v>
      </c>
      <c r="J27" s="383">
        <f t="shared" si="1"/>
        <v>0</v>
      </c>
      <c r="K27" s="385">
        <f t="shared" si="2"/>
        <v>0</v>
      </c>
      <c r="L27" s="405"/>
      <c r="M27" s="407">
        <v>0</v>
      </c>
      <c r="N27" s="408">
        <v>0</v>
      </c>
      <c r="O27" s="408">
        <v>0</v>
      </c>
      <c r="P27" s="409">
        <v>0</v>
      </c>
      <c r="Q27" s="356"/>
    </row>
    <row r="28" spans="2:17" ht="15.75" thickBot="1" x14ac:dyDescent="0.3">
      <c r="B28" s="395"/>
      <c r="C28" s="2196"/>
      <c r="D28" s="2197"/>
      <c r="E28" s="376"/>
      <c r="F28" s="378">
        <v>0</v>
      </c>
      <c r="G28" s="244">
        <v>0</v>
      </c>
      <c r="H28" s="384">
        <f t="shared" si="0"/>
        <v>0</v>
      </c>
      <c r="I28" s="244">
        <v>0</v>
      </c>
      <c r="J28" s="384">
        <f t="shared" si="1"/>
        <v>0</v>
      </c>
      <c r="K28" s="725">
        <f t="shared" si="2"/>
        <v>0</v>
      </c>
      <c r="L28" s="405"/>
      <c r="M28" s="412">
        <v>0</v>
      </c>
      <c r="N28" s="413">
        <v>0</v>
      </c>
      <c r="O28" s="413">
        <v>0</v>
      </c>
      <c r="P28" s="414">
        <v>0</v>
      </c>
      <c r="Q28" s="356"/>
    </row>
    <row r="29" spans="2:17" ht="17.25" thickTop="1" thickBot="1" x14ac:dyDescent="0.3">
      <c r="B29" s="415"/>
      <c r="C29" s="2226" t="s">
        <v>398</v>
      </c>
      <c r="D29" s="2227"/>
      <c r="E29" s="2227"/>
      <c r="F29" s="2227"/>
      <c r="G29" s="2227"/>
      <c r="H29" s="416"/>
      <c r="I29" s="416"/>
      <c r="J29" s="417"/>
      <c r="K29" s="245">
        <f>SUM(K20:K28)</f>
        <v>18423.3105</v>
      </c>
      <c r="L29" s="418"/>
      <c r="M29" s="1326">
        <f>SUM(M20:M28)</f>
        <v>0</v>
      </c>
      <c r="N29" s="1327">
        <f t="shared" ref="N29:P29" si="3">SUM(N20:N28)</f>
        <v>18423</v>
      </c>
      <c r="O29" s="1327">
        <f t="shared" si="3"/>
        <v>0</v>
      </c>
      <c r="P29" s="1328">
        <f t="shared" si="3"/>
        <v>0</v>
      </c>
      <c r="Q29" s="356"/>
    </row>
    <row r="30" spans="2:17" ht="15" customHeight="1" thickBot="1" x14ac:dyDescent="0.3">
      <c r="B30" s="415"/>
      <c r="C30" s="419"/>
      <c r="D30" s="419"/>
      <c r="E30" s="419"/>
      <c r="F30" s="419"/>
      <c r="G30" s="419"/>
      <c r="H30" s="420"/>
      <c r="I30" s="420"/>
      <c r="J30" s="421"/>
      <c r="K30" s="421"/>
      <c r="L30" s="422"/>
      <c r="M30" s="421"/>
      <c r="N30" s="421"/>
      <c r="O30" s="421"/>
      <c r="P30" s="421"/>
      <c r="Q30" s="356"/>
    </row>
    <row r="31" spans="2:17" ht="37.5" thickBot="1" x14ac:dyDescent="0.3">
      <c r="B31" s="415"/>
      <c r="C31" s="379" t="s">
        <v>399</v>
      </c>
      <c r="D31" s="380"/>
      <c r="E31" s="380"/>
      <c r="F31" s="380"/>
      <c r="G31" s="380"/>
      <c r="H31" s="380"/>
      <c r="I31" s="380"/>
      <c r="J31" s="380"/>
      <c r="K31" s="1660"/>
      <c r="L31" s="422"/>
      <c r="M31" s="1659" t="s">
        <v>397</v>
      </c>
      <c r="N31" s="776" t="str">
        <f>N19</f>
        <v>Seattle HSD</v>
      </c>
      <c r="O31" s="776" t="str">
        <f>O19</f>
        <v>Enter Source Name on Form 8B</v>
      </c>
      <c r="P31" s="777" t="str">
        <f>P19</f>
        <v>Enter Source Name on Form 8B</v>
      </c>
      <c r="Q31" s="356"/>
    </row>
    <row r="32" spans="2:17" ht="15.75" x14ac:dyDescent="0.25">
      <c r="B32" s="415"/>
      <c r="C32" s="820"/>
      <c r="D32" s="441"/>
      <c r="E32" s="820"/>
      <c r="F32" s="441" t="s">
        <v>400</v>
      </c>
      <c r="G32" s="820"/>
      <c r="H32" s="820"/>
      <c r="I32" s="820"/>
      <c r="J32" s="820"/>
      <c r="K32" s="772">
        <v>0</v>
      </c>
      <c r="L32" s="425"/>
      <c r="M32" s="426">
        <v>0</v>
      </c>
      <c r="N32" s="427">
        <v>0</v>
      </c>
      <c r="O32" s="427">
        <v>0</v>
      </c>
      <c r="P32" s="428">
        <v>0</v>
      </c>
      <c r="Q32" s="356"/>
    </row>
    <row r="33" spans="2:17" ht="15.75" x14ac:dyDescent="0.25">
      <c r="B33" s="415"/>
      <c r="C33" s="820"/>
      <c r="D33" s="441"/>
      <c r="E33" s="820"/>
      <c r="F33" s="441" t="s">
        <v>401</v>
      </c>
      <c r="G33" s="820"/>
      <c r="H33" s="820"/>
      <c r="I33" s="820"/>
      <c r="J33" s="820"/>
      <c r="K33" s="726">
        <v>0</v>
      </c>
      <c r="L33" s="425"/>
      <c r="M33" s="429">
        <v>0</v>
      </c>
      <c r="N33" s="408">
        <v>0</v>
      </c>
      <c r="O33" s="408">
        <v>0</v>
      </c>
      <c r="P33" s="430">
        <v>0</v>
      </c>
      <c r="Q33" s="356"/>
    </row>
    <row r="34" spans="2:17" ht="15.75" x14ac:dyDescent="0.25">
      <c r="B34" s="415"/>
      <c r="C34" s="820"/>
      <c r="D34" s="441"/>
      <c r="E34" s="820"/>
      <c r="F34" s="441" t="s">
        <v>402</v>
      </c>
      <c r="G34" s="820"/>
      <c r="H34" s="820"/>
      <c r="I34" s="820"/>
      <c r="J34" s="820"/>
      <c r="K34" s="726">
        <v>0</v>
      </c>
      <c r="L34" s="425"/>
      <c r="M34" s="429">
        <v>0</v>
      </c>
      <c r="N34" s="408">
        <v>0</v>
      </c>
      <c r="O34" s="408">
        <v>0</v>
      </c>
      <c r="P34" s="430">
        <v>0</v>
      </c>
      <c r="Q34" s="356"/>
    </row>
    <row r="35" spans="2:17" ht="15.75" x14ac:dyDescent="0.25">
      <c r="B35" s="415"/>
      <c r="C35" s="820"/>
      <c r="D35" s="441"/>
      <c r="E35" s="820"/>
      <c r="F35" s="441" t="s">
        <v>403</v>
      </c>
      <c r="G35" s="820"/>
      <c r="H35" s="820"/>
      <c r="I35" s="820"/>
      <c r="J35" s="820"/>
      <c r="K35" s="726">
        <v>0</v>
      </c>
      <c r="L35" s="425"/>
      <c r="M35" s="429">
        <v>0</v>
      </c>
      <c r="N35" s="408">
        <v>0</v>
      </c>
      <c r="O35" s="408">
        <v>0</v>
      </c>
      <c r="P35" s="430">
        <v>0</v>
      </c>
      <c r="Q35" s="356"/>
    </row>
    <row r="36" spans="2:17" ht="15.75" x14ac:dyDescent="0.25">
      <c r="B36" s="415"/>
      <c r="C36" s="820"/>
      <c r="D36" s="441"/>
      <c r="E36" s="820"/>
      <c r="F36" s="441" t="s">
        <v>404</v>
      </c>
      <c r="G36" s="820"/>
      <c r="H36" s="820"/>
      <c r="I36" s="820"/>
      <c r="J36" s="820"/>
      <c r="K36" s="726">
        <v>0</v>
      </c>
      <c r="L36" s="425"/>
      <c r="M36" s="429">
        <v>0</v>
      </c>
      <c r="N36" s="408">
        <v>0</v>
      </c>
      <c r="O36" s="408">
        <v>0</v>
      </c>
      <c r="P36" s="430">
        <v>0</v>
      </c>
      <c r="Q36" s="356"/>
    </row>
    <row r="37" spans="2:17" ht="15.75" x14ac:dyDescent="0.25">
      <c r="B37" s="415"/>
      <c r="C37" s="820"/>
      <c r="D37" s="441"/>
      <c r="E37" s="820"/>
      <c r="F37" s="441" t="s">
        <v>405</v>
      </c>
      <c r="G37" s="820"/>
      <c r="H37" s="820"/>
      <c r="I37" s="820"/>
      <c r="J37" s="820"/>
      <c r="K37" s="726">
        <v>0</v>
      </c>
      <c r="L37" s="425"/>
      <c r="M37" s="429">
        <v>0</v>
      </c>
      <c r="N37" s="408">
        <v>0</v>
      </c>
      <c r="O37" s="408">
        <v>0</v>
      </c>
      <c r="P37" s="430">
        <v>0</v>
      </c>
      <c r="Q37" s="356"/>
    </row>
    <row r="38" spans="2:17" ht="15.75" x14ac:dyDescent="0.25">
      <c r="B38" s="415"/>
      <c r="C38" s="820"/>
      <c r="D38" s="441"/>
      <c r="E38" s="820"/>
      <c r="F38" s="441" t="s">
        <v>481</v>
      </c>
      <c r="G38" s="2210"/>
      <c r="H38" s="2211"/>
      <c r="I38" s="2211"/>
      <c r="J38" s="2212"/>
      <c r="K38" s="726">
        <v>0</v>
      </c>
      <c r="L38" s="425"/>
      <c r="M38" s="429">
        <v>0</v>
      </c>
      <c r="N38" s="408">
        <v>0</v>
      </c>
      <c r="O38" s="408">
        <v>0</v>
      </c>
      <c r="P38" s="430">
        <v>0</v>
      </c>
      <c r="Q38" s="356"/>
    </row>
    <row r="39" spans="2:17" ht="15.75" x14ac:dyDescent="0.25">
      <c r="B39" s="415"/>
      <c r="C39" s="820"/>
      <c r="D39" s="441"/>
      <c r="E39" s="820"/>
      <c r="F39" s="441" t="s">
        <v>481</v>
      </c>
      <c r="G39" s="2210"/>
      <c r="H39" s="2211"/>
      <c r="I39" s="2211"/>
      <c r="J39" s="2212"/>
      <c r="K39" s="726">
        <v>0</v>
      </c>
      <c r="L39" s="425"/>
      <c r="M39" s="429">
        <v>0</v>
      </c>
      <c r="N39" s="408">
        <v>0</v>
      </c>
      <c r="O39" s="408">
        <v>0</v>
      </c>
      <c r="P39" s="430">
        <v>0</v>
      </c>
      <c r="Q39" s="356"/>
    </row>
    <row r="40" spans="2:17" ht="15.75" x14ac:dyDescent="0.25">
      <c r="B40" s="415"/>
      <c r="C40" s="820"/>
      <c r="D40" s="441"/>
      <c r="E40" s="820"/>
      <c r="F40" s="441" t="s">
        <v>481</v>
      </c>
      <c r="G40" s="2210"/>
      <c r="H40" s="2211"/>
      <c r="I40" s="2211"/>
      <c r="J40" s="2212"/>
      <c r="K40" s="726">
        <v>0</v>
      </c>
      <c r="L40" s="425"/>
      <c r="M40" s="429">
        <v>0</v>
      </c>
      <c r="N40" s="408">
        <v>0</v>
      </c>
      <c r="O40" s="408">
        <v>0</v>
      </c>
      <c r="P40" s="430">
        <v>0</v>
      </c>
      <c r="Q40" s="356"/>
    </row>
    <row r="41" spans="2:17" ht="15.75" x14ac:dyDescent="0.25">
      <c r="B41" s="415"/>
      <c r="C41" s="820"/>
      <c r="D41" s="441"/>
      <c r="E41" s="820"/>
      <c r="F41" s="441" t="s">
        <v>406</v>
      </c>
      <c r="G41" s="820"/>
      <c r="H41" s="820"/>
      <c r="I41" s="820"/>
      <c r="J41" s="820"/>
      <c r="K41" s="727">
        <v>0</v>
      </c>
      <c r="L41" s="425"/>
      <c r="M41" s="431">
        <v>0</v>
      </c>
      <c r="N41" s="432">
        <v>0</v>
      </c>
      <c r="O41" s="432">
        <v>0</v>
      </c>
      <c r="P41" s="433">
        <v>0</v>
      </c>
      <c r="Q41" s="356"/>
    </row>
    <row r="42" spans="2:17" ht="16.5" thickBot="1" x14ac:dyDescent="0.3">
      <c r="B42" s="415"/>
      <c r="C42" s="423"/>
      <c r="D42" s="423"/>
      <c r="E42" s="424"/>
      <c r="F42" s="424"/>
      <c r="G42" s="424"/>
      <c r="H42" s="423"/>
      <c r="I42" s="423"/>
      <c r="J42" s="422"/>
      <c r="K42" s="434"/>
      <c r="L42" s="422"/>
      <c r="M42" s="435"/>
      <c r="N42" s="435"/>
      <c r="O42" s="435"/>
      <c r="P42" s="435"/>
      <c r="Q42" s="356"/>
    </row>
    <row r="43" spans="2:17" ht="17.25" thickTop="1" thickBot="1" x14ac:dyDescent="0.3">
      <c r="B43" s="415"/>
      <c r="C43" s="423"/>
      <c r="D43" s="423"/>
      <c r="E43" s="424"/>
      <c r="F43" s="424"/>
      <c r="G43" s="1315"/>
      <c r="H43" s="729"/>
      <c r="I43" s="379" t="s">
        <v>407</v>
      </c>
      <c r="J43" s="1661"/>
      <c r="K43" s="1322">
        <f>K29+(SUM(K32:K41))</f>
        <v>18423.3105</v>
      </c>
      <c r="L43" s="436"/>
      <c r="M43" s="1323">
        <f>M29+(SUM(M32:M42))</f>
        <v>0</v>
      </c>
      <c r="N43" s="1324">
        <f>N29+(SUM(N32:N42))</f>
        <v>18423</v>
      </c>
      <c r="O43" s="1324">
        <f>O29+(SUM(O32:O42))</f>
        <v>0</v>
      </c>
      <c r="P43" s="1325">
        <f>P29+(SUM(P32:P42))</f>
        <v>0</v>
      </c>
      <c r="Q43" s="356"/>
    </row>
    <row r="44" spans="2:17" ht="16.5" thickBot="1" x14ac:dyDescent="0.3">
      <c r="B44" s="415"/>
      <c r="C44" s="423"/>
      <c r="D44" s="423"/>
      <c r="E44" s="424"/>
      <c r="F44" s="424"/>
      <c r="G44" s="728"/>
      <c r="H44" s="355"/>
      <c r="I44" s="355"/>
      <c r="J44" s="437"/>
      <c r="K44" s="437"/>
      <c r="L44" s="438"/>
      <c r="M44" s="437"/>
      <c r="N44" s="437"/>
      <c r="O44" s="437"/>
      <c r="P44" s="1316"/>
      <c r="Q44" s="356"/>
    </row>
    <row r="45" spans="2:17" ht="16.5" thickBot="1" x14ac:dyDescent="0.3">
      <c r="B45" s="395"/>
      <c r="C45" s="381" t="s">
        <v>662</v>
      </c>
      <c r="D45" s="382"/>
      <c r="E45" s="382"/>
      <c r="F45" s="382"/>
      <c r="G45" s="382"/>
      <c r="H45" s="382"/>
      <c r="I45" s="382"/>
      <c r="J45" s="382"/>
      <c r="K45" s="382"/>
      <c r="L45" s="382"/>
      <c r="M45" s="382"/>
      <c r="N45" s="382"/>
      <c r="O45" s="439"/>
      <c r="P45" s="1213"/>
      <c r="Q45" s="356"/>
    </row>
    <row r="46" spans="2:17" x14ac:dyDescent="0.25">
      <c r="B46" s="395"/>
      <c r="C46" s="2216"/>
      <c r="D46" s="2217"/>
      <c r="E46" s="2218"/>
      <c r="F46" s="2218"/>
      <c r="G46" s="2218"/>
      <c r="H46" s="2218"/>
      <c r="I46" s="2218"/>
      <c r="J46" s="2218"/>
      <c r="K46" s="2218"/>
      <c r="L46" s="2218"/>
      <c r="M46" s="2218"/>
      <c r="N46" s="2218"/>
      <c r="O46" s="2219"/>
      <c r="P46" s="1213"/>
      <c r="Q46" s="356"/>
    </row>
    <row r="47" spans="2:17" x14ac:dyDescent="0.25">
      <c r="B47" s="395"/>
      <c r="C47" s="2220"/>
      <c r="D47" s="2221"/>
      <c r="E47" s="2221"/>
      <c r="F47" s="2221"/>
      <c r="G47" s="2221"/>
      <c r="H47" s="2221"/>
      <c r="I47" s="2221"/>
      <c r="J47" s="2221"/>
      <c r="K47" s="2221"/>
      <c r="L47" s="2221"/>
      <c r="M47" s="2221"/>
      <c r="N47" s="2221"/>
      <c r="O47" s="2222"/>
      <c r="P47" s="1213"/>
      <c r="Q47" s="356"/>
    </row>
    <row r="48" spans="2:17" x14ac:dyDescent="0.25">
      <c r="B48" s="395"/>
      <c r="C48" s="2220"/>
      <c r="D48" s="2221"/>
      <c r="E48" s="2221"/>
      <c r="F48" s="2221"/>
      <c r="G48" s="2221"/>
      <c r="H48" s="2221"/>
      <c r="I48" s="2221"/>
      <c r="J48" s="2221"/>
      <c r="K48" s="2221"/>
      <c r="L48" s="2221"/>
      <c r="M48" s="2221"/>
      <c r="N48" s="2221"/>
      <c r="O48" s="2222"/>
      <c r="P48" s="1213"/>
      <c r="Q48" s="356"/>
    </row>
    <row r="49" spans="2:17" x14ac:dyDescent="0.25">
      <c r="B49" s="395"/>
      <c r="C49" s="2220"/>
      <c r="D49" s="2221"/>
      <c r="E49" s="2221"/>
      <c r="F49" s="2221"/>
      <c r="G49" s="2221"/>
      <c r="H49" s="2221"/>
      <c r="I49" s="2221"/>
      <c r="J49" s="2221"/>
      <c r="K49" s="2221"/>
      <c r="L49" s="2221"/>
      <c r="M49" s="2221"/>
      <c r="N49" s="2221"/>
      <c r="O49" s="2222"/>
      <c r="P49" s="1213"/>
      <c r="Q49" s="356"/>
    </row>
    <row r="50" spans="2:17" ht="15.75" thickBot="1" x14ac:dyDescent="0.3">
      <c r="B50" s="395"/>
      <c r="C50" s="2223"/>
      <c r="D50" s="2224"/>
      <c r="E50" s="2224"/>
      <c r="F50" s="2224"/>
      <c r="G50" s="2224"/>
      <c r="H50" s="2224"/>
      <c r="I50" s="2224"/>
      <c r="J50" s="2224"/>
      <c r="K50" s="2224"/>
      <c r="L50" s="2224"/>
      <c r="M50" s="2224"/>
      <c r="N50" s="2224"/>
      <c r="O50" s="2225"/>
      <c r="P50" s="1213"/>
      <c r="Q50" s="356"/>
    </row>
    <row r="51" spans="2:17" ht="9" customHeight="1" thickBot="1" x14ac:dyDescent="0.3">
      <c r="B51" s="1311"/>
      <c r="C51" s="361"/>
      <c r="D51" s="361"/>
      <c r="E51" s="1317"/>
      <c r="F51" s="1317"/>
      <c r="G51" s="1318"/>
      <c r="H51" s="1319"/>
      <c r="I51" s="1319"/>
      <c r="J51" s="1320"/>
      <c r="K51" s="1318"/>
      <c r="L51" s="1318"/>
      <c r="M51" s="1321"/>
      <c r="N51" s="1317"/>
      <c r="O51" s="1318"/>
      <c r="P51" s="361"/>
      <c r="Q51" s="362"/>
    </row>
  </sheetData>
  <sheetProtection password="9F6B" sheet="1" objects="1" scenarios="1" formatCells="0" formatColumns="0" formatRows="0" insertRows="0"/>
  <mergeCells count="17">
    <mergeCell ref="C46:O50"/>
    <mergeCell ref="C29:G29"/>
    <mergeCell ref="C18:K18"/>
    <mergeCell ref="C20:D20"/>
    <mergeCell ref="C21:D21"/>
    <mergeCell ref="C22:D22"/>
    <mergeCell ref="C23:D23"/>
    <mergeCell ref="C24:D24"/>
    <mergeCell ref="C25:D25"/>
    <mergeCell ref="C26:D26"/>
    <mergeCell ref="C27:D27"/>
    <mergeCell ref="C28:D28"/>
    <mergeCell ref="C13:P13"/>
    <mergeCell ref="G38:J38"/>
    <mergeCell ref="G39:J39"/>
    <mergeCell ref="G40:J40"/>
    <mergeCell ref="M18:P18"/>
  </mergeCells>
  <pageMargins left="0.7" right="0.7" top="0.75" bottom="0.75" header="0.3" footer="0.3"/>
  <pageSetup scale="74" orientation="landscape" r:id="rId1"/>
  <headerFooter>
    <oddFooter>&amp;LForm 8D
Service Expenses&amp;CCFA Forms&amp;REdition: 2015
Version: 1.1</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7:T179"/>
  <sheetViews>
    <sheetView showGridLines="0" topLeftCell="A150" zoomScaleNormal="100" workbookViewId="0">
      <selection activeCell="H84" sqref="H84:I84"/>
    </sheetView>
  </sheetViews>
  <sheetFormatPr defaultRowHeight="15" x14ac:dyDescent="0.25"/>
  <cols>
    <col min="1" max="2" width="1.7109375" style="844" customWidth="1"/>
    <col min="3" max="3" width="14.28515625" style="844" customWidth="1"/>
    <col min="4" max="4" width="9.140625" style="844" customWidth="1"/>
    <col min="5" max="6" width="9.140625" style="844"/>
    <col min="7" max="7" width="1.42578125" style="844" customWidth="1"/>
    <col min="8" max="9" width="9.140625" style="844"/>
    <col min="10" max="10" width="9.42578125" style="844" bestFit="1" customWidth="1"/>
    <col min="11" max="16" width="9.140625" style="844"/>
    <col min="17" max="17" width="1.7109375" style="844" customWidth="1"/>
    <col min="18" max="18" width="9.140625" style="844"/>
    <col min="19" max="19" width="14.28515625" style="844" bestFit="1" customWidth="1"/>
    <col min="20" max="16384" width="9.140625" style="844"/>
  </cols>
  <sheetData>
    <row r="17" spans="2:17" ht="15.75" thickBot="1" x14ac:dyDescent="0.3"/>
    <row r="18" spans="2:17" ht="9" customHeight="1" x14ac:dyDescent="0.25">
      <c r="B18" s="514"/>
      <c r="C18" s="515"/>
      <c r="D18" s="515"/>
      <c r="E18" s="515"/>
      <c r="F18" s="515"/>
      <c r="G18" s="515"/>
      <c r="H18" s="515"/>
      <c r="I18" s="515"/>
      <c r="J18" s="515"/>
      <c r="K18" s="515"/>
      <c r="L18" s="515"/>
      <c r="M18" s="515"/>
      <c r="N18" s="515"/>
      <c r="O18" s="515"/>
      <c r="P18" s="515"/>
      <c r="Q18" s="516"/>
    </row>
    <row r="19" spans="2:17" ht="18.75" x14ac:dyDescent="0.3">
      <c r="B19" s="517"/>
      <c r="C19" s="1653" t="s">
        <v>408</v>
      </c>
      <c r="D19" s="1662"/>
      <c r="E19" s="1662"/>
      <c r="F19" s="1662"/>
      <c r="G19" s="1662"/>
      <c r="H19" s="1662"/>
      <c r="I19" s="1662"/>
      <c r="J19" s="1662"/>
      <c r="K19" s="1662"/>
      <c r="L19" s="1662"/>
      <c r="M19" s="1662"/>
      <c r="N19" s="1662"/>
      <c r="O19" s="1662"/>
      <c r="P19" s="1662"/>
      <c r="Q19" s="519"/>
    </row>
    <row r="20" spans="2:17" x14ac:dyDescent="0.25">
      <c r="B20" s="517"/>
      <c r="C20" s="518"/>
      <c r="D20" s="518"/>
      <c r="E20" s="518"/>
      <c r="F20" s="518"/>
      <c r="G20" s="518"/>
      <c r="H20" s="518"/>
      <c r="I20" s="518"/>
      <c r="J20" s="518"/>
      <c r="K20" s="518"/>
      <c r="L20" s="518"/>
      <c r="M20" s="518"/>
      <c r="N20" s="518"/>
      <c r="O20" s="518"/>
      <c r="P20" s="518"/>
      <c r="Q20" s="519"/>
    </row>
    <row r="21" spans="2:17" x14ac:dyDescent="0.25">
      <c r="B21" s="517"/>
      <c r="C21" s="1128" t="s">
        <v>63</v>
      </c>
      <c r="D21" s="1127" t="str">
        <f>IF('1A'!G5="","Enter Project Name on Form 1A",'1A'!G5)</f>
        <v>Liberty Bank Building</v>
      </c>
      <c r="E21" s="1127"/>
      <c r="F21" s="1127"/>
      <c r="G21" s="1127"/>
      <c r="H21" s="1127"/>
      <c r="I21" s="1127"/>
      <c r="J21" s="1127"/>
      <c r="K21" s="1213"/>
      <c r="L21" s="1213"/>
      <c r="M21" s="787" t="s">
        <v>1084</v>
      </c>
      <c r="N21" s="1329">
        <v>0</v>
      </c>
      <c r="O21" s="1128"/>
      <c r="P21" s="1128"/>
      <c r="Q21" s="519"/>
    </row>
    <row r="22" spans="2:17" ht="3.75" customHeight="1" x14ac:dyDescent="0.25">
      <c r="B22" s="517"/>
      <c r="C22" s="1128"/>
      <c r="D22" s="1128"/>
      <c r="E22" s="1128"/>
      <c r="F22" s="1128"/>
      <c r="G22" s="1128"/>
      <c r="H22" s="1128"/>
      <c r="I22" s="1128"/>
      <c r="J22" s="1213"/>
      <c r="K22" s="1213"/>
      <c r="L22" s="1213"/>
      <c r="M22" s="1213"/>
      <c r="N22" s="1128"/>
      <c r="O22" s="1128"/>
      <c r="P22" s="1128"/>
      <c r="Q22" s="519"/>
    </row>
    <row r="23" spans="2:17" x14ac:dyDescent="0.25">
      <c r="B23" s="520"/>
      <c r="C23" s="1128" t="s">
        <v>409</v>
      </c>
      <c r="D23" s="1375">
        <v>42261</v>
      </c>
      <c r="E23" s="521"/>
      <c r="F23" s="820"/>
      <c r="G23" s="521"/>
      <c r="H23" s="521"/>
      <c r="I23" s="521"/>
      <c r="J23" s="522"/>
      <c r="K23" s="522"/>
      <c r="L23" s="522"/>
      <c r="M23" s="522"/>
      <c r="N23" s="522"/>
      <c r="O23" s="523"/>
      <c r="P23" s="522"/>
      <c r="Q23" s="524"/>
    </row>
    <row r="24" spans="2:17" ht="7.5" customHeight="1" x14ac:dyDescent="0.25">
      <c r="B24" s="520"/>
      <c r="C24" s="525"/>
      <c r="D24" s="522"/>
      <c r="E24" s="521"/>
      <c r="F24" s="521"/>
      <c r="G24" s="521"/>
      <c r="H24" s="521"/>
      <c r="I24" s="521"/>
      <c r="J24" s="522"/>
      <c r="K24" s="522"/>
      <c r="L24" s="522"/>
      <c r="M24" s="522"/>
      <c r="N24" s="522"/>
      <c r="O24" s="523"/>
      <c r="P24" s="522"/>
      <c r="Q24" s="524"/>
    </row>
    <row r="25" spans="2:17" ht="15.75" thickBot="1" x14ac:dyDescent="0.3">
      <c r="B25" s="526"/>
      <c r="C25" s="595" t="s">
        <v>410</v>
      </c>
      <c r="D25" s="444"/>
      <c r="E25" s="445"/>
      <c r="F25" s="445"/>
      <c r="G25" s="445"/>
      <c r="H25" s="445"/>
      <c r="I25" s="445"/>
      <c r="J25" s="444"/>
      <c r="K25" s="444"/>
      <c r="L25" s="444"/>
      <c r="M25" s="444"/>
      <c r="N25" s="444"/>
      <c r="O25" s="446"/>
      <c r="P25" s="444"/>
      <c r="Q25" s="528"/>
    </row>
    <row r="26" spans="2:17" ht="15.75" thickBot="1" x14ac:dyDescent="0.3">
      <c r="B26" s="395"/>
      <c r="C26" s="1213"/>
      <c r="D26" s="518"/>
      <c r="E26" s="1213"/>
      <c r="F26" s="1213"/>
      <c r="G26" s="1213"/>
      <c r="H26" s="1213"/>
      <c r="I26" s="1213"/>
      <c r="J26" s="447" t="s">
        <v>411</v>
      </c>
      <c r="K26" s="448" t="s">
        <v>412</v>
      </c>
      <c r="L26" s="448" t="s">
        <v>413</v>
      </c>
      <c r="M26" s="448" t="s">
        <v>414</v>
      </c>
      <c r="N26" s="448" t="s">
        <v>415</v>
      </c>
      <c r="O26" s="448" t="s">
        <v>416</v>
      </c>
      <c r="P26" s="449" t="s">
        <v>417</v>
      </c>
      <c r="Q26" s="356"/>
    </row>
    <row r="27" spans="2:17" ht="15.75" thickBot="1" x14ac:dyDescent="0.3">
      <c r="B27" s="395"/>
      <c r="C27" s="527" t="s">
        <v>418</v>
      </c>
      <c r="D27" s="355"/>
      <c r="E27" s="1213"/>
      <c r="F27" s="1213"/>
      <c r="G27" s="1213"/>
      <c r="H27" s="450" t="s">
        <v>419</v>
      </c>
      <c r="I27" s="1213"/>
      <c r="J27" s="451"/>
      <c r="K27" s="452"/>
      <c r="L27" s="452"/>
      <c r="M27" s="452"/>
      <c r="N27" s="452"/>
      <c r="O27" s="452"/>
      <c r="P27" s="453"/>
      <c r="Q27" s="356"/>
    </row>
    <row r="28" spans="2:17" x14ac:dyDescent="0.25">
      <c r="B28" s="395"/>
      <c r="C28" s="529" t="s">
        <v>420</v>
      </c>
      <c r="D28" s="1330"/>
      <c r="E28" s="1330"/>
      <c r="F28" s="1330"/>
      <c r="G28" s="1331"/>
      <c r="H28" s="1663">
        <v>2.5000000000000001E-2</v>
      </c>
      <c r="I28" s="1332"/>
      <c r="J28" s="596">
        <f>'8A'!L23</f>
        <v>1250652</v>
      </c>
      <c r="K28" s="530">
        <f>J28+(J28*$H28)</f>
        <v>1281918.3</v>
      </c>
      <c r="L28" s="530">
        <f t="shared" ref="L28:P28" si="0">K28+(K28*$H28)</f>
        <v>1313966.2575000001</v>
      </c>
      <c r="M28" s="530">
        <f t="shared" si="0"/>
        <v>1346815.4139375</v>
      </c>
      <c r="N28" s="530">
        <f t="shared" si="0"/>
        <v>1380485.7992859376</v>
      </c>
      <c r="O28" s="530">
        <f t="shared" si="0"/>
        <v>1414997.944268086</v>
      </c>
      <c r="P28" s="531">
        <f t="shared" si="0"/>
        <v>1450372.892874788</v>
      </c>
      <c r="Q28" s="356"/>
    </row>
    <row r="29" spans="2:17" ht="15.75" thickBot="1" x14ac:dyDescent="0.3">
      <c r="B29" s="395"/>
      <c r="C29" s="532" t="s">
        <v>366</v>
      </c>
      <c r="D29" s="533"/>
      <c r="E29" s="1333"/>
      <c r="F29" s="1333"/>
      <c r="G29" s="1334"/>
      <c r="H29" s="1664">
        <v>2.5000000000000001E-2</v>
      </c>
      <c r="I29" s="1335"/>
      <c r="J29" s="597">
        <f>'8A'!M23</f>
        <v>74664</v>
      </c>
      <c r="K29" s="530">
        <f>J29+(J29*$H29)</f>
        <v>76530.600000000006</v>
      </c>
      <c r="L29" s="530">
        <f t="shared" ref="L29:P29" si="1">K29+(K29*$H29)</f>
        <v>78443.865000000005</v>
      </c>
      <c r="M29" s="530">
        <f t="shared" si="1"/>
        <v>80404.961625000011</v>
      </c>
      <c r="N29" s="530">
        <f t="shared" si="1"/>
        <v>82415.085665625011</v>
      </c>
      <c r="O29" s="530">
        <f t="shared" si="1"/>
        <v>84475.462807265634</v>
      </c>
      <c r="P29" s="531">
        <f t="shared" si="1"/>
        <v>86587.349377447274</v>
      </c>
      <c r="Q29" s="356"/>
    </row>
    <row r="30" spans="2:17" ht="15.75" thickBot="1" x14ac:dyDescent="0.3">
      <c r="B30" s="395"/>
      <c r="C30" s="532" t="s">
        <v>376</v>
      </c>
      <c r="D30" s="534"/>
      <c r="E30" s="1336"/>
      <c r="F30" s="1336"/>
      <c r="G30" s="355"/>
      <c r="H30" s="1337"/>
      <c r="I30" s="1334"/>
      <c r="J30" s="598">
        <f>'8B'!H28</f>
        <v>0</v>
      </c>
      <c r="K30" s="530">
        <v>0</v>
      </c>
      <c r="L30" s="530">
        <v>0</v>
      </c>
      <c r="M30" s="530">
        <v>0</v>
      </c>
      <c r="N30" s="530">
        <v>0</v>
      </c>
      <c r="O30" s="530">
        <v>0</v>
      </c>
      <c r="P30" s="531">
        <v>0</v>
      </c>
      <c r="Q30" s="356"/>
    </row>
    <row r="31" spans="2:17" x14ac:dyDescent="0.25">
      <c r="B31" s="395"/>
      <c r="C31" s="532" t="s">
        <v>421</v>
      </c>
      <c r="D31" s="2276" t="s">
        <v>1583</v>
      </c>
      <c r="E31" s="2277"/>
      <c r="F31" s="2278"/>
      <c r="G31" s="355"/>
      <c r="H31" s="1663">
        <v>0.02</v>
      </c>
      <c r="I31" s="1335"/>
      <c r="J31" s="1666">
        <v>13800</v>
      </c>
      <c r="K31" s="530">
        <f>J31+(J31*$H31)</f>
        <v>14076</v>
      </c>
      <c r="L31" s="530">
        <f t="shared" ref="L31:O31" si="2">K31+(K31*$H31)</f>
        <v>14357.52</v>
      </c>
      <c r="M31" s="530">
        <f t="shared" si="2"/>
        <v>14644.670400000001</v>
      </c>
      <c r="N31" s="530">
        <f t="shared" si="2"/>
        <v>14937.563808000001</v>
      </c>
      <c r="O31" s="530">
        <f t="shared" si="2"/>
        <v>15236.31508416</v>
      </c>
      <c r="P31" s="531">
        <f>O31+(O31*$H31)</f>
        <v>15541.0413858432</v>
      </c>
      <c r="Q31" s="356"/>
    </row>
    <row r="32" spans="2:17" ht="15.75" thickBot="1" x14ac:dyDescent="0.3">
      <c r="B32" s="395"/>
      <c r="C32" s="532" t="s">
        <v>421</v>
      </c>
      <c r="D32" s="2276"/>
      <c r="E32" s="2277"/>
      <c r="F32" s="2278"/>
      <c r="G32" s="355"/>
      <c r="H32" s="1665">
        <v>0</v>
      </c>
      <c r="I32" s="1335"/>
      <c r="J32" s="1667">
        <v>0</v>
      </c>
      <c r="K32" s="530">
        <f t="shared" ref="K32:P32" si="3">J32+(J32*$H32)</f>
        <v>0</v>
      </c>
      <c r="L32" s="530">
        <f t="shared" si="3"/>
        <v>0</v>
      </c>
      <c r="M32" s="530">
        <f t="shared" si="3"/>
        <v>0</v>
      </c>
      <c r="N32" s="530">
        <f t="shared" si="3"/>
        <v>0</v>
      </c>
      <c r="O32" s="530">
        <f t="shared" si="3"/>
        <v>0</v>
      </c>
      <c r="P32" s="531">
        <f t="shared" si="3"/>
        <v>0</v>
      </c>
      <c r="Q32" s="356"/>
    </row>
    <row r="33" spans="2:17" x14ac:dyDescent="0.25">
      <c r="B33" s="395"/>
      <c r="C33" s="535" t="s">
        <v>422</v>
      </c>
      <c r="D33" s="1213"/>
      <c r="E33" s="1213"/>
      <c r="F33" s="1213"/>
      <c r="G33" s="1213"/>
      <c r="H33" s="1213"/>
      <c r="I33" s="536" t="s">
        <v>423</v>
      </c>
      <c r="J33" s="455">
        <f>SUM(J28:J32)</f>
        <v>1339116</v>
      </c>
      <c r="K33" s="456">
        <f t="shared" ref="K33:P33" si="4">SUM(K28:K32)</f>
        <v>1372524.9000000001</v>
      </c>
      <c r="L33" s="456">
        <f t="shared" si="4"/>
        <v>1406767.6425000001</v>
      </c>
      <c r="M33" s="456">
        <f t="shared" si="4"/>
        <v>1441865.0459624999</v>
      </c>
      <c r="N33" s="456">
        <f t="shared" si="4"/>
        <v>1477838.4487595626</v>
      </c>
      <c r="O33" s="456">
        <f t="shared" si="4"/>
        <v>1514709.7221595116</v>
      </c>
      <c r="P33" s="457">
        <f t="shared" si="4"/>
        <v>1552501.2836380785</v>
      </c>
      <c r="Q33" s="356"/>
    </row>
    <row r="34" spans="2:17" x14ac:dyDescent="0.25">
      <c r="B34" s="395"/>
      <c r="C34" s="535"/>
      <c r="D34" s="536"/>
      <c r="E34" s="1213"/>
      <c r="F34" s="1213"/>
      <c r="G34" s="1213"/>
      <c r="H34" s="1213"/>
      <c r="I34" s="1213"/>
      <c r="J34" s="458"/>
      <c r="K34" s="459"/>
      <c r="L34" s="459"/>
      <c r="M34" s="459"/>
      <c r="N34" s="459"/>
      <c r="O34" s="459"/>
      <c r="P34" s="460"/>
      <c r="Q34" s="356"/>
    </row>
    <row r="35" spans="2:17" x14ac:dyDescent="0.25">
      <c r="B35" s="395"/>
      <c r="C35" s="535" t="s">
        <v>424</v>
      </c>
      <c r="D35" s="537"/>
      <c r="E35" s="1213"/>
      <c r="F35" s="1213"/>
      <c r="G35" s="1213"/>
      <c r="H35" s="1338"/>
      <c r="I35" s="355"/>
      <c r="J35" s="454">
        <f>'8B'!H36</f>
        <v>18423</v>
      </c>
      <c r="K35" s="1668">
        <f>K73</f>
        <v>19068.126367500001</v>
      </c>
      <c r="L35" s="1668">
        <f t="shared" ref="L35:O35" si="5">L73</f>
        <v>19735.510790362499</v>
      </c>
      <c r="M35" s="1668">
        <f t="shared" si="5"/>
        <v>20426.253668025187</v>
      </c>
      <c r="N35" s="1668">
        <f t="shared" si="5"/>
        <v>21141.172546406069</v>
      </c>
      <c r="O35" s="1668">
        <f t="shared" si="5"/>
        <v>21881.113585530282</v>
      </c>
      <c r="P35" s="1669">
        <f>P73</f>
        <v>22646.952561023842</v>
      </c>
      <c r="Q35" s="356"/>
    </row>
    <row r="36" spans="2:17" x14ac:dyDescent="0.25">
      <c r="B36" s="395"/>
      <c r="C36" s="535"/>
      <c r="D36" s="537"/>
      <c r="E36" s="1213"/>
      <c r="F36" s="1213"/>
      <c r="G36" s="1213"/>
      <c r="H36" s="1213"/>
      <c r="I36" s="1213"/>
      <c r="J36" s="458"/>
      <c r="K36" s="459"/>
      <c r="L36" s="459"/>
      <c r="M36" s="459"/>
      <c r="N36" s="459"/>
      <c r="O36" s="459"/>
      <c r="P36" s="460"/>
      <c r="Q36" s="356"/>
    </row>
    <row r="37" spans="2:17" ht="15.75" thickBot="1" x14ac:dyDescent="0.3">
      <c r="B37" s="395"/>
      <c r="C37" s="538" t="s">
        <v>425</v>
      </c>
      <c r="D37" s="539"/>
      <c r="E37" s="1339"/>
      <c r="F37" s="1339"/>
      <c r="G37" s="1339"/>
      <c r="H37" s="1340"/>
      <c r="I37" s="1341"/>
      <c r="J37" s="1670">
        <v>0</v>
      </c>
      <c r="K37" s="1671">
        <v>0</v>
      </c>
      <c r="L37" s="1671">
        <v>0</v>
      </c>
      <c r="M37" s="1671">
        <v>0</v>
      </c>
      <c r="N37" s="1671">
        <v>0</v>
      </c>
      <c r="O37" s="1671">
        <v>0</v>
      </c>
      <c r="P37" s="1672">
        <v>0</v>
      </c>
      <c r="Q37" s="356"/>
    </row>
    <row r="38" spans="2:17" ht="15.75" thickTop="1" x14ac:dyDescent="0.25">
      <c r="B38" s="395"/>
      <c r="C38" s="527" t="s">
        <v>426</v>
      </c>
      <c r="D38" s="1213"/>
      <c r="E38" s="1213"/>
      <c r="F38" s="1213"/>
      <c r="G38" s="1213"/>
      <c r="H38" s="1213"/>
      <c r="I38" s="537" t="s">
        <v>423</v>
      </c>
      <c r="J38" s="461">
        <f>J33+J35+J37</f>
        <v>1357539</v>
      </c>
      <c r="K38" s="462">
        <f t="shared" ref="K38:P38" si="6">K33+K35+K37</f>
        <v>1391593.0263675002</v>
      </c>
      <c r="L38" s="462">
        <f t="shared" si="6"/>
        <v>1426503.1532903626</v>
      </c>
      <c r="M38" s="462">
        <f t="shared" si="6"/>
        <v>1462291.2996305251</v>
      </c>
      <c r="N38" s="462">
        <f t="shared" si="6"/>
        <v>1498979.6213059686</v>
      </c>
      <c r="O38" s="462">
        <f t="shared" si="6"/>
        <v>1536590.835745042</v>
      </c>
      <c r="P38" s="463">
        <f t="shared" si="6"/>
        <v>1575148.2361991024</v>
      </c>
      <c r="Q38" s="356"/>
    </row>
    <row r="39" spans="2:17" ht="15.75" thickBot="1" x14ac:dyDescent="0.3">
      <c r="B39" s="395"/>
      <c r="C39" s="527"/>
      <c r="D39" s="1213"/>
      <c r="E39" s="1213"/>
      <c r="F39" s="1213"/>
      <c r="G39" s="1213"/>
      <c r="H39" s="540" t="s">
        <v>427</v>
      </c>
      <c r="I39" s="1213"/>
      <c r="J39" s="458"/>
      <c r="K39" s="459"/>
      <c r="L39" s="459"/>
      <c r="M39" s="459"/>
      <c r="N39" s="459"/>
      <c r="O39" s="459"/>
      <c r="P39" s="460"/>
      <c r="Q39" s="356"/>
    </row>
    <row r="40" spans="2:17" x14ac:dyDescent="0.25">
      <c r="B40" s="395"/>
      <c r="C40" s="541" t="s">
        <v>428</v>
      </c>
      <c r="D40" s="1330"/>
      <c r="E40" s="1330"/>
      <c r="F40" s="1330"/>
      <c r="G40" s="1331"/>
      <c r="H40" s="1663">
        <v>0.05</v>
      </c>
      <c r="I40" s="1332"/>
      <c r="J40" s="1342">
        <f>-J33*$H40</f>
        <v>-66955.8</v>
      </c>
      <c r="K40" s="1343">
        <f t="shared" ref="K40:P40" si="7">-K33*$H40</f>
        <v>-68626.24500000001</v>
      </c>
      <c r="L40" s="1343">
        <f t="shared" si="7"/>
        <v>-70338.382125000004</v>
      </c>
      <c r="M40" s="1343">
        <f t="shared" si="7"/>
        <v>-72093.252298124993</v>
      </c>
      <c r="N40" s="1343">
        <f t="shared" si="7"/>
        <v>-73891.922437978137</v>
      </c>
      <c r="O40" s="1343">
        <f t="shared" si="7"/>
        <v>-75735.486107975579</v>
      </c>
      <c r="P40" s="1344">
        <f t="shared" si="7"/>
        <v>-77625.06418190393</v>
      </c>
      <c r="Q40" s="356"/>
    </row>
    <row r="41" spans="2:17" ht="15.75" thickBot="1" x14ac:dyDescent="0.3">
      <c r="B41" s="395"/>
      <c r="C41" s="542" t="s">
        <v>429</v>
      </c>
      <c r="D41" s="1339"/>
      <c r="E41" s="1339"/>
      <c r="F41" s="1339"/>
      <c r="G41" s="1339"/>
      <c r="H41" s="1673">
        <v>0.1</v>
      </c>
      <c r="I41" s="1345"/>
      <c r="J41" s="1346">
        <f>-J37*$H41</f>
        <v>0</v>
      </c>
      <c r="K41" s="1347">
        <f t="shared" ref="K41:P41" si="8">-K37*$H41</f>
        <v>0</v>
      </c>
      <c r="L41" s="1347">
        <f t="shared" si="8"/>
        <v>0</v>
      </c>
      <c r="M41" s="1347">
        <f t="shared" si="8"/>
        <v>0</v>
      </c>
      <c r="N41" s="1347">
        <f t="shared" si="8"/>
        <v>0</v>
      </c>
      <c r="O41" s="1347">
        <f t="shared" si="8"/>
        <v>0</v>
      </c>
      <c r="P41" s="1348">
        <f t="shared" si="8"/>
        <v>0</v>
      </c>
      <c r="Q41" s="356"/>
    </row>
    <row r="42" spans="2:17" ht="16.5" thickTop="1" thickBot="1" x14ac:dyDescent="0.3">
      <c r="B42" s="395"/>
      <c r="C42" s="543" t="s">
        <v>430</v>
      </c>
      <c r="D42" s="1213"/>
      <c r="E42" s="1213"/>
      <c r="F42" s="1213"/>
      <c r="G42" s="1213"/>
      <c r="H42" s="1213"/>
      <c r="I42" s="536" t="s">
        <v>423</v>
      </c>
      <c r="J42" s="1718">
        <f>J38+J40+J41</f>
        <v>1290583.2</v>
      </c>
      <c r="K42" s="1719">
        <f t="shared" ref="K42:P42" si="9">K38+K40+K41</f>
        <v>1322966.7813675001</v>
      </c>
      <c r="L42" s="1719">
        <f t="shared" si="9"/>
        <v>1356164.7711653626</v>
      </c>
      <c r="M42" s="1719">
        <f t="shared" si="9"/>
        <v>1390198.0473324</v>
      </c>
      <c r="N42" s="1719">
        <f t="shared" si="9"/>
        <v>1425087.6988679904</v>
      </c>
      <c r="O42" s="1719">
        <f t="shared" si="9"/>
        <v>1460855.3496370665</v>
      </c>
      <c r="P42" s="1720">
        <f t="shared" si="9"/>
        <v>1497523.1720171985</v>
      </c>
      <c r="Q42" s="356"/>
    </row>
    <row r="43" spans="2:17" ht="7.5" customHeight="1" x14ac:dyDescent="0.25">
      <c r="B43" s="395"/>
      <c r="C43" s="355"/>
      <c r="D43" s="355"/>
      <c r="E43" s="1213"/>
      <c r="F43" s="1213"/>
      <c r="G43" s="1213"/>
      <c r="H43" s="1213"/>
      <c r="I43" s="1213"/>
      <c r="J43" s="355"/>
      <c r="K43" s="355"/>
      <c r="L43" s="355"/>
      <c r="M43" s="355"/>
      <c r="N43" s="355"/>
      <c r="O43" s="355"/>
      <c r="P43" s="355"/>
      <c r="Q43" s="356"/>
    </row>
    <row r="44" spans="2:17" ht="15.75" thickBot="1" x14ac:dyDescent="0.3">
      <c r="B44" s="520"/>
      <c r="C44" s="599" t="s">
        <v>431</v>
      </c>
      <c r="D44" s="465"/>
      <c r="E44" s="465"/>
      <c r="F44" s="465"/>
      <c r="G44" s="465"/>
      <c r="H44" s="465"/>
      <c r="I44" s="465"/>
      <c r="J44" s="465"/>
      <c r="K44" s="465"/>
      <c r="L44" s="465"/>
      <c r="M44" s="466"/>
      <c r="N44" s="465"/>
      <c r="O44" s="465"/>
      <c r="P44" s="465"/>
      <c r="Q44" s="524"/>
    </row>
    <row r="45" spans="2:17" ht="36.75" thickBot="1" x14ac:dyDescent="0.3">
      <c r="B45" s="520"/>
      <c r="C45" s="527" t="s">
        <v>432</v>
      </c>
      <c r="D45" s="518"/>
      <c r="E45" s="535"/>
      <c r="F45" s="544" t="s">
        <v>419</v>
      </c>
      <c r="G45" s="545"/>
      <c r="H45" s="521"/>
      <c r="I45" s="467" t="s">
        <v>433</v>
      </c>
      <c r="J45" s="447" t="s">
        <v>411</v>
      </c>
      <c r="K45" s="448" t="s">
        <v>412</v>
      </c>
      <c r="L45" s="448" t="s">
        <v>413</v>
      </c>
      <c r="M45" s="448" t="s">
        <v>414</v>
      </c>
      <c r="N45" s="448" t="s">
        <v>415</v>
      </c>
      <c r="O45" s="448" t="s">
        <v>416</v>
      </c>
      <c r="P45" s="449" t="s">
        <v>417</v>
      </c>
      <c r="Q45" s="519"/>
    </row>
    <row r="46" spans="2:17" x14ac:dyDescent="0.25">
      <c r="B46" s="520"/>
      <c r="C46" s="546" t="s">
        <v>434</v>
      </c>
      <c r="D46" s="547"/>
      <c r="E46" s="548"/>
      <c r="F46" s="1663">
        <v>3.5000000000000003E-2</v>
      </c>
      <c r="G46" s="1349"/>
      <c r="H46" s="549"/>
      <c r="I46" s="468">
        <f>IFERROR(J46/'1B'!$L$21,"")</f>
        <v>820.35199999999998</v>
      </c>
      <c r="J46" s="1350">
        <f>'8C'!K20</f>
        <v>94340.479999999996</v>
      </c>
      <c r="K46" s="551">
        <f>J46+(J46*$F46)</f>
        <v>97642.396800000002</v>
      </c>
      <c r="L46" s="551">
        <f t="shared" ref="L46:P46" si="10">K46+(K46*$F46)</f>
        <v>101059.880688</v>
      </c>
      <c r="M46" s="551">
        <f t="shared" si="10"/>
        <v>104596.97651208</v>
      </c>
      <c r="N46" s="551">
        <f t="shared" si="10"/>
        <v>108257.8706900028</v>
      </c>
      <c r="O46" s="551">
        <f t="shared" si="10"/>
        <v>112046.8961641529</v>
      </c>
      <c r="P46" s="552">
        <f t="shared" si="10"/>
        <v>115968.53752989825</v>
      </c>
      <c r="Q46" s="519"/>
    </row>
    <row r="47" spans="2:17" x14ac:dyDescent="0.25">
      <c r="B47" s="553"/>
      <c r="C47" s="554" t="s">
        <v>435</v>
      </c>
      <c r="D47" s="555"/>
      <c r="E47" s="556"/>
      <c r="F47" s="1674">
        <v>3.5000000000000003E-2</v>
      </c>
      <c r="G47" s="1351"/>
      <c r="H47" s="557"/>
      <c r="I47" s="469">
        <f>IFERROR(J47/'1B'!$L$21,"")</f>
        <v>832.73913043478262</v>
      </c>
      <c r="J47" s="1352">
        <f>'8C'!K29</f>
        <v>95765</v>
      </c>
      <c r="K47" s="559">
        <f t="shared" ref="K47:P47" si="11">J47+(J47*$F47)</f>
        <v>99116.774999999994</v>
      </c>
      <c r="L47" s="559">
        <f t="shared" si="11"/>
        <v>102585.862125</v>
      </c>
      <c r="M47" s="559">
        <f t="shared" si="11"/>
        <v>106176.36729937499</v>
      </c>
      <c r="N47" s="559">
        <f t="shared" si="11"/>
        <v>109892.54015485312</v>
      </c>
      <c r="O47" s="559">
        <f t="shared" si="11"/>
        <v>113738.77906027298</v>
      </c>
      <c r="P47" s="560">
        <f t="shared" si="11"/>
        <v>117719.63632738254</v>
      </c>
      <c r="Q47" s="519"/>
    </row>
    <row r="48" spans="2:17" x14ac:dyDescent="0.25">
      <c r="B48" s="520"/>
      <c r="C48" s="554" t="s">
        <v>436</v>
      </c>
      <c r="D48" s="555"/>
      <c r="E48" s="556"/>
      <c r="F48" s="1674">
        <v>3.5000000000000003E-2</v>
      </c>
      <c r="G48" s="1351"/>
      <c r="H48" s="557"/>
      <c r="I48" s="469">
        <f>IFERROR(J48/'1B'!$L$21,"")</f>
        <v>334.73913043478262</v>
      </c>
      <c r="J48" s="558">
        <f>40495-2000</f>
        <v>38495</v>
      </c>
      <c r="K48" s="559">
        <f t="shared" ref="K48:P48" si="12">J48+(J48*$F48)</f>
        <v>39842.324999999997</v>
      </c>
      <c r="L48" s="559">
        <f t="shared" si="12"/>
        <v>41236.806375</v>
      </c>
      <c r="M48" s="559">
        <f t="shared" si="12"/>
        <v>42680.094598124997</v>
      </c>
      <c r="N48" s="559">
        <f t="shared" si="12"/>
        <v>44173.897909059371</v>
      </c>
      <c r="O48" s="559">
        <f t="shared" si="12"/>
        <v>45719.984335876448</v>
      </c>
      <c r="P48" s="560">
        <f t="shared" si="12"/>
        <v>47320.183787632122</v>
      </c>
      <c r="Q48" s="519"/>
    </row>
    <row r="49" spans="2:17" x14ac:dyDescent="0.25">
      <c r="B49" s="520"/>
      <c r="C49" s="554" t="s">
        <v>437</v>
      </c>
      <c r="D49" s="556"/>
      <c r="E49" s="555"/>
      <c r="F49" s="1674">
        <v>3.5000000000000003E-2</v>
      </c>
      <c r="G49" s="1351"/>
      <c r="H49" s="557"/>
      <c r="I49" s="469">
        <f>IFERROR(J49/'1B'!$L$21,"")</f>
        <v>17.391304347826086</v>
      </c>
      <c r="J49" s="558">
        <v>2000</v>
      </c>
      <c r="K49" s="559">
        <f t="shared" ref="K49:P49" si="13">J49+(J49*$F49)</f>
        <v>2070</v>
      </c>
      <c r="L49" s="559">
        <f t="shared" si="13"/>
        <v>2142.4499999999998</v>
      </c>
      <c r="M49" s="559">
        <f t="shared" si="13"/>
        <v>2217.4357499999996</v>
      </c>
      <c r="N49" s="559">
        <f t="shared" si="13"/>
        <v>2295.0460012499998</v>
      </c>
      <c r="O49" s="559">
        <f t="shared" si="13"/>
        <v>2375.3726112937497</v>
      </c>
      <c r="P49" s="560">
        <f t="shared" si="13"/>
        <v>2458.5106526890308</v>
      </c>
      <c r="Q49" s="519"/>
    </row>
    <row r="50" spans="2:17" x14ac:dyDescent="0.25">
      <c r="B50" s="520"/>
      <c r="C50" s="554" t="s">
        <v>438</v>
      </c>
      <c r="D50" s="555"/>
      <c r="E50" s="556"/>
      <c r="F50" s="1674">
        <v>3.5000000000000003E-2</v>
      </c>
      <c r="G50" s="1351"/>
      <c r="H50" s="557"/>
      <c r="I50" s="469">
        <f>IFERROR(J50/'1B'!$L$21,"")</f>
        <v>217.39130434782609</v>
      </c>
      <c r="J50" s="558">
        <v>25000</v>
      </c>
      <c r="K50" s="559">
        <f t="shared" ref="K50:P50" si="14">J50+(J50*$F50)</f>
        <v>25875</v>
      </c>
      <c r="L50" s="559">
        <f t="shared" si="14"/>
        <v>26780.625</v>
      </c>
      <c r="M50" s="559">
        <f t="shared" si="14"/>
        <v>27717.946875000001</v>
      </c>
      <c r="N50" s="559">
        <f t="shared" si="14"/>
        <v>28688.075015625003</v>
      </c>
      <c r="O50" s="559">
        <f t="shared" si="14"/>
        <v>29692.157641171878</v>
      </c>
      <c r="P50" s="560">
        <f t="shared" si="14"/>
        <v>30731.383158612894</v>
      </c>
      <c r="Q50" s="519"/>
    </row>
    <row r="51" spans="2:17" x14ac:dyDescent="0.25">
      <c r="B51" s="520"/>
      <c r="C51" s="554" t="s">
        <v>439</v>
      </c>
      <c r="D51" s="555"/>
      <c r="E51" s="556"/>
      <c r="F51" s="1674">
        <v>3.5000000000000003E-2</v>
      </c>
      <c r="G51" s="1351"/>
      <c r="H51" s="557"/>
      <c r="I51" s="469">
        <f>IFERROR(J51/'1B'!$L$21,"")</f>
        <v>274.78260869565219</v>
      </c>
      <c r="J51" s="558">
        <v>31600</v>
      </c>
      <c r="K51" s="559">
        <f t="shared" ref="K51:P51" si="15">J51+(J51*$F51)</f>
        <v>32706</v>
      </c>
      <c r="L51" s="559">
        <f t="shared" si="15"/>
        <v>33850.71</v>
      </c>
      <c r="M51" s="559">
        <f t="shared" si="15"/>
        <v>35035.484850000001</v>
      </c>
      <c r="N51" s="559">
        <f t="shared" si="15"/>
        <v>36261.726819750002</v>
      </c>
      <c r="O51" s="559">
        <f t="shared" si="15"/>
        <v>37530.887258441253</v>
      </c>
      <c r="P51" s="560">
        <f t="shared" si="15"/>
        <v>38844.468312486701</v>
      </c>
      <c r="Q51" s="519"/>
    </row>
    <row r="52" spans="2:17" x14ac:dyDescent="0.25">
      <c r="B52" s="520"/>
      <c r="C52" s="554" t="s">
        <v>440</v>
      </c>
      <c r="D52" s="555"/>
      <c r="E52" s="556"/>
      <c r="F52" s="1674">
        <v>3.5000000000000003E-2</v>
      </c>
      <c r="G52" s="1351"/>
      <c r="H52" s="557"/>
      <c r="I52" s="469">
        <f>IFERROR(J52/'1B'!$L$21,"")</f>
        <v>290</v>
      </c>
      <c r="J52" s="558">
        <v>33350</v>
      </c>
      <c r="K52" s="559">
        <f t="shared" ref="K52:P52" si="16">J52+(J52*$F52)</f>
        <v>34517.25</v>
      </c>
      <c r="L52" s="559">
        <f t="shared" si="16"/>
        <v>35725.353750000002</v>
      </c>
      <c r="M52" s="559">
        <f t="shared" si="16"/>
        <v>36975.741131250004</v>
      </c>
      <c r="N52" s="559">
        <f t="shared" si="16"/>
        <v>38269.892070843758</v>
      </c>
      <c r="O52" s="559">
        <f t="shared" si="16"/>
        <v>39609.338293323293</v>
      </c>
      <c r="P52" s="560">
        <f t="shared" si="16"/>
        <v>40995.665133589609</v>
      </c>
      <c r="Q52" s="519"/>
    </row>
    <row r="53" spans="2:17" x14ac:dyDescent="0.25">
      <c r="B53" s="520"/>
      <c r="C53" s="554" t="s">
        <v>441</v>
      </c>
      <c r="D53" s="556"/>
      <c r="E53" s="555"/>
      <c r="F53" s="1674">
        <v>3.5000000000000003E-2</v>
      </c>
      <c r="G53" s="1351"/>
      <c r="H53" s="557"/>
      <c r="I53" s="469">
        <f>IFERROR(J53/'1B'!$L$21,"")</f>
        <v>0</v>
      </c>
      <c r="J53" s="558">
        <v>0</v>
      </c>
      <c r="K53" s="559">
        <f t="shared" ref="K53:P53" si="17">J53+(J53*$F53)</f>
        <v>0</v>
      </c>
      <c r="L53" s="559">
        <f t="shared" si="17"/>
        <v>0</v>
      </c>
      <c r="M53" s="559">
        <f t="shared" si="17"/>
        <v>0</v>
      </c>
      <c r="N53" s="559">
        <f t="shared" si="17"/>
        <v>0</v>
      </c>
      <c r="O53" s="559">
        <f t="shared" si="17"/>
        <v>0</v>
      </c>
      <c r="P53" s="560">
        <f t="shared" si="17"/>
        <v>0</v>
      </c>
      <c r="Q53" s="519"/>
    </row>
    <row r="54" spans="2:17" x14ac:dyDescent="0.25">
      <c r="B54" s="520"/>
      <c r="C54" s="554" t="s">
        <v>442</v>
      </c>
      <c r="D54" s="555"/>
      <c r="E54" s="556"/>
      <c r="F54" s="1674">
        <v>3.5000000000000003E-2</v>
      </c>
      <c r="G54" s="1351"/>
      <c r="H54" s="557"/>
      <c r="I54" s="469">
        <f>IFERROR(J54/'1B'!$L$21,"")</f>
        <v>270.95652173913044</v>
      </c>
      <c r="J54" s="558">
        <f>23920+7240</f>
        <v>31160</v>
      </c>
      <c r="K54" s="559">
        <f t="shared" ref="K54:P54" si="18">J54+(J54*$F54)</f>
        <v>32250.6</v>
      </c>
      <c r="L54" s="559">
        <f t="shared" si="18"/>
        <v>33379.370999999999</v>
      </c>
      <c r="M54" s="559">
        <f t="shared" si="18"/>
        <v>34547.648985</v>
      </c>
      <c r="N54" s="559">
        <f t="shared" si="18"/>
        <v>35756.816699474999</v>
      </c>
      <c r="O54" s="559">
        <f t="shared" si="18"/>
        <v>37008.305283956623</v>
      </c>
      <c r="P54" s="560">
        <f t="shared" si="18"/>
        <v>38303.595968895104</v>
      </c>
      <c r="Q54" s="519"/>
    </row>
    <row r="55" spans="2:17" x14ac:dyDescent="0.25">
      <c r="B55" s="520"/>
      <c r="C55" s="554" t="s">
        <v>443</v>
      </c>
      <c r="D55" s="556"/>
      <c r="E55" s="556"/>
      <c r="F55" s="1674">
        <v>3.5000000000000003E-2</v>
      </c>
      <c r="G55" s="1351"/>
      <c r="H55" s="557"/>
      <c r="I55" s="469">
        <f>IFERROR(J55/'1B'!$L$21,"")</f>
        <v>69.565217391304344</v>
      </c>
      <c r="J55" s="558">
        <v>8000</v>
      </c>
      <c r="K55" s="559">
        <f t="shared" ref="K55:P55" si="19">J55+(J55*$F55)</f>
        <v>8280</v>
      </c>
      <c r="L55" s="559">
        <f t="shared" si="19"/>
        <v>8569.7999999999993</v>
      </c>
      <c r="M55" s="559">
        <f t="shared" si="19"/>
        <v>8869.7429999999986</v>
      </c>
      <c r="N55" s="559">
        <f t="shared" si="19"/>
        <v>9180.1840049999992</v>
      </c>
      <c r="O55" s="559">
        <f t="shared" si="19"/>
        <v>9501.490445174999</v>
      </c>
      <c r="P55" s="560">
        <f t="shared" si="19"/>
        <v>9834.0426107561234</v>
      </c>
      <c r="Q55" s="519"/>
    </row>
    <row r="56" spans="2:17" x14ac:dyDescent="0.25">
      <c r="B56" s="520"/>
      <c r="C56" s="554" t="s">
        <v>444</v>
      </c>
      <c r="D56" s="555"/>
      <c r="E56" s="556"/>
      <c r="F56" s="1674">
        <v>3.5000000000000003E-2</v>
      </c>
      <c r="G56" s="1351"/>
      <c r="H56" s="557"/>
      <c r="I56" s="469">
        <f>IFERROR(J56/'1B'!$L$21,"")</f>
        <v>1013.0434782608696</v>
      </c>
      <c r="J56" s="558">
        <f>120500-4000</f>
        <v>116500</v>
      </c>
      <c r="K56" s="559">
        <f t="shared" ref="K56:P56" si="20">J56+(J56*$F56)</f>
        <v>120577.5</v>
      </c>
      <c r="L56" s="559">
        <f t="shared" si="20"/>
        <v>124797.71249999999</v>
      </c>
      <c r="M56" s="559">
        <f t="shared" si="20"/>
        <v>129165.6324375</v>
      </c>
      <c r="N56" s="559">
        <f t="shared" si="20"/>
        <v>133686.42957281249</v>
      </c>
      <c r="O56" s="559">
        <f t="shared" si="20"/>
        <v>138365.45460786091</v>
      </c>
      <c r="P56" s="560">
        <f t="shared" si="20"/>
        <v>143208.24551913605</v>
      </c>
      <c r="Q56" s="519"/>
    </row>
    <row r="57" spans="2:17" x14ac:dyDescent="0.25">
      <c r="B57" s="520"/>
      <c r="C57" s="554" t="s">
        <v>445</v>
      </c>
      <c r="D57" s="556"/>
      <c r="E57" s="556"/>
      <c r="F57" s="1674">
        <v>3.5000000000000003E-2</v>
      </c>
      <c r="G57" s="1351"/>
      <c r="H57" s="557"/>
      <c r="I57" s="469">
        <f>IFERROR(J57/'1B'!$L$21,"")</f>
        <v>104.34782608695652</v>
      </c>
      <c r="J57" s="558">
        <v>12000</v>
      </c>
      <c r="K57" s="559">
        <f t="shared" ref="K57:P57" si="21">J57+(J57*$F57)</f>
        <v>12420</v>
      </c>
      <c r="L57" s="559">
        <f t="shared" si="21"/>
        <v>12854.7</v>
      </c>
      <c r="M57" s="559">
        <f t="shared" si="21"/>
        <v>13304.614500000001</v>
      </c>
      <c r="N57" s="559">
        <f t="shared" si="21"/>
        <v>13770.276007500002</v>
      </c>
      <c r="O57" s="559">
        <f t="shared" si="21"/>
        <v>14252.235667762503</v>
      </c>
      <c r="P57" s="560">
        <f t="shared" si="21"/>
        <v>14751.063916134191</v>
      </c>
      <c r="Q57" s="519"/>
    </row>
    <row r="58" spans="2:17" x14ac:dyDescent="0.25">
      <c r="B58" s="520"/>
      <c r="C58" s="554" t="s">
        <v>446</v>
      </c>
      <c r="D58" s="556"/>
      <c r="E58" s="556"/>
      <c r="F58" s="1674">
        <v>3.5000000000000003E-2</v>
      </c>
      <c r="G58" s="1351"/>
      <c r="H58" s="557"/>
      <c r="I58" s="469">
        <f>IFERROR(J58/'1B'!$L$21,"")</f>
        <v>73.913043478260875</v>
      </c>
      <c r="J58" s="558">
        <v>8500</v>
      </c>
      <c r="K58" s="559">
        <f t="shared" ref="K58:P58" si="22">J58+(J58*$F58)</f>
        <v>8797.5</v>
      </c>
      <c r="L58" s="559">
        <f t="shared" si="22"/>
        <v>9105.4125000000004</v>
      </c>
      <c r="M58" s="559">
        <f t="shared" si="22"/>
        <v>9424.1019374999996</v>
      </c>
      <c r="N58" s="559">
        <f t="shared" si="22"/>
        <v>9753.9455053125002</v>
      </c>
      <c r="O58" s="559">
        <f t="shared" si="22"/>
        <v>10095.333597998439</v>
      </c>
      <c r="P58" s="560">
        <f t="shared" si="22"/>
        <v>10448.670273928385</v>
      </c>
      <c r="Q58" s="519"/>
    </row>
    <row r="59" spans="2:17" x14ac:dyDescent="0.25">
      <c r="B59" s="520"/>
      <c r="C59" s="554" t="s">
        <v>447</v>
      </c>
      <c r="D59" s="556"/>
      <c r="E59" s="556"/>
      <c r="F59" s="1674">
        <v>3.5000000000000003E-2</v>
      </c>
      <c r="G59" s="1351"/>
      <c r="H59" s="557"/>
      <c r="I59" s="469">
        <f>IFERROR(J59/'1B'!$L$21,"")</f>
        <v>26.086956521739129</v>
      </c>
      <c r="J59" s="558">
        <v>3000</v>
      </c>
      <c r="K59" s="559">
        <f t="shared" ref="K59:P59" si="23">J59+(J59*$F59)</f>
        <v>3105</v>
      </c>
      <c r="L59" s="559">
        <f t="shared" si="23"/>
        <v>3213.6750000000002</v>
      </c>
      <c r="M59" s="559">
        <f t="shared" si="23"/>
        <v>3326.1536250000004</v>
      </c>
      <c r="N59" s="559">
        <f t="shared" si="23"/>
        <v>3442.5690018750006</v>
      </c>
      <c r="O59" s="559">
        <f t="shared" si="23"/>
        <v>3563.0589169406257</v>
      </c>
      <c r="P59" s="560">
        <f t="shared" si="23"/>
        <v>3687.7659790335479</v>
      </c>
      <c r="Q59" s="519"/>
    </row>
    <row r="60" spans="2:17" x14ac:dyDescent="0.25">
      <c r="B60" s="520"/>
      <c r="C60" s="554" t="s">
        <v>448</v>
      </c>
      <c r="D60" s="556"/>
      <c r="E60" s="556"/>
      <c r="F60" s="1674">
        <v>3.5000000000000003E-2</v>
      </c>
      <c r="G60" s="1351"/>
      <c r="H60" s="557"/>
      <c r="I60" s="469">
        <f>IFERROR(J60/'1B'!$L$21,"")</f>
        <v>161.7391304347826</v>
      </c>
      <c r="J60" s="558">
        <v>18600</v>
      </c>
      <c r="K60" s="559">
        <f t="shared" ref="K60:P60" si="24">J60+(J60*$F60)</f>
        <v>19251</v>
      </c>
      <c r="L60" s="559">
        <f t="shared" si="24"/>
        <v>19924.785</v>
      </c>
      <c r="M60" s="559">
        <f t="shared" si="24"/>
        <v>20622.152474999999</v>
      </c>
      <c r="N60" s="559">
        <f t="shared" si="24"/>
        <v>21343.927811624999</v>
      </c>
      <c r="O60" s="559">
        <f t="shared" si="24"/>
        <v>22090.965285031874</v>
      </c>
      <c r="P60" s="560">
        <f t="shared" si="24"/>
        <v>22864.149070007988</v>
      </c>
      <c r="Q60" s="519"/>
    </row>
    <row r="61" spans="2:17" x14ac:dyDescent="0.25">
      <c r="B61" s="520"/>
      <c r="C61" s="554" t="s">
        <v>449</v>
      </c>
      <c r="D61" s="555"/>
      <c r="E61" s="556"/>
      <c r="F61" s="1674">
        <v>3.5000000000000003E-2</v>
      </c>
      <c r="G61" s="1351"/>
      <c r="H61" s="557"/>
      <c r="I61" s="469">
        <f>IFERROR(J61/'1B'!$L$21,"")</f>
        <v>652.17391304347825</v>
      </c>
      <c r="J61" s="558">
        <v>75000</v>
      </c>
      <c r="K61" s="559">
        <f t="shared" ref="K61:P61" si="25">J61+(J61*$F61)</f>
        <v>77625</v>
      </c>
      <c r="L61" s="559">
        <f t="shared" si="25"/>
        <v>80341.875</v>
      </c>
      <c r="M61" s="559">
        <f t="shared" si="25"/>
        <v>83153.840624999997</v>
      </c>
      <c r="N61" s="559">
        <f t="shared" si="25"/>
        <v>86064.225046874999</v>
      </c>
      <c r="O61" s="559">
        <f t="shared" si="25"/>
        <v>89076.472923515626</v>
      </c>
      <c r="P61" s="560">
        <f t="shared" si="25"/>
        <v>92194.149475838669</v>
      </c>
      <c r="Q61" s="519"/>
    </row>
    <row r="62" spans="2:17" x14ac:dyDescent="0.25">
      <c r="B62" s="520"/>
      <c r="C62" s="554" t="s">
        <v>450</v>
      </c>
      <c r="D62" s="555"/>
      <c r="E62" s="556"/>
      <c r="F62" s="1674">
        <v>3.5000000000000003E-2</v>
      </c>
      <c r="G62" s="1351"/>
      <c r="H62" s="557"/>
      <c r="I62" s="469">
        <f>IFERROR(J62/'1B'!$L$21,"")</f>
        <v>391.30434782608694</v>
      </c>
      <c r="J62" s="558">
        <v>45000</v>
      </c>
      <c r="K62" s="559">
        <f t="shared" ref="K62:P62" si="26">J62+(J62*$F62)</f>
        <v>46575</v>
      </c>
      <c r="L62" s="559">
        <f t="shared" si="26"/>
        <v>48205.125</v>
      </c>
      <c r="M62" s="559">
        <f t="shared" si="26"/>
        <v>49892.304375</v>
      </c>
      <c r="N62" s="559">
        <f t="shared" si="26"/>
        <v>51638.535028124999</v>
      </c>
      <c r="O62" s="559">
        <f t="shared" si="26"/>
        <v>53445.883754109374</v>
      </c>
      <c r="P62" s="560">
        <f t="shared" si="26"/>
        <v>55316.489685503206</v>
      </c>
      <c r="Q62" s="519"/>
    </row>
    <row r="63" spans="2:17" x14ac:dyDescent="0.25">
      <c r="B63" s="561"/>
      <c r="C63" s="554" t="s">
        <v>451</v>
      </c>
      <c r="D63" s="555"/>
      <c r="E63" s="556"/>
      <c r="F63" s="1674">
        <v>3.5000000000000003E-2</v>
      </c>
      <c r="G63" s="1351"/>
      <c r="H63" s="557"/>
      <c r="I63" s="469">
        <f>IFERROR(J63/'1B'!$L$21,"")</f>
        <v>173.91304347826087</v>
      </c>
      <c r="J63" s="558">
        <v>20000</v>
      </c>
      <c r="K63" s="559">
        <f t="shared" ref="K63:P63" si="27">J63+(J63*$F63)</f>
        <v>20700</v>
      </c>
      <c r="L63" s="559">
        <f t="shared" si="27"/>
        <v>21424.5</v>
      </c>
      <c r="M63" s="559">
        <f t="shared" si="27"/>
        <v>22174.357499999998</v>
      </c>
      <c r="N63" s="559">
        <f t="shared" si="27"/>
        <v>22950.4600125</v>
      </c>
      <c r="O63" s="559">
        <f t="shared" si="27"/>
        <v>23753.7261129375</v>
      </c>
      <c r="P63" s="560">
        <f t="shared" si="27"/>
        <v>24585.106526890311</v>
      </c>
      <c r="Q63" s="562"/>
    </row>
    <row r="64" spans="2:17" x14ac:dyDescent="0.25">
      <c r="B64" s="520"/>
      <c r="C64" s="554" t="s">
        <v>452</v>
      </c>
      <c r="D64" s="556"/>
      <c r="E64" s="556"/>
      <c r="F64" s="1674">
        <v>3.5000000000000003E-2</v>
      </c>
      <c r="G64" s="1351"/>
      <c r="H64" s="557"/>
      <c r="I64" s="469">
        <f>IFERROR(J64/'1B'!$L$21,"")</f>
        <v>86.956521739130437</v>
      </c>
      <c r="J64" s="558">
        <v>10000</v>
      </c>
      <c r="K64" s="559">
        <f t="shared" ref="K64:P64" si="28">J64+(J64*$F64)</f>
        <v>10350</v>
      </c>
      <c r="L64" s="559">
        <f t="shared" si="28"/>
        <v>10712.25</v>
      </c>
      <c r="M64" s="559">
        <f t="shared" si="28"/>
        <v>11087.178749999999</v>
      </c>
      <c r="N64" s="559">
        <f t="shared" si="28"/>
        <v>11475.23000625</v>
      </c>
      <c r="O64" s="559">
        <f t="shared" si="28"/>
        <v>11876.86305646875</v>
      </c>
      <c r="P64" s="560">
        <f t="shared" si="28"/>
        <v>12292.553263445156</v>
      </c>
      <c r="Q64" s="519"/>
    </row>
    <row r="65" spans="2:17" x14ac:dyDescent="0.25">
      <c r="B65" s="520"/>
      <c r="C65" s="554" t="s">
        <v>453</v>
      </c>
      <c r="D65" s="556"/>
      <c r="E65" s="556"/>
      <c r="F65" s="1674">
        <v>3.5000000000000003E-2</v>
      </c>
      <c r="G65" s="1351"/>
      <c r="H65" s="557"/>
      <c r="I65" s="469">
        <f>IFERROR(J65/'1B'!$L$21,"")</f>
        <v>0</v>
      </c>
      <c r="J65" s="558">
        <v>0</v>
      </c>
      <c r="K65" s="559">
        <f t="shared" ref="K65:P65" si="29">J65+(J65*$F65)</f>
        <v>0</v>
      </c>
      <c r="L65" s="559">
        <f t="shared" si="29"/>
        <v>0</v>
      </c>
      <c r="M65" s="559">
        <f t="shared" si="29"/>
        <v>0</v>
      </c>
      <c r="N65" s="559">
        <f t="shared" si="29"/>
        <v>0</v>
      </c>
      <c r="O65" s="559">
        <f t="shared" si="29"/>
        <v>0</v>
      </c>
      <c r="P65" s="560">
        <f t="shared" si="29"/>
        <v>0</v>
      </c>
      <c r="Q65" s="519"/>
    </row>
    <row r="66" spans="2:17" ht="15.75" thickBot="1" x14ac:dyDescent="0.3">
      <c r="B66" s="520"/>
      <c r="C66" s="563" t="s">
        <v>249</v>
      </c>
      <c r="D66" s="564"/>
      <c r="E66" s="565"/>
      <c r="F66" s="1675">
        <v>3.5000000000000003E-2</v>
      </c>
      <c r="G66" s="1351"/>
      <c r="H66" s="557"/>
      <c r="I66" s="470">
        <f>IFERROR(J66/'1B'!$L$21,"")</f>
        <v>240.62608695652173</v>
      </c>
      <c r="J66" s="566">
        <f>1872+1250+10550+5000+3000+6000</f>
        <v>27672</v>
      </c>
      <c r="K66" s="567">
        <f t="shared" ref="K66:P66" si="30">J66+(J66*$F66)</f>
        <v>28640.52</v>
      </c>
      <c r="L66" s="567">
        <f t="shared" si="30"/>
        <v>29642.938200000001</v>
      </c>
      <c r="M66" s="567">
        <f>L66+(L66*$F66)</f>
        <v>30680.441037000001</v>
      </c>
      <c r="N66" s="567">
        <f t="shared" si="30"/>
        <v>31754.256473295001</v>
      </c>
      <c r="O66" s="567">
        <f t="shared" si="30"/>
        <v>32865.655449860329</v>
      </c>
      <c r="P66" s="568">
        <f t="shared" si="30"/>
        <v>34015.953390605442</v>
      </c>
      <c r="Q66" s="519"/>
    </row>
    <row r="67" spans="2:17" ht="15.75" thickBot="1" x14ac:dyDescent="0.3">
      <c r="B67" s="520"/>
      <c r="C67" s="477" t="s">
        <v>454</v>
      </c>
      <c r="D67" s="535"/>
      <c r="E67" s="518"/>
      <c r="F67" s="536"/>
      <c r="G67" s="536"/>
      <c r="H67" s="518"/>
      <c r="I67" s="470">
        <f>IFERROR(J67/'1B'!$L$21,"")</f>
        <v>6052.0215652173911</v>
      </c>
      <c r="J67" s="471">
        <f>SUM(J46:J66)</f>
        <v>695982.48</v>
      </c>
      <c r="K67" s="472">
        <f t="shared" ref="K67:P67" si="31">SUM(K46:K66)</f>
        <v>720341.86679999996</v>
      </c>
      <c r="L67" s="472">
        <f t="shared" si="31"/>
        <v>745553.83213800006</v>
      </c>
      <c r="M67" s="472">
        <f t="shared" si="31"/>
        <v>771648.21626282996</v>
      </c>
      <c r="N67" s="472">
        <f t="shared" si="31"/>
        <v>798655.90383202909</v>
      </c>
      <c r="O67" s="472">
        <f t="shared" si="31"/>
        <v>826608.8604661501</v>
      </c>
      <c r="P67" s="473">
        <f t="shared" si="31"/>
        <v>855540.17058246525</v>
      </c>
      <c r="Q67" s="519"/>
    </row>
    <row r="68" spans="2:17" ht="15.75" thickBot="1" x14ac:dyDescent="0.3">
      <c r="B68" s="520"/>
      <c r="C68" s="477"/>
      <c r="D68" s="535"/>
      <c r="E68" s="518"/>
      <c r="F68" s="544" t="s">
        <v>419</v>
      </c>
      <c r="G68" s="545"/>
      <c r="H68" s="521"/>
      <c r="I68" s="521"/>
      <c r="J68" s="474"/>
      <c r="K68" s="475"/>
      <c r="L68" s="475"/>
      <c r="M68" s="475"/>
      <c r="N68" s="475"/>
      <c r="O68" s="475"/>
      <c r="P68" s="476"/>
      <c r="Q68" s="519"/>
    </row>
    <row r="69" spans="2:17" x14ac:dyDescent="0.25">
      <c r="B69" s="553"/>
      <c r="C69" s="569" t="s">
        <v>455</v>
      </c>
      <c r="D69" s="570"/>
      <c r="E69" s="549"/>
      <c r="F69" s="1663">
        <v>3.5000000000000003E-2</v>
      </c>
      <c r="G69" s="1353"/>
      <c r="H69" s="549"/>
      <c r="I69" s="468">
        <f>IFERROR(J69/'1B'!$L$21,"")</f>
        <v>350</v>
      </c>
      <c r="J69" s="571">
        <v>40250</v>
      </c>
      <c r="K69" s="559">
        <f t="shared" ref="K69:P69" si="32">J69+(J69*$F69)</f>
        <v>41658.75</v>
      </c>
      <c r="L69" s="559">
        <f t="shared" si="32"/>
        <v>43116.806250000001</v>
      </c>
      <c r="M69" s="559">
        <f t="shared" si="32"/>
        <v>44625.894468750004</v>
      </c>
      <c r="N69" s="559">
        <f t="shared" si="32"/>
        <v>46187.800775156255</v>
      </c>
      <c r="O69" s="559">
        <f t="shared" si="32"/>
        <v>47804.373802286726</v>
      </c>
      <c r="P69" s="560">
        <f t="shared" si="32"/>
        <v>49477.526885366759</v>
      </c>
      <c r="Q69" s="519"/>
    </row>
    <row r="70" spans="2:17" ht="15.75" thickBot="1" x14ac:dyDescent="0.3">
      <c r="B70" s="553"/>
      <c r="C70" s="572" t="s">
        <v>456</v>
      </c>
      <c r="D70" s="564"/>
      <c r="E70" s="565"/>
      <c r="F70" s="1676">
        <v>3.5000000000000003E-2</v>
      </c>
      <c r="G70" s="1351"/>
      <c r="H70" s="557"/>
      <c r="I70" s="470">
        <f>IFERROR(J70/'1B'!$L$21,"")</f>
        <v>0</v>
      </c>
      <c r="J70" s="789">
        <v>0</v>
      </c>
      <c r="K70" s="567">
        <f t="shared" ref="K70:P70" si="33">J70+(J70*$F70)</f>
        <v>0</v>
      </c>
      <c r="L70" s="567">
        <f t="shared" si="33"/>
        <v>0</v>
      </c>
      <c r="M70" s="567">
        <f t="shared" si="33"/>
        <v>0</v>
      </c>
      <c r="N70" s="567">
        <f t="shared" si="33"/>
        <v>0</v>
      </c>
      <c r="O70" s="567">
        <f t="shared" si="33"/>
        <v>0</v>
      </c>
      <c r="P70" s="568">
        <f t="shared" si="33"/>
        <v>0</v>
      </c>
      <c r="Q70" s="519"/>
    </row>
    <row r="71" spans="2:17" x14ac:dyDescent="0.25">
      <c r="B71" s="553"/>
      <c r="C71" s="477" t="s">
        <v>457</v>
      </c>
      <c r="D71" s="535"/>
      <c r="E71" s="535"/>
      <c r="F71" s="535"/>
      <c r="G71" s="535"/>
      <c r="H71" s="518"/>
      <c r="I71" s="573">
        <f>IFERROR(J71/'1B'!$L$21,"")</f>
        <v>350</v>
      </c>
      <c r="J71" s="471">
        <f>SUM(J69:J70)</f>
        <v>40250</v>
      </c>
      <c r="K71" s="472">
        <f t="shared" ref="K71:P71" si="34">SUM(K69:K70)</f>
        <v>41658.75</v>
      </c>
      <c r="L71" s="472">
        <f t="shared" si="34"/>
        <v>43116.806250000001</v>
      </c>
      <c r="M71" s="472">
        <f t="shared" si="34"/>
        <v>44625.894468750004</v>
      </c>
      <c r="N71" s="472">
        <f t="shared" si="34"/>
        <v>46187.800775156255</v>
      </c>
      <c r="O71" s="472">
        <f t="shared" si="34"/>
        <v>47804.373802286726</v>
      </c>
      <c r="P71" s="473">
        <f t="shared" si="34"/>
        <v>49477.526885366759</v>
      </c>
      <c r="Q71" s="519"/>
    </row>
    <row r="72" spans="2:17" ht="7.5" customHeight="1" thickBot="1" x14ac:dyDescent="0.3">
      <c r="B72" s="553"/>
      <c r="C72" s="477"/>
      <c r="D72" s="535"/>
      <c r="E72" s="535"/>
      <c r="F72" s="535"/>
      <c r="G72" s="535"/>
      <c r="H72" s="518"/>
      <c r="I72" s="573"/>
      <c r="J72" s="474"/>
      <c r="K72" s="475"/>
      <c r="L72" s="475"/>
      <c r="M72" s="475"/>
      <c r="N72" s="475"/>
      <c r="O72" s="475"/>
      <c r="P72" s="476"/>
      <c r="Q72" s="519"/>
    </row>
    <row r="73" spans="2:17" ht="15.75" thickBot="1" x14ac:dyDescent="0.3">
      <c r="B73" s="520"/>
      <c r="C73" s="477" t="s">
        <v>458</v>
      </c>
      <c r="D73" s="535"/>
      <c r="E73" s="340"/>
      <c r="F73" s="1677">
        <v>3.5000000000000003E-2</v>
      </c>
      <c r="G73" s="1354"/>
      <c r="H73" s="549"/>
      <c r="I73" s="1383">
        <f>IFERROR(J73/'1B'!$L$21,"")</f>
        <v>160.20269999999999</v>
      </c>
      <c r="J73" s="478">
        <f>'8D'!K43</f>
        <v>18423.3105</v>
      </c>
      <c r="K73" s="574">
        <f>J73+(J73*$F73)</f>
        <v>19068.126367500001</v>
      </c>
      <c r="L73" s="574">
        <f t="shared" ref="L73:P75" si="35">K73+(K73*$F73)</f>
        <v>19735.510790362499</v>
      </c>
      <c r="M73" s="574">
        <f t="shared" si="35"/>
        <v>20426.253668025187</v>
      </c>
      <c r="N73" s="574">
        <f t="shared" si="35"/>
        <v>21141.172546406069</v>
      </c>
      <c r="O73" s="574">
        <f t="shared" si="35"/>
        <v>21881.113585530282</v>
      </c>
      <c r="P73" s="575">
        <f t="shared" si="35"/>
        <v>22646.952561023842</v>
      </c>
      <c r="Q73" s="519"/>
    </row>
    <row r="74" spans="2:17" ht="7.5" customHeight="1" thickBot="1" x14ac:dyDescent="0.3">
      <c r="B74" s="520"/>
      <c r="C74" s="477"/>
      <c r="D74" s="535"/>
      <c r="E74" s="340"/>
      <c r="F74" s="535"/>
      <c r="G74" s="535"/>
      <c r="H74" s="518"/>
      <c r="I74" s="573"/>
      <c r="J74" s="474"/>
      <c r="K74" s="475"/>
      <c r="L74" s="475"/>
      <c r="M74" s="475"/>
      <c r="N74" s="475"/>
      <c r="O74" s="475"/>
      <c r="P74" s="476"/>
      <c r="Q74" s="519"/>
    </row>
    <row r="75" spans="2:17" ht="15.75" thickBot="1" x14ac:dyDescent="0.3">
      <c r="B75" s="520"/>
      <c r="C75" s="576" t="s">
        <v>459</v>
      </c>
      <c r="D75" s="538"/>
      <c r="E75" s="538"/>
      <c r="F75" s="1678">
        <v>0</v>
      </c>
      <c r="G75" s="1355"/>
      <c r="H75" s="577"/>
      <c r="I75" s="538"/>
      <c r="J75" s="1679">
        <v>0</v>
      </c>
      <c r="K75" s="1680">
        <f>J75+(J75*$F75)</f>
        <v>0</v>
      </c>
      <c r="L75" s="1680">
        <f t="shared" si="35"/>
        <v>0</v>
      </c>
      <c r="M75" s="1680">
        <f t="shared" si="35"/>
        <v>0</v>
      </c>
      <c r="N75" s="1680">
        <f t="shared" si="35"/>
        <v>0</v>
      </c>
      <c r="O75" s="1680">
        <f t="shared" si="35"/>
        <v>0</v>
      </c>
      <c r="P75" s="1681">
        <f>O75+(O75*$F75)</f>
        <v>0</v>
      </c>
      <c r="Q75" s="519"/>
    </row>
    <row r="76" spans="2:17" ht="16.5" thickTop="1" thickBot="1" x14ac:dyDescent="0.3">
      <c r="B76" s="520"/>
      <c r="C76" s="543" t="s">
        <v>460</v>
      </c>
      <c r="D76" s="535"/>
      <c r="E76" s="518"/>
      <c r="F76" s="535"/>
      <c r="G76" s="535"/>
      <c r="H76" s="578"/>
      <c r="I76" s="536" t="s">
        <v>423</v>
      </c>
      <c r="J76" s="479">
        <f>J67+J71+J73+J75</f>
        <v>754655.7905</v>
      </c>
      <c r="K76" s="480">
        <f t="shared" ref="K76:P76" si="36">K67+K71+K73+K75</f>
        <v>781068.74316750001</v>
      </c>
      <c r="L76" s="480">
        <f t="shared" si="36"/>
        <v>808406.14917836257</v>
      </c>
      <c r="M76" s="480">
        <f t="shared" si="36"/>
        <v>836700.36439960508</v>
      </c>
      <c r="N76" s="480">
        <f t="shared" si="36"/>
        <v>865984.87715359137</v>
      </c>
      <c r="O76" s="480">
        <f t="shared" si="36"/>
        <v>896294.34785396711</v>
      </c>
      <c r="P76" s="481">
        <f t="shared" si="36"/>
        <v>927664.65002885589</v>
      </c>
      <c r="Q76" s="519"/>
    </row>
    <row r="77" spans="2:17" ht="7.5" customHeight="1" thickBot="1" x14ac:dyDescent="0.3">
      <c r="B77" s="520"/>
      <c r="C77" s="535"/>
      <c r="D77" s="535"/>
      <c r="E77" s="535"/>
      <c r="F77" s="535"/>
      <c r="G77" s="535"/>
      <c r="H77" s="535"/>
      <c r="I77" s="535"/>
      <c r="J77" s="579"/>
      <c r="K77" s="579"/>
      <c r="L77" s="579"/>
      <c r="M77" s="579"/>
      <c r="N77" s="579"/>
      <c r="O77" s="579"/>
      <c r="P77" s="579"/>
      <c r="Q77" s="519"/>
    </row>
    <row r="78" spans="2:17" ht="15.75" thickBot="1" x14ac:dyDescent="0.3">
      <c r="B78" s="520"/>
      <c r="C78" s="543" t="s">
        <v>461</v>
      </c>
      <c r="D78" s="535"/>
      <c r="E78" s="535"/>
      <c r="F78" s="535"/>
      <c r="G78" s="535"/>
      <c r="H78" s="535"/>
      <c r="I78" s="536" t="s">
        <v>423</v>
      </c>
      <c r="J78" s="482">
        <f>J42-J76</f>
        <v>535927.40949999995</v>
      </c>
      <c r="K78" s="483">
        <f t="shared" ref="K78:P78" si="37">K42-K76</f>
        <v>541898.03820000007</v>
      </c>
      <c r="L78" s="483">
        <f t="shared" si="37"/>
        <v>547758.62198699999</v>
      </c>
      <c r="M78" s="483">
        <f t="shared" si="37"/>
        <v>553497.68293279491</v>
      </c>
      <c r="N78" s="483">
        <f t="shared" si="37"/>
        <v>559102.82171439903</v>
      </c>
      <c r="O78" s="483">
        <f t="shared" si="37"/>
        <v>564561.00178309937</v>
      </c>
      <c r="P78" s="484">
        <f t="shared" si="37"/>
        <v>569858.52198834263</v>
      </c>
      <c r="Q78" s="519"/>
    </row>
    <row r="79" spans="2:17" x14ac:dyDescent="0.25">
      <c r="B79" s="520"/>
      <c r="C79" s="543"/>
      <c r="D79" s="535"/>
      <c r="E79" s="535"/>
      <c r="F79" s="535"/>
      <c r="G79" s="535"/>
      <c r="H79" s="535"/>
      <c r="I79" s="536"/>
      <c r="J79" s="573"/>
      <c r="K79" s="573"/>
      <c r="L79" s="573"/>
      <c r="M79" s="573"/>
      <c r="N79" s="573"/>
      <c r="O79" s="573"/>
      <c r="P79" s="573"/>
      <c r="Q79" s="519"/>
    </row>
    <row r="80" spans="2:17" ht="15.75" thickBot="1" x14ac:dyDescent="0.3">
      <c r="B80" s="395"/>
      <c r="C80" s="2249" t="s">
        <v>462</v>
      </c>
      <c r="D80" s="2249"/>
      <c r="E80" s="2249"/>
      <c r="F80" s="485"/>
      <c r="G80" s="485"/>
      <c r="H80" s="485"/>
      <c r="I80" s="485"/>
      <c r="J80" s="485"/>
      <c r="K80" s="485"/>
      <c r="L80" s="485"/>
      <c r="M80" s="1356"/>
      <c r="N80" s="1356"/>
      <c r="O80" s="1356"/>
      <c r="P80" s="1356"/>
      <c r="Q80" s="356"/>
    </row>
    <row r="81" spans="2:17" ht="15.75" thickBot="1" x14ac:dyDescent="0.3">
      <c r="B81" s="395"/>
      <c r="C81" s="698" t="s">
        <v>463</v>
      </c>
      <c r="D81" s="355"/>
      <c r="E81" s="1213"/>
      <c r="F81" s="1213"/>
      <c r="G81" s="1213"/>
      <c r="H81" s="2274" t="s">
        <v>464</v>
      </c>
      <c r="I81" s="2275"/>
      <c r="J81" s="447" t="s">
        <v>411</v>
      </c>
      <c r="K81" s="448" t="s">
        <v>412</v>
      </c>
      <c r="L81" s="448" t="s">
        <v>413</v>
      </c>
      <c r="M81" s="448" t="s">
        <v>414</v>
      </c>
      <c r="N81" s="448" t="s">
        <v>415</v>
      </c>
      <c r="O81" s="448" t="s">
        <v>416</v>
      </c>
      <c r="P81" s="449" t="s">
        <v>417</v>
      </c>
      <c r="Q81" s="356"/>
    </row>
    <row r="82" spans="2:17" x14ac:dyDescent="0.25">
      <c r="B82" s="395"/>
      <c r="C82" s="2262" t="s">
        <v>1526</v>
      </c>
      <c r="D82" s="2263"/>
      <c r="E82" s="2263"/>
      <c r="F82" s="2263"/>
      <c r="G82" s="2264"/>
      <c r="H82" s="2279">
        <v>6932376</v>
      </c>
      <c r="I82" s="2280"/>
      <c r="J82" s="1682">
        <v>446574</v>
      </c>
      <c r="K82" s="1683">
        <f>J82</f>
        <v>446574</v>
      </c>
      <c r="L82" s="1683">
        <f t="shared" ref="L82:O82" si="38">K82</f>
        <v>446574</v>
      </c>
      <c r="M82" s="1683">
        <f t="shared" si="38"/>
        <v>446574</v>
      </c>
      <c r="N82" s="1683">
        <f t="shared" si="38"/>
        <v>446574</v>
      </c>
      <c r="O82" s="1683">
        <f t="shared" si="38"/>
        <v>446574</v>
      </c>
      <c r="P82" s="1684">
        <f>O82</f>
        <v>446574</v>
      </c>
      <c r="Q82" s="356"/>
    </row>
    <row r="83" spans="2:17" x14ac:dyDescent="0.25">
      <c r="B83" s="395"/>
      <c r="C83" s="2271" t="s">
        <v>1442</v>
      </c>
      <c r="D83" s="2272"/>
      <c r="E83" s="2272"/>
      <c r="F83" s="2272"/>
      <c r="G83" s="2273"/>
      <c r="H83" s="2258">
        <v>11980000</v>
      </c>
      <c r="I83" s="2259"/>
      <c r="J83" s="1685">
        <v>0</v>
      </c>
      <c r="K83" s="1686">
        <v>0</v>
      </c>
      <c r="L83" s="1686">
        <v>0</v>
      </c>
      <c r="M83" s="1686">
        <v>0</v>
      </c>
      <c r="N83" s="1686">
        <v>0</v>
      </c>
      <c r="O83" s="1686">
        <v>0</v>
      </c>
      <c r="P83" s="1687">
        <v>0</v>
      </c>
      <c r="Q83" s="356"/>
    </row>
    <row r="84" spans="2:17" ht="15.75" thickBot="1" x14ac:dyDescent="0.3">
      <c r="B84" s="395"/>
      <c r="C84" s="2268" t="s">
        <v>1527</v>
      </c>
      <c r="D84" s="2269"/>
      <c r="E84" s="2269"/>
      <c r="F84" s="2269"/>
      <c r="G84" s="2270"/>
      <c r="H84" s="2260">
        <v>1000000</v>
      </c>
      <c r="I84" s="2261"/>
      <c r="J84" s="1688">
        <v>0</v>
      </c>
      <c r="K84" s="1689">
        <v>0</v>
      </c>
      <c r="L84" s="1689">
        <v>0</v>
      </c>
      <c r="M84" s="1689">
        <v>0</v>
      </c>
      <c r="N84" s="1689">
        <v>0</v>
      </c>
      <c r="O84" s="1689">
        <v>0</v>
      </c>
      <c r="P84" s="1690">
        <v>0</v>
      </c>
      <c r="Q84" s="356"/>
    </row>
    <row r="85" spans="2:17" ht="15.75" thickTop="1" x14ac:dyDescent="0.25">
      <c r="B85" s="395"/>
      <c r="C85" s="1357"/>
      <c r="D85" s="1357"/>
      <c r="E85" s="1357"/>
      <c r="F85" s="1357"/>
      <c r="G85" s="1357"/>
      <c r="H85" s="1358"/>
      <c r="I85" s="1359" t="s">
        <v>466</v>
      </c>
      <c r="J85" s="486">
        <f>SUM(J82:J84)</f>
        <v>446574</v>
      </c>
      <c r="K85" s="487">
        <f t="shared" ref="K85:P85" si="39">SUM(K82:K84)</f>
        <v>446574</v>
      </c>
      <c r="L85" s="487">
        <f t="shared" si="39"/>
        <v>446574</v>
      </c>
      <c r="M85" s="487">
        <f t="shared" si="39"/>
        <v>446574</v>
      </c>
      <c r="N85" s="487">
        <f t="shared" si="39"/>
        <v>446574</v>
      </c>
      <c r="O85" s="487">
        <f t="shared" si="39"/>
        <v>446574</v>
      </c>
      <c r="P85" s="488">
        <f t="shared" si="39"/>
        <v>446574</v>
      </c>
      <c r="Q85" s="356"/>
    </row>
    <row r="86" spans="2:17" x14ac:dyDescent="0.25">
      <c r="B86" s="395"/>
      <c r="C86" s="1357"/>
      <c r="D86" s="1357"/>
      <c r="E86" s="1357"/>
      <c r="F86" s="1213"/>
      <c r="G86" s="1213"/>
      <c r="H86" s="793"/>
      <c r="I86" s="793" t="s">
        <v>467</v>
      </c>
      <c r="J86" s="1877">
        <f>IFERROR(J78/J85,"$0 ")</f>
        <v>1.2000864571157299</v>
      </c>
      <c r="K86" s="731">
        <f t="shared" ref="K86:P86" si="40">IFERROR(K78/K85,"$0 ")</f>
        <v>1.2134563100404414</v>
      </c>
      <c r="L86" s="731">
        <f t="shared" si="40"/>
        <v>1.2265797426339196</v>
      </c>
      <c r="M86" s="731">
        <f t="shared" si="40"/>
        <v>1.2394310527097299</v>
      </c>
      <c r="N86" s="731">
        <f t="shared" si="40"/>
        <v>1.2519824748292534</v>
      </c>
      <c r="O86" s="731">
        <f t="shared" si="40"/>
        <v>1.2642048166330762</v>
      </c>
      <c r="P86" s="732">
        <f t="shared" si="40"/>
        <v>1.2760673975384653</v>
      </c>
      <c r="Q86" s="356"/>
    </row>
    <row r="87" spans="2:17" ht="15.75" thickBot="1" x14ac:dyDescent="0.3">
      <c r="B87" s="395"/>
      <c r="C87" s="1357"/>
      <c r="D87" s="1357"/>
      <c r="E87" s="1357"/>
      <c r="F87" s="2234" t="s">
        <v>468</v>
      </c>
      <c r="G87" s="2234"/>
      <c r="H87" s="2234"/>
      <c r="I87" s="2239"/>
      <c r="J87" s="489">
        <f>J78-J85</f>
        <v>89353.409499999951</v>
      </c>
      <c r="K87" s="490">
        <f t="shared" ref="K87:P87" si="41">K78-K85</f>
        <v>95324.038200000068</v>
      </c>
      <c r="L87" s="490">
        <f t="shared" si="41"/>
        <v>101184.62198699999</v>
      </c>
      <c r="M87" s="490">
        <f>M78-M85</f>
        <v>106923.68293279491</v>
      </c>
      <c r="N87" s="490">
        <f t="shared" si="41"/>
        <v>112528.82171439903</v>
      </c>
      <c r="O87" s="490">
        <f t="shared" si="41"/>
        <v>117987.00178309937</v>
      </c>
      <c r="P87" s="491">
        <f t="shared" si="41"/>
        <v>123284.52198834263</v>
      </c>
      <c r="Q87" s="356"/>
    </row>
    <row r="88" spans="2:17" ht="15" customHeight="1" thickBot="1" x14ac:dyDescent="0.3">
      <c r="B88" s="395"/>
      <c r="C88" s="1357"/>
      <c r="D88" s="1357"/>
      <c r="E88" s="1357"/>
      <c r="F88" s="1357"/>
      <c r="G88" s="1357"/>
      <c r="H88" s="1358"/>
      <c r="I88" s="1358"/>
      <c r="J88" s="1360"/>
      <c r="K88" s="1360"/>
      <c r="L88" s="1360"/>
      <c r="M88" s="1360"/>
      <c r="N88" s="1360"/>
      <c r="O88" s="1360"/>
      <c r="P88" s="1360"/>
      <c r="Q88" s="356"/>
    </row>
    <row r="89" spans="2:17" ht="15.75" thickBot="1" x14ac:dyDescent="0.3">
      <c r="B89" s="395"/>
      <c r="C89" s="698" t="s">
        <v>469</v>
      </c>
      <c r="D89" s="355"/>
      <c r="E89" s="1213"/>
      <c r="F89" s="1213"/>
      <c r="G89" s="1213"/>
      <c r="H89" s="2274" t="s">
        <v>464</v>
      </c>
      <c r="I89" s="2275"/>
      <c r="J89" s="447" t="s">
        <v>411</v>
      </c>
      <c r="K89" s="448" t="s">
        <v>412</v>
      </c>
      <c r="L89" s="448" t="s">
        <v>413</v>
      </c>
      <c r="M89" s="448" t="s">
        <v>414</v>
      </c>
      <c r="N89" s="448" t="s">
        <v>415</v>
      </c>
      <c r="O89" s="448" t="s">
        <v>416</v>
      </c>
      <c r="P89" s="449" t="s">
        <v>417</v>
      </c>
      <c r="Q89" s="356"/>
    </row>
    <row r="90" spans="2:17" x14ac:dyDescent="0.25">
      <c r="B90" s="395"/>
      <c r="C90" s="2262" t="s">
        <v>1528</v>
      </c>
      <c r="D90" s="2263"/>
      <c r="E90" s="2263"/>
      <c r="F90" s="2263"/>
      <c r="G90" s="2264"/>
      <c r="H90" s="2258">
        <v>1313231</v>
      </c>
      <c r="I90" s="2259"/>
      <c r="J90" s="1682">
        <f>J87</f>
        <v>89353.409499999951</v>
      </c>
      <c r="K90" s="1683">
        <f>K87</f>
        <v>95324.038200000068</v>
      </c>
      <c r="L90" s="1683">
        <f t="shared" ref="L90:O90" si="42">L87</f>
        <v>101184.62198699999</v>
      </c>
      <c r="M90" s="1683">
        <f t="shared" si="42"/>
        <v>106923.68293279491</v>
      </c>
      <c r="N90" s="1683">
        <f t="shared" si="42"/>
        <v>112528.82171439903</v>
      </c>
      <c r="O90" s="1683">
        <f t="shared" si="42"/>
        <v>117987.00178309937</v>
      </c>
      <c r="P90" s="1684">
        <f>P87</f>
        <v>123284.52198834263</v>
      </c>
      <c r="Q90" s="356"/>
    </row>
    <row r="91" spans="2:17" x14ac:dyDescent="0.25">
      <c r="B91" s="395"/>
      <c r="C91" s="2265"/>
      <c r="D91" s="2266"/>
      <c r="E91" s="2266"/>
      <c r="F91" s="2266"/>
      <c r="G91" s="2267"/>
      <c r="H91" s="2258"/>
      <c r="I91" s="2259"/>
      <c r="J91" s="1685">
        <v>0</v>
      </c>
      <c r="K91" s="1686">
        <v>0</v>
      </c>
      <c r="L91" s="1686">
        <v>0</v>
      </c>
      <c r="M91" s="1686">
        <v>0</v>
      </c>
      <c r="N91" s="1686">
        <v>0</v>
      </c>
      <c r="O91" s="1686">
        <v>0</v>
      </c>
      <c r="P91" s="1687">
        <v>0</v>
      </c>
      <c r="Q91" s="356"/>
    </row>
    <row r="92" spans="2:17" x14ac:dyDescent="0.25">
      <c r="B92" s="395"/>
      <c r="C92" s="2265"/>
      <c r="D92" s="2266"/>
      <c r="E92" s="2266"/>
      <c r="F92" s="2266"/>
      <c r="G92" s="2267"/>
      <c r="H92" s="2258"/>
      <c r="I92" s="2259"/>
      <c r="J92" s="1691">
        <v>0</v>
      </c>
      <c r="K92" s="1692">
        <v>0</v>
      </c>
      <c r="L92" s="1692">
        <v>0</v>
      </c>
      <c r="M92" s="1692">
        <v>0</v>
      </c>
      <c r="N92" s="1692">
        <v>0</v>
      </c>
      <c r="O92" s="1692">
        <v>0</v>
      </c>
      <c r="P92" s="1693">
        <v>0</v>
      </c>
      <c r="Q92" s="356"/>
    </row>
    <row r="93" spans="2:17" ht="15.75" thickBot="1" x14ac:dyDescent="0.3">
      <c r="B93" s="395"/>
      <c r="C93" s="2268"/>
      <c r="D93" s="2269"/>
      <c r="E93" s="2269"/>
      <c r="F93" s="2269"/>
      <c r="G93" s="2270"/>
      <c r="H93" s="2260"/>
      <c r="I93" s="2261"/>
      <c r="J93" s="1694">
        <v>0</v>
      </c>
      <c r="K93" s="1695">
        <v>0</v>
      </c>
      <c r="L93" s="1695">
        <v>0</v>
      </c>
      <c r="M93" s="1695">
        <v>0</v>
      </c>
      <c r="N93" s="1695">
        <v>0</v>
      </c>
      <c r="O93" s="1695">
        <v>0</v>
      </c>
      <c r="P93" s="1696">
        <v>0</v>
      </c>
      <c r="Q93" s="356"/>
    </row>
    <row r="94" spans="2:17" ht="16.5" thickTop="1" thickBot="1" x14ac:dyDescent="0.3">
      <c r="B94" s="395"/>
      <c r="C94" s="1213"/>
      <c r="D94" s="1213"/>
      <c r="E94" s="1213"/>
      <c r="F94" s="2234" t="s">
        <v>470</v>
      </c>
      <c r="G94" s="2234"/>
      <c r="H94" s="2234"/>
      <c r="I94" s="2239"/>
      <c r="J94" s="492">
        <f>SUM(J90:J93)</f>
        <v>89353.409499999951</v>
      </c>
      <c r="K94" s="493">
        <f t="shared" ref="K94:P94" si="43">SUM(K90:K93)</f>
        <v>95324.038200000068</v>
      </c>
      <c r="L94" s="493">
        <f t="shared" si="43"/>
        <v>101184.62198699999</v>
      </c>
      <c r="M94" s="493">
        <f t="shared" si="43"/>
        <v>106923.68293279491</v>
      </c>
      <c r="N94" s="493">
        <f t="shared" si="43"/>
        <v>112528.82171439903</v>
      </c>
      <c r="O94" s="493">
        <f t="shared" si="43"/>
        <v>117987.00178309937</v>
      </c>
      <c r="P94" s="494">
        <f t="shared" si="43"/>
        <v>123284.52198834263</v>
      </c>
      <c r="Q94" s="356"/>
    </row>
    <row r="95" spans="2:17" ht="7.5" customHeight="1" thickBot="1" x14ac:dyDescent="0.3">
      <c r="B95" s="395"/>
      <c r="C95" s="1213"/>
      <c r="D95" s="1213"/>
      <c r="E95" s="1213"/>
      <c r="F95" s="1213"/>
      <c r="G95" s="1213"/>
      <c r="H95" s="1213"/>
      <c r="I95" s="1213"/>
      <c r="J95" s="1213"/>
      <c r="K95" s="1213"/>
      <c r="L95" s="1213"/>
      <c r="M95" s="1213"/>
      <c r="N95" s="1213"/>
      <c r="O95" s="1213"/>
      <c r="P95" s="1213"/>
      <c r="Q95" s="356"/>
    </row>
    <row r="96" spans="2:17" x14ac:dyDescent="0.25">
      <c r="B96" s="395"/>
      <c r="C96" s="1213"/>
      <c r="D96" s="1213"/>
      <c r="E96" s="1213"/>
      <c r="F96" s="2234" t="s">
        <v>471</v>
      </c>
      <c r="G96" s="2234"/>
      <c r="H96" s="2234"/>
      <c r="I96" s="2239"/>
      <c r="J96" s="733">
        <f>IFERROR(J78/(J85+J94),"$0 ")</f>
        <v>1</v>
      </c>
      <c r="K96" s="734">
        <f t="shared" ref="K96:P96" si="44">IFERROR(K78/(K85+K94),"$0 ")</f>
        <v>1</v>
      </c>
      <c r="L96" s="734">
        <f t="shared" si="44"/>
        <v>1</v>
      </c>
      <c r="M96" s="734">
        <f t="shared" si="44"/>
        <v>1</v>
      </c>
      <c r="N96" s="734">
        <f t="shared" si="44"/>
        <v>1</v>
      </c>
      <c r="O96" s="734">
        <f t="shared" si="44"/>
        <v>1</v>
      </c>
      <c r="P96" s="735">
        <f t="shared" si="44"/>
        <v>1</v>
      </c>
      <c r="Q96" s="356"/>
    </row>
    <row r="97" spans="2:17" ht="15.75" thickBot="1" x14ac:dyDescent="0.3">
      <c r="B97" s="395"/>
      <c r="C97" s="1213"/>
      <c r="D97" s="1213"/>
      <c r="E97" s="1213"/>
      <c r="F97" s="2234" t="s">
        <v>472</v>
      </c>
      <c r="G97" s="2234"/>
      <c r="H97" s="2235"/>
      <c r="I97" s="2236"/>
      <c r="J97" s="1361">
        <f>J87-J94</f>
        <v>0</v>
      </c>
      <c r="K97" s="1362">
        <f t="shared" ref="K97:O97" si="45">K87-K94</f>
        <v>0</v>
      </c>
      <c r="L97" s="1363">
        <f t="shared" si="45"/>
        <v>0</v>
      </c>
      <c r="M97" s="1363">
        <f t="shared" si="45"/>
        <v>0</v>
      </c>
      <c r="N97" s="1363">
        <f t="shared" si="45"/>
        <v>0</v>
      </c>
      <c r="O97" s="1363">
        <f t="shared" si="45"/>
        <v>0</v>
      </c>
      <c r="P97" s="1364">
        <f>P87-P94</f>
        <v>0</v>
      </c>
      <c r="Q97" s="356"/>
    </row>
    <row r="98" spans="2:17" ht="9" customHeight="1" thickBot="1" x14ac:dyDescent="0.3">
      <c r="B98" s="1311"/>
      <c r="C98" s="361"/>
      <c r="D98" s="580"/>
      <c r="E98" s="361"/>
      <c r="F98" s="361"/>
      <c r="G98" s="361"/>
      <c r="H98" s="361"/>
      <c r="I98" s="361"/>
      <c r="J98" s="361"/>
      <c r="K98" s="361"/>
      <c r="L98" s="361"/>
      <c r="M98" s="361"/>
      <c r="N98" s="361"/>
      <c r="O98" s="361"/>
      <c r="P98" s="361"/>
      <c r="Q98" s="362"/>
    </row>
    <row r="99" spans="2:17" ht="9" customHeight="1" x14ac:dyDescent="0.25">
      <c r="B99" s="514"/>
      <c r="C99" s="515"/>
      <c r="D99" s="515"/>
      <c r="E99" s="515"/>
      <c r="F99" s="515"/>
      <c r="G99" s="515"/>
      <c r="H99" s="515"/>
      <c r="I99" s="515"/>
      <c r="J99" s="515"/>
      <c r="K99" s="515"/>
      <c r="L99" s="515"/>
      <c r="M99" s="515"/>
      <c r="N99" s="515"/>
      <c r="O99" s="515"/>
      <c r="P99" s="515"/>
      <c r="Q99" s="516"/>
    </row>
    <row r="100" spans="2:17" ht="18.75" x14ac:dyDescent="0.3">
      <c r="B100" s="517"/>
      <c r="C100" s="2030" t="s">
        <v>1076</v>
      </c>
      <c r="D100" s="2030"/>
      <c r="E100" s="2030"/>
      <c r="F100" s="2030"/>
      <c r="G100" s="2030"/>
      <c r="H100" s="2030"/>
      <c r="I100" s="2030"/>
      <c r="J100" s="2030"/>
      <c r="K100" s="2030"/>
      <c r="L100" s="2030"/>
      <c r="M100" s="2030"/>
      <c r="N100" s="2030"/>
      <c r="O100" s="2030"/>
      <c r="P100" s="2030"/>
      <c r="Q100" s="519"/>
    </row>
    <row r="101" spans="2:17" x14ac:dyDescent="0.25">
      <c r="B101" s="517"/>
      <c r="C101" s="518"/>
      <c r="D101" s="518"/>
      <c r="E101" s="518"/>
      <c r="F101" s="518"/>
      <c r="G101" s="518"/>
      <c r="H101" s="518"/>
      <c r="I101" s="518"/>
      <c r="J101" s="518"/>
      <c r="K101" s="518"/>
      <c r="L101" s="518"/>
      <c r="M101" s="518"/>
      <c r="N101" s="518"/>
      <c r="O101" s="518"/>
      <c r="P101" s="518"/>
      <c r="Q101" s="519"/>
    </row>
    <row r="102" spans="2:17" x14ac:dyDescent="0.25">
      <c r="B102" s="517"/>
      <c r="C102" s="1128" t="s">
        <v>63</v>
      </c>
      <c r="D102" s="1127" t="str">
        <f>IF('1A'!G86="","Enter Project Name on Form 1A",'1A'!G86)</f>
        <v>Enter Project Name on Form 1A</v>
      </c>
      <c r="E102" s="1127"/>
      <c r="F102" s="1127"/>
      <c r="G102" s="1127"/>
      <c r="H102" s="1127"/>
      <c r="I102" s="1127"/>
      <c r="J102" s="1127"/>
      <c r="K102" s="1213"/>
      <c r="L102" s="1213"/>
      <c r="M102" s="1213"/>
      <c r="N102" s="1128"/>
      <c r="O102" s="1128"/>
      <c r="P102" s="1128"/>
      <c r="Q102" s="519"/>
    </row>
    <row r="103" spans="2:17" ht="3.75" customHeight="1" x14ac:dyDescent="0.25">
      <c r="B103" s="517"/>
      <c r="C103" s="1128"/>
      <c r="D103" s="1128"/>
      <c r="E103" s="1128"/>
      <c r="F103" s="1128"/>
      <c r="G103" s="1128"/>
      <c r="H103" s="1128"/>
      <c r="I103" s="1128"/>
      <c r="J103" s="1213"/>
      <c r="K103" s="1213"/>
      <c r="L103" s="1213"/>
      <c r="M103" s="1213"/>
      <c r="N103" s="1128"/>
      <c r="O103" s="1128"/>
      <c r="P103" s="1128"/>
      <c r="Q103" s="519"/>
    </row>
    <row r="104" spans="2:17" x14ac:dyDescent="0.25">
      <c r="B104" s="520"/>
      <c r="C104" s="1128" t="s">
        <v>409</v>
      </c>
      <c r="D104" s="1376">
        <v>42261</v>
      </c>
      <c r="E104" s="521"/>
      <c r="F104" s="521"/>
      <c r="G104" s="521"/>
      <c r="H104" s="521"/>
      <c r="I104" s="521"/>
      <c r="J104" s="522"/>
      <c r="K104" s="522"/>
      <c r="L104" s="522"/>
      <c r="M104" s="522"/>
      <c r="N104" s="522"/>
      <c r="O104" s="523"/>
      <c r="P104" s="522"/>
      <c r="Q104" s="524"/>
    </row>
    <row r="105" spans="2:17" ht="7.5" customHeight="1" x14ac:dyDescent="0.25">
      <c r="B105" s="395"/>
      <c r="C105" s="355"/>
      <c r="D105" s="355"/>
      <c r="E105" s="355"/>
      <c r="F105" s="355"/>
      <c r="G105" s="355"/>
      <c r="H105" s="355"/>
      <c r="I105" s="355"/>
      <c r="J105" s="355"/>
      <c r="K105" s="355"/>
      <c r="L105" s="355"/>
      <c r="M105" s="355"/>
      <c r="N105" s="355"/>
      <c r="O105" s="355"/>
      <c r="P105" s="355"/>
      <c r="Q105" s="356"/>
    </row>
    <row r="106" spans="2:17" ht="15.75" thickBot="1" x14ac:dyDescent="0.3">
      <c r="B106" s="526"/>
      <c r="C106" s="443" t="s">
        <v>410</v>
      </c>
      <c r="D106" s="444"/>
      <c r="E106" s="442"/>
      <c r="F106" s="442"/>
      <c r="G106" s="442"/>
      <c r="H106" s="442"/>
      <c r="I106" s="442"/>
      <c r="J106" s="444"/>
      <c r="K106" s="444"/>
      <c r="L106" s="444"/>
      <c r="M106" s="444"/>
      <c r="N106" s="444"/>
      <c r="O106" s="446"/>
      <c r="P106" s="444"/>
      <c r="Q106" s="528"/>
    </row>
    <row r="107" spans="2:17" ht="15.75" thickBot="1" x14ac:dyDescent="0.3">
      <c r="B107" s="395"/>
      <c r="C107" s="535"/>
      <c r="D107" s="1213"/>
      <c r="E107" s="1213"/>
      <c r="F107" s="1213"/>
      <c r="G107" s="1213"/>
      <c r="H107" s="1213"/>
      <c r="I107" s="495" t="s">
        <v>473</v>
      </c>
      <c r="J107" s="496" t="s">
        <v>474</v>
      </c>
      <c r="K107" s="448" t="s">
        <v>475</v>
      </c>
      <c r="L107" s="448" t="s">
        <v>476</v>
      </c>
      <c r="M107" s="448" t="s">
        <v>477</v>
      </c>
      <c r="N107" s="448" t="s">
        <v>478</v>
      </c>
      <c r="O107" s="448" t="s">
        <v>479</v>
      </c>
      <c r="P107" s="449" t="s">
        <v>480</v>
      </c>
      <c r="Q107" s="356"/>
    </row>
    <row r="108" spans="2:17" x14ac:dyDescent="0.25">
      <c r="B108" s="395"/>
      <c r="C108" s="527" t="s">
        <v>418</v>
      </c>
      <c r="D108" s="1213"/>
      <c r="E108" s="1213"/>
      <c r="F108" s="1213"/>
      <c r="G108" s="1213"/>
      <c r="H108" s="1213"/>
      <c r="I108" s="451"/>
      <c r="J108" s="452"/>
      <c r="K108" s="452"/>
      <c r="L108" s="452"/>
      <c r="M108" s="452"/>
      <c r="N108" s="452"/>
      <c r="O108" s="452"/>
      <c r="P108" s="453"/>
      <c r="Q108" s="356"/>
    </row>
    <row r="109" spans="2:17" x14ac:dyDescent="0.25">
      <c r="B109" s="395"/>
      <c r="C109" s="581" t="s">
        <v>420</v>
      </c>
      <c r="D109" s="1213"/>
      <c r="E109" s="1213"/>
      <c r="F109" s="1213"/>
      <c r="G109" s="1213"/>
      <c r="H109" s="1213"/>
      <c r="I109" s="571">
        <f>P28+(P28*$H28)</f>
        <v>1486632.2151966577</v>
      </c>
      <c r="J109" s="582">
        <f>I109+(I109*$H28)</f>
        <v>1523798.0205765741</v>
      </c>
      <c r="K109" s="582">
        <f t="shared" ref="K109:P109" si="46">J109+(J109*$H28)</f>
        <v>1561892.9710909885</v>
      </c>
      <c r="L109" s="582">
        <f t="shared" si="46"/>
        <v>1600940.2953682633</v>
      </c>
      <c r="M109" s="582">
        <f t="shared" si="46"/>
        <v>1640963.8027524699</v>
      </c>
      <c r="N109" s="582">
        <f t="shared" si="46"/>
        <v>1681987.8978212816</v>
      </c>
      <c r="O109" s="582">
        <f t="shared" si="46"/>
        <v>1724037.5952668136</v>
      </c>
      <c r="P109" s="583">
        <f t="shared" si="46"/>
        <v>1767138.5351484839</v>
      </c>
      <c r="Q109" s="356"/>
    </row>
    <row r="110" spans="2:17" x14ac:dyDescent="0.25">
      <c r="B110" s="395"/>
      <c r="C110" s="581" t="s">
        <v>366</v>
      </c>
      <c r="D110" s="1213"/>
      <c r="E110" s="1213"/>
      <c r="F110" s="1213"/>
      <c r="G110" s="1213"/>
      <c r="H110" s="1213"/>
      <c r="I110" s="571">
        <f>P29+(P29*$H29)</f>
        <v>88752.033111883458</v>
      </c>
      <c r="J110" s="582">
        <f>I110+(I110*$H29)</f>
        <v>90970.833939680539</v>
      </c>
      <c r="K110" s="582">
        <f t="shared" ref="K110:O110" si="47">J110+(J110*$H29)</f>
        <v>93245.104788172554</v>
      </c>
      <c r="L110" s="582">
        <f t="shared" si="47"/>
        <v>95576.232407876872</v>
      </c>
      <c r="M110" s="582">
        <f t="shared" si="47"/>
        <v>97965.6382180738</v>
      </c>
      <c r="N110" s="582">
        <f t="shared" si="47"/>
        <v>100414.77917352565</v>
      </c>
      <c r="O110" s="582">
        <f t="shared" si="47"/>
        <v>102925.14865286379</v>
      </c>
      <c r="P110" s="583">
        <f>O110+(O110*$H29)</f>
        <v>105498.27736918538</v>
      </c>
      <c r="Q110" s="356"/>
    </row>
    <row r="111" spans="2:17" x14ac:dyDescent="0.25">
      <c r="B111" s="395"/>
      <c r="C111" s="581" t="s">
        <v>376</v>
      </c>
      <c r="D111" s="1213"/>
      <c r="E111" s="1213"/>
      <c r="F111" s="1213"/>
      <c r="G111" s="1213"/>
      <c r="H111" s="1213"/>
      <c r="I111" s="571">
        <v>0</v>
      </c>
      <c r="J111" s="582">
        <v>0</v>
      </c>
      <c r="K111" s="582">
        <v>0</v>
      </c>
      <c r="L111" s="582">
        <v>0</v>
      </c>
      <c r="M111" s="582">
        <v>0</v>
      </c>
      <c r="N111" s="582">
        <v>0</v>
      </c>
      <c r="O111" s="582">
        <v>0</v>
      </c>
      <c r="P111" s="583">
        <v>0</v>
      </c>
      <c r="Q111" s="356"/>
    </row>
    <row r="112" spans="2:17" x14ac:dyDescent="0.25">
      <c r="B112" s="395"/>
      <c r="C112" s="581" t="s">
        <v>481</v>
      </c>
      <c r="D112" s="2253" t="str">
        <f>IF(D31=0,"",D31)</f>
        <v>Laundry</v>
      </c>
      <c r="E112" s="2254"/>
      <c r="F112" s="2254"/>
      <c r="G112" s="594"/>
      <c r="H112" s="535"/>
      <c r="I112" s="571">
        <f>P31+(P31*$H31)</f>
        <v>15851.862213560064</v>
      </c>
      <c r="J112" s="582">
        <f>I112+(I112*$H31)</f>
        <v>16168.899457831265</v>
      </c>
      <c r="K112" s="582">
        <f t="shared" ref="K112:P112" si="48">J112+(J112*$H31)</f>
        <v>16492.27744698789</v>
      </c>
      <c r="L112" s="582">
        <f t="shared" si="48"/>
        <v>16822.122995927646</v>
      </c>
      <c r="M112" s="582">
        <f t="shared" si="48"/>
        <v>17158.565455846197</v>
      </c>
      <c r="N112" s="582">
        <f t="shared" si="48"/>
        <v>17501.73676496312</v>
      </c>
      <c r="O112" s="582">
        <f t="shared" si="48"/>
        <v>17851.771500262381</v>
      </c>
      <c r="P112" s="583">
        <f t="shared" si="48"/>
        <v>18208.806930267627</v>
      </c>
      <c r="Q112" s="356"/>
    </row>
    <row r="113" spans="2:17" x14ac:dyDescent="0.25">
      <c r="B113" s="395"/>
      <c r="C113" s="563" t="s">
        <v>481</v>
      </c>
      <c r="D113" s="2253" t="str">
        <f>IF(D32=0,"",D32)</f>
        <v/>
      </c>
      <c r="E113" s="2254"/>
      <c r="F113" s="2254"/>
      <c r="G113" s="594"/>
      <c r="H113" s="535"/>
      <c r="I113" s="571">
        <f>P32+(P32*$H32)</f>
        <v>0</v>
      </c>
      <c r="J113" s="582">
        <f>I113+(I113*$H32)</f>
        <v>0</v>
      </c>
      <c r="K113" s="582">
        <f t="shared" ref="K113:P113" si="49">J113+(J113*$H32)</f>
        <v>0</v>
      </c>
      <c r="L113" s="582">
        <f t="shared" si="49"/>
        <v>0</v>
      </c>
      <c r="M113" s="582">
        <f t="shared" si="49"/>
        <v>0</v>
      </c>
      <c r="N113" s="582">
        <f t="shared" si="49"/>
        <v>0</v>
      </c>
      <c r="O113" s="582">
        <f t="shared" si="49"/>
        <v>0</v>
      </c>
      <c r="P113" s="583">
        <f t="shared" si="49"/>
        <v>0</v>
      </c>
      <c r="Q113" s="356"/>
    </row>
    <row r="114" spans="2:17" x14ac:dyDescent="0.25">
      <c r="B114" s="395"/>
      <c r="C114" s="535" t="s">
        <v>422</v>
      </c>
      <c r="D114" s="1213"/>
      <c r="E114" s="1213"/>
      <c r="F114" s="1213"/>
      <c r="G114" s="1213"/>
      <c r="H114" s="1213"/>
      <c r="I114" s="497">
        <f>SUM(I109:I113)</f>
        <v>1591236.1105221014</v>
      </c>
      <c r="J114" s="498">
        <f t="shared" ref="J114:O114" si="50">SUM(J109:J113)</f>
        <v>1630937.7539740859</v>
      </c>
      <c r="K114" s="498">
        <f t="shared" si="50"/>
        <v>1671630.3533261488</v>
      </c>
      <c r="L114" s="498">
        <f t="shared" si="50"/>
        <v>1713338.650772068</v>
      </c>
      <c r="M114" s="498">
        <f t="shared" si="50"/>
        <v>1756088.00642639</v>
      </c>
      <c r="N114" s="498">
        <f t="shared" si="50"/>
        <v>1799904.4137597703</v>
      </c>
      <c r="O114" s="498">
        <f t="shared" si="50"/>
        <v>1844814.5154199398</v>
      </c>
      <c r="P114" s="499">
        <f>SUM(P109:P113)</f>
        <v>1890845.619447937</v>
      </c>
      <c r="Q114" s="356"/>
    </row>
    <row r="115" spans="2:17" x14ac:dyDescent="0.25">
      <c r="B115" s="395"/>
      <c r="C115" s="535"/>
      <c r="D115" s="1213"/>
      <c r="E115" s="1213"/>
      <c r="F115" s="1213"/>
      <c r="G115" s="1213"/>
      <c r="H115" s="1213"/>
      <c r="I115" s="500"/>
      <c r="J115" s="501"/>
      <c r="K115" s="501"/>
      <c r="L115" s="501"/>
      <c r="M115" s="501"/>
      <c r="N115" s="501"/>
      <c r="O115" s="501"/>
      <c r="P115" s="502"/>
      <c r="Q115" s="356"/>
    </row>
    <row r="116" spans="2:17" x14ac:dyDescent="0.25">
      <c r="B116" s="395"/>
      <c r="C116" s="535" t="s">
        <v>424</v>
      </c>
      <c r="D116" s="1213"/>
      <c r="E116" s="1213"/>
      <c r="F116" s="1213"/>
      <c r="G116" s="1213"/>
      <c r="H116" s="1213"/>
      <c r="I116" s="1697">
        <f>I154</f>
        <v>23439.595900659675</v>
      </c>
      <c r="J116" s="1698">
        <f>J154</f>
        <v>24259.981757182763</v>
      </c>
      <c r="K116" s="1698">
        <f t="shared" ref="K116:O116" si="51">K154</f>
        <v>25109.08111868416</v>
      </c>
      <c r="L116" s="1698">
        <f t="shared" si="51"/>
        <v>25987.898957838104</v>
      </c>
      <c r="M116" s="1698">
        <f t="shared" si="51"/>
        <v>26897.475421362436</v>
      </c>
      <c r="N116" s="1698">
        <f t="shared" si="51"/>
        <v>27838.887061110123</v>
      </c>
      <c r="O116" s="1698">
        <f t="shared" si="51"/>
        <v>28813.248108248976</v>
      </c>
      <c r="P116" s="1699">
        <f>P154</f>
        <v>29821.711792037691</v>
      </c>
      <c r="Q116" s="356"/>
    </row>
    <row r="117" spans="2:17" x14ac:dyDescent="0.25">
      <c r="B117" s="395"/>
      <c r="C117" s="535"/>
      <c r="D117" s="1213"/>
      <c r="E117" s="1213"/>
      <c r="F117" s="1213"/>
      <c r="G117" s="1213"/>
      <c r="H117" s="1213"/>
      <c r="I117" s="500"/>
      <c r="J117" s="501"/>
      <c r="K117" s="501"/>
      <c r="L117" s="501"/>
      <c r="M117" s="501"/>
      <c r="N117" s="501"/>
      <c r="O117" s="501"/>
      <c r="P117" s="502"/>
      <c r="Q117" s="356"/>
    </row>
    <row r="118" spans="2:17" ht="15.75" thickBot="1" x14ac:dyDescent="0.3">
      <c r="B118" s="395"/>
      <c r="C118" s="538" t="s">
        <v>425</v>
      </c>
      <c r="D118" s="1339"/>
      <c r="E118" s="1339"/>
      <c r="F118" s="1339"/>
      <c r="G118" s="1339"/>
      <c r="H118" s="1339"/>
      <c r="I118" s="1700">
        <v>0</v>
      </c>
      <c r="J118" s="1701">
        <v>0</v>
      </c>
      <c r="K118" s="1701">
        <v>0</v>
      </c>
      <c r="L118" s="1701">
        <v>0</v>
      </c>
      <c r="M118" s="1701">
        <v>0</v>
      </c>
      <c r="N118" s="1701">
        <v>0</v>
      </c>
      <c r="O118" s="1701">
        <v>0</v>
      </c>
      <c r="P118" s="1702">
        <v>0</v>
      </c>
      <c r="Q118" s="356"/>
    </row>
    <row r="119" spans="2:17" ht="15.75" thickTop="1" x14ac:dyDescent="0.25">
      <c r="B119" s="395"/>
      <c r="C119" s="527" t="s">
        <v>426</v>
      </c>
      <c r="D119" s="1213"/>
      <c r="E119" s="1213"/>
      <c r="F119" s="1213"/>
      <c r="G119" s="1213"/>
      <c r="H119" s="1213"/>
      <c r="I119" s="503">
        <f>I114+I116+I118</f>
        <v>1614675.7064227611</v>
      </c>
      <c r="J119" s="504">
        <f t="shared" ref="J119:O119" si="52">J114+J116+J118</f>
        <v>1655197.7357312688</v>
      </c>
      <c r="K119" s="504">
        <f t="shared" si="52"/>
        <v>1696739.4344448331</v>
      </c>
      <c r="L119" s="504">
        <f t="shared" si="52"/>
        <v>1739326.549729906</v>
      </c>
      <c r="M119" s="504">
        <f t="shared" si="52"/>
        <v>1782985.4818477524</v>
      </c>
      <c r="N119" s="504">
        <f t="shared" si="52"/>
        <v>1827743.3008208806</v>
      </c>
      <c r="O119" s="504">
        <f t="shared" si="52"/>
        <v>1873627.7635281887</v>
      </c>
      <c r="P119" s="505">
        <f>P114+P116+P118</f>
        <v>1920667.3312399746</v>
      </c>
      <c r="Q119" s="356"/>
    </row>
    <row r="120" spans="2:17" x14ac:dyDescent="0.25">
      <c r="B120" s="395"/>
      <c r="C120" s="527"/>
      <c r="D120" s="1213"/>
      <c r="E120" s="1213"/>
      <c r="F120" s="1213"/>
      <c r="G120" s="1213"/>
      <c r="H120" s="1213"/>
      <c r="I120" s="500"/>
      <c r="J120" s="501"/>
      <c r="K120" s="501"/>
      <c r="L120" s="501"/>
      <c r="M120" s="501"/>
      <c r="N120" s="501"/>
      <c r="O120" s="501"/>
      <c r="P120" s="502"/>
      <c r="Q120" s="356"/>
    </row>
    <row r="121" spans="2:17" x14ac:dyDescent="0.25">
      <c r="B121" s="395"/>
      <c r="C121" s="584" t="s">
        <v>482</v>
      </c>
      <c r="D121" s="1213"/>
      <c r="E121" s="1213"/>
      <c r="F121" s="1213"/>
      <c r="G121" s="1213"/>
      <c r="H121" s="1213"/>
      <c r="I121" s="1365">
        <f>-I114*$H40</f>
        <v>-79561.805526105076</v>
      </c>
      <c r="J121" s="1366">
        <f t="shared" ref="J121:P121" si="53">-J114*$H40</f>
        <v>-81546.887698704304</v>
      </c>
      <c r="K121" s="1366">
        <f t="shared" si="53"/>
        <v>-83581.517666307453</v>
      </c>
      <c r="L121" s="1366">
        <f t="shared" si="53"/>
        <v>-85666.932538603403</v>
      </c>
      <c r="M121" s="1366">
        <f t="shared" si="53"/>
        <v>-87804.40032131951</v>
      </c>
      <c r="N121" s="1366">
        <f t="shared" si="53"/>
        <v>-89995.22068798852</v>
      </c>
      <c r="O121" s="1366">
        <f t="shared" si="53"/>
        <v>-92240.725770997</v>
      </c>
      <c r="P121" s="1367">
        <f t="shared" si="53"/>
        <v>-94542.280972396853</v>
      </c>
      <c r="Q121" s="356"/>
    </row>
    <row r="122" spans="2:17" ht="15.75" thickBot="1" x14ac:dyDescent="0.3">
      <c r="B122" s="395"/>
      <c r="C122" s="542" t="s">
        <v>483</v>
      </c>
      <c r="D122" s="1339"/>
      <c r="E122" s="1339"/>
      <c r="F122" s="1339"/>
      <c r="G122" s="1339"/>
      <c r="H122" s="1339"/>
      <c r="I122" s="1368">
        <f>-I118*$H41</f>
        <v>0</v>
      </c>
      <c r="J122" s="1369">
        <f>-J118*$H41</f>
        <v>0</v>
      </c>
      <c r="K122" s="1369">
        <f t="shared" ref="K122:P122" si="54">-K118*$H41</f>
        <v>0</v>
      </c>
      <c r="L122" s="1369">
        <f t="shared" si="54"/>
        <v>0</v>
      </c>
      <c r="M122" s="1369">
        <f t="shared" si="54"/>
        <v>0</v>
      </c>
      <c r="N122" s="1369">
        <f t="shared" si="54"/>
        <v>0</v>
      </c>
      <c r="O122" s="1369">
        <f t="shared" si="54"/>
        <v>0</v>
      </c>
      <c r="P122" s="1370">
        <f t="shared" si="54"/>
        <v>0</v>
      </c>
      <c r="Q122" s="356"/>
    </row>
    <row r="123" spans="2:17" ht="16.5" thickTop="1" thickBot="1" x14ac:dyDescent="0.3">
      <c r="B123" s="395"/>
      <c r="C123" s="543" t="s">
        <v>430</v>
      </c>
      <c r="D123" s="1213"/>
      <c r="E123" s="1213"/>
      <c r="F123" s="1213"/>
      <c r="G123" s="1213"/>
      <c r="H123" s="1213"/>
      <c r="I123" s="506">
        <f>I119+I121+I122</f>
        <v>1535113.9008966561</v>
      </c>
      <c r="J123" s="507">
        <f t="shared" ref="J123:O123" si="55">J119+J121+J122</f>
        <v>1573650.8480325644</v>
      </c>
      <c r="K123" s="508">
        <f t="shared" si="55"/>
        <v>1613157.9167785256</v>
      </c>
      <c r="L123" s="508">
        <f t="shared" si="55"/>
        <v>1653659.6171913026</v>
      </c>
      <c r="M123" s="508">
        <f t="shared" si="55"/>
        <v>1695181.0815264329</v>
      </c>
      <c r="N123" s="508">
        <f t="shared" si="55"/>
        <v>1737748.0801328921</v>
      </c>
      <c r="O123" s="508">
        <f t="shared" si="55"/>
        <v>1781387.0377571918</v>
      </c>
      <c r="P123" s="509">
        <f>P119+P121+P122</f>
        <v>1826125.0502675776</v>
      </c>
      <c r="Q123" s="356"/>
    </row>
    <row r="124" spans="2:17" ht="7.5" customHeight="1" x14ac:dyDescent="0.25">
      <c r="B124" s="395"/>
      <c r="C124" s="355"/>
      <c r="D124" s="355"/>
      <c r="E124" s="355"/>
      <c r="F124" s="355"/>
      <c r="G124" s="355"/>
      <c r="H124" s="355"/>
      <c r="I124" s="355"/>
      <c r="J124" s="355"/>
      <c r="K124" s="355"/>
      <c r="L124" s="355"/>
      <c r="M124" s="355"/>
      <c r="N124" s="355"/>
      <c r="O124" s="355"/>
      <c r="P124" s="355"/>
      <c r="Q124" s="356"/>
    </row>
    <row r="125" spans="2:17" ht="15.75" thickBot="1" x14ac:dyDescent="0.3">
      <c r="B125" s="520"/>
      <c r="C125" s="464" t="s">
        <v>431</v>
      </c>
      <c r="D125" s="465"/>
      <c r="E125" s="465"/>
      <c r="F125" s="465"/>
      <c r="G125" s="465"/>
      <c r="H125" s="465"/>
      <c r="I125" s="465"/>
      <c r="J125" s="465"/>
      <c r="K125" s="465"/>
      <c r="L125" s="465"/>
      <c r="M125" s="466"/>
      <c r="N125" s="465"/>
      <c r="O125" s="465"/>
      <c r="P125" s="465"/>
      <c r="Q125" s="524"/>
    </row>
    <row r="126" spans="2:17" ht="15.75" thickBot="1" x14ac:dyDescent="0.3">
      <c r="B126" s="520"/>
      <c r="C126" s="527" t="s">
        <v>432</v>
      </c>
      <c r="D126" s="518"/>
      <c r="E126" s="535"/>
      <c r="F126" s="355"/>
      <c r="G126" s="355"/>
      <c r="H126" s="518"/>
      <c r="I126" s="447" t="s">
        <v>473</v>
      </c>
      <c r="J126" s="447" t="s">
        <v>474</v>
      </c>
      <c r="K126" s="447" t="s">
        <v>475</v>
      </c>
      <c r="L126" s="447" t="s">
        <v>476</v>
      </c>
      <c r="M126" s="447" t="s">
        <v>477</v>
      </c>
      <c r="N126" s="447" t="s">
        <v>478</v>
      </c>
      <c r="O126" s="447" t="s">
        <v>479</v>
      </c>
      <c r="P126" s="495" t="s">
        <v>480</v>
      </c>
      <c r="Q126" s="519"/>
    </row>
    <row r="127" spans="2:17" x14ac:dyDescent="0.25">
      <c r="B127" s="520"/>
      <c r="C127" s="546" t="s">
        <v>434</v>
      </c>
      <c r="D127" s="547"/>
      <c r="E127" s="548"/>
      <c r="F127" s="547"/>
      <c r="G127" s="547"/>
      <c r="H127" s="548"/>
      <c r="I127" s="550">
        <f t="shared" ref="I127:I147" si="56">P46+($F46*P46)</f>
        <v>120027.4363434447</v>
      </c>
      <c r="J127" s="551">
        <f t="shared" ref="J127:J147" si="57">I127+(I127*$F46)</f>
        <v>124228.39661546526</v>
      </c>
      <c r="K127" s="551">
        <f t="shared" ref="K127:P127" si="58">J127+(J127*$F46)</f>
        <v>128576.39049700655</v>
      </c>
      <c r="L127" s="551">
        <f t="shared" si="58"/>
        <v>133076.56416440179</v>
      </c>
      <c r="M127" s="551">
        <f t="shared" si="58"/>
        <v>137734.24391015584</v>
      </c>
      <c r="N127" s="551">
        <f t="shared" si="58"/>
        <v>142554.9424470113</v>
      </c>
      <c r="O127" s="551">
        <f t="shared" si="58"/>
        <v>147544.36543265669</v>
      </c>
      <c r="P127" s="552">
        <f t="shared" si="58"/>
        <v>152708.41822279966</v>
      </c>
      <c r="Q127" s="519"/>
    </row>
    <row r="128" spans="2:17" x14ac:dyDescent="0.25">
      <c r="B128" s="520"/>
      <c r="C128" s="554" t="s">
        <v>435</v>
      </c>
      <c r="D128" s="555"/>
      <c r="E128" s="556"/>
      <c r="F128" s="555"/>
      <c r="G128" s="555"/>
      <c r="H128" s="556"/>
      <c r="I128" s="558">
        <f t="shared" si="56"/>
        <v>121839.82359884093</v>
      </c>
      <c r="J128" s="559">
        <f t="shared" si="57"/>
        <v>126104.21742480036</v>
      </c>
      <c r="K128" s="559">
        <f t="shared" ref="K128:P137" si="59">J128+(J128*$F47)</f>
        <v>130517.86503466837</v>
      </c>
      <c r="L128" s="559">
        <f t="shared" si="59"/>
        <v>135085.99031088175</v>
      </c>
      <c r="M128" s="559">
        <f t="shared" si="59"/>
        <v>139813.99997176262</v>
      </c>
      <c r="N128" s="559">
        <f t="shared" si="59"/>
        <v>144707.4899707743</v>
      </c>
      <c r="O128" s="559">
        <f t="shared" si="59"/>
        <v>149772.25211975141</v>
      </c>
      <c r="P128" s="560">
        <f t="shared" si="59"/>
        <v>155014.28094394272</v>
      </c>
      <c r="Q128" s="519"/>
    </row>
    <row r="129" spans="2:17" x14ac:dyDescent="0.25">
      <c r="B129" s="520"/>
      <c r="C129" s="554" t="s">
        <v>436</v>
      </c>
      <c r="D129" s="555"/>
      <c r="E129" s="556"/>
      <c r="F129" s="555"/>
      <c r="G129" s="555"/>
      <c r="H129" s="556"/>
      <c r="I129" s="558">
        <f t="shared" si="56"/>
        <v>48976.390220199246</v>
      </c>
      <c r="J129" s="559">
        <f t="shared" si="57"/>
        <v>50690.563877906221</v>
      </c>
      <c r="K129" s="559">
        <f t="shared" si="59"/>
        <v>52464.73361363294</v>
      </c>
      <c r="L129" s="559">
        <f t="shared" si="59"/>
        <v>54300.999290110092</v>
      </c>
      <c r="M129" s="559">
        <f t="shared" si="59"/>
        <v>56201.534265263945</v>
      </c>
      <c r="N129" s="559">
        <f t="shared" si="59"/>
        <v>58168.587964548184</v>
      </c>
      <c r="O129" s="559">
        <f t="shared" si="59"/>
        <v>60204.488543307372</v>
      </c>
      <c r="P129" s="560">
        <f t="shared" si="59"/>
        <v>62311.645642323128</v>
      </c>
      <c r="Q129" s="519"/>
    </row>
    <row r="130" spans="2:17" x14ac:dyDescent="0.25">
      <c r="B130" s="520"/>
      <c r="C130" s="554" t="s">
        <v>437</v>
      </c>
      <c r="D130" s="556"/>
      <c r="E130" s="555"/>
      <c r="F130" s="585"/>
      <c r="G130" s="585"/>
      <c r="H130" s="556"/>
      <c r="I130" s="558">
        <f t="shared" si="56"/>
        <v>2544.5585255331471</v>
      </c>
      <c r="J130" s="559">
        <f t="shared" si="57"/>
        <v>2633.618073926807</v>
      </c>
      <c r="K130" s="559">
        <f t="shared" si="59"/>
        <v>2725.7947065142453</v>
      </c>
      <c r="L130" s="559">
        <f t="shared" si="59"/>
        <v>2821.197521242244</v>
      </c>
      <c r="M130" s="559">
        <f t="shared" si="59"/>
        <v>2919.9394344857224</v>
      </c>
      <c r="N130" s="559">
        <f t="shared" si="59"/>
        <v>3022.1373146927226</v>
      </c>
      <c r="O130" s="559">
        <f t="shared" si="59"/>
        <v>3127.9121207069679</v>
      </c>
      <c r="P130" s="560">
        <f t="shared" si="59"/>
        <v>3237.3890449317119</v>
      </c>
      <c r="Q130" s="519"/>
    </row>
    <row r="131" spans="2:17" x14ac:dyDescent="0.25">
      <c r="B131" s="520"/>
      <c r="C131" s="554" t="s">
        <v>438</v>
      </c>
      <c r="D131" s="555"/>
      <c r="E131" s="556"/>
      <c r="F131" s="555"/>
      <c r="G131" s="555"/>
      <c r="H131" s="556"/>
      <c r="I131" s="558">
        <f t="shared" si="56"/>
        <v>31806.981569164345</v>
      </c>
      <c r="J131" s="559">
        <f t="shared" si="57"/>
        <v>32920.225924085098</v>
      </c>
      <c r="K131" s="559">
        <f t="shared" si="59"/>
        <v>34072.433831428076</v>
      </c>
      <c r="L131" s="559">
        <f t="shared" si="59"/>
        <v>35264.969015528055</v>
      </c>
      <c r="M131" s="559">
        <f t="shared" si="59"/>
        <v>36499.242931071538</v>
      </c>
      <c r="N131" s="559">
        <f t="shared" si="59"/>
        <v>37776.716433659043</v>
      </c>
      <c r="O131" s="559">
        <f t="shared" si="59"/>
        <v>39098.901508837109</v>
      </c>
      <c r="P131" s="560">
        <f t="shared" si="59"/>
        <v>40467.363061646407</v>
      </c>
      <c r="Q131" s="519"/>
    </row>
    <row r="132" spans="2:17" x14ac:dyDescent="0.25">
      <c r="B132" s="520"/>
      <c r="C132" s="554" t="s">
        <v>439</v>
      </c>
      <c r="D132" s="555"/>
      <c r="E132" s="556"/>
      <c r="F132" s="586"/>
      <c r="G132" s="586"/>
      <c r="H132" s="556"/>
      <c r="I132" s="558">
        <f t="shared" si="56"/>
        <v>40204.024703423733</v>
      </c>
      <c r="J132" s="559">
        <f t="shared" si="57"/>
        <v>41611.165568043565</v>
      </c>
      <c r="K132" s="559">
        <f t="shared" si="59"/>
        <v>43067.55636292509</v>
      </c>
      <c r="L132" s="559">
        <f t="shared" si="59"/>
        <v>44574.920835627468</v>
      </c>
      <c r="M132" s="559">
        <f t="shared" si="59"/>
        <v>46135.04306487443</v>
      </c>
      <c r="N132" s="559">
        <f t="shared" si="59"/>
        <v>47749.769572145036</v>
      </c>
      <c r="O132" s="559">
        <f t="shared" si="59"/>
        <v>49421.011507170115</v>
      </c>
      <c r="P132" s="560">
        <f t="shared" si="59"/>
        <v>51150.746909921072</v>
      </c>
      <c r="Q132" s="519"/>
    </row>
    <row r="133" spans="2:17" x14ac:dyDescent="0.25">
      <c r="B133" s="520"/>
      <c r="C133" s="554" t="s">
        <v>440</v>
      </c>
      <c r="D133" s="555"/>
      <c r="E133" s="556"/>
      <c r="F133" s="555"/>
      <c r="G133" s="555"/>
      <c r="H133" s="556"/>
      <c r="I133" s="558">
        <f t="shared" si="56"/>
        <v>42430.513413265246</v>
      </c>
      <c r="J133" s="559">
        <f t="shared" si="57"/>
        <v>43915.581382729528</v>
      </c>
      <c r="K133" s="559">
        <f t="shared" si="59"/>
        <v>45452.626731125063</v>
      </c>
      <c r="L133" s="559">
        <f t="shared" si="59"/>
        <v>47043.468666714441</v>
      </c>
      <c r="M133" s="559">
        <f t="shared" si="59"/>
        <v>48689.990070049447</v>
      </c>
      <c r="N133" s="559">
        <f t="shared" si="59"/>
        <v>50394.139722501175</v>
      </c>
      <c r="O133" s="559">
        <f t="shared" si="59"/>
        <v>52157.934612788718</v>
      </c>
      <c r="P133" s="560">
        <f t="shared" si="59"/>
        <v>53983.462324236323</v>
      </c>
      <c r="Q133" s="519"/>
    </row>
    <row r="134" spans="2:17" x14ac:dyDescent="0.25">
      <c r="B134" s="520"/>
      <c r="C134" s="554" t="s">
        <v>441</v>
      </c>
      <c r="D134" s="556"/>
      <c r="E134" s="555"/>
      <c r="F134" s="585"/>
      <c r="G134" s="585"/>
      <c r="H134" s="556"/>
      <c r="I134" s="558">
        <f t="shared" si="56"/>
        <v>0</v>
      </c>
      <c r="J134" s="559">
        <f t="shared" si="57"/>
        <v>0</v>
      </c>
      <c r="K134" s="559">
        <f t="shared" si="59"/>
        <v>0</v>
      </c>
      <c r="L134" s="559">
        <f t="shared" si="59"/>
        <v>0</v>
      </c>
      <c r="M134" s="559">
        <f t="shared" si="59"/>
        <v>0</v>
      </c>
      <c r="N134" s="559">
        <f t="shared" si="59"/>
        <v>0</v>
      </c>
      <c r="O134" s="559">
        <f t="shared" si="59"/>
        <v>0</v>
      </c>
      <c r="P134" s="560">
        <f t="shared" si="59"/>
        <v>0</v>
      </c>
      <c r="Q134" s="519"/>
    </row>
    <row r="135" spans="2:17" x14ac:dyDescent="0.25">
      <c r="B135" s="520"/>
      <c r="C135" s="554" t="s">
        <v>442</v>
      </c>
      <c r="D135" s="555"/>
      <c r="E135" s="556"/>
      <c r="F135" s="555"/>
      <c r="G135" s="555"/>
      <c r="H135" s="556"/>
      <c r="I135" s="558">
        <f t="shared" si="56"/>
        <v>39644.221827806432</v>
      </c>
      <c r="J135" s="559">
        <f t="shared" si="57"/>
        <v>41031.769591779659</v>
      </c>
      <c r="K135" s="559">
        <f t="shared" si="59"/>
        <v>42467.881527491947</v>
      </c>
      <c r="L135" s="559">
        <f t="shared" si="59"/>
        <v>43954.257380954165</v>
      </c>
      <c r="M135" s="559">
        <f t="shared" si="59"/>
        <v>45492.656389287564</v>
      </c>
      <c r="N135" s="559">
        <f t="shared" si="59"/>
        <v>47084.899362912627</v>
      </c>
      <c r="O135" s="559">
        <f t="shared" si="59"/>
        <v>48732.870840614567</v>
      </c>
      <c r="P135" s="560">
        <f t="shared" si="59"/>
        <v>50438.521320036074</v>
      </c>
      <c r="Q135" s="519"/>
    </row>
    <row r="136" spans="2:17" x14ac:dyDescent="0.25">
      <c r="B136" s="520"/>
      <c r="C136" s="554" t="s">
        <v>443</v>
      </c>
      <c r="D136" s="556"/>
      <c r="E136" s="556"/>
      <c r="F136" s="556"/>
      <c r="G136" s="556"/>
      <c r="H136" s="556"/>
      <c r="I136" s="558">
        <f t="shared" si="56"/>
        <v>10178.234102132588</v>
      </c>
      <c r="J136" s="559">
        <f t="shared" si="57"/>
        <v>10534.472295707228</v>
      </c>
      <c r="K136" s="559">
        <f t="shared" si="59"/>
        <v>10903.178826056981</v>
      </c>
      <c r="L136" s="559">
        <f t="shared" si="59"/>
        <v>11284.790084968976</v>
      </c>
      <c r="M136" s="559">
        <f t="shared" si="59"/>
        <v>11679.757737942889</v>
      </c>
      <c r="N136" s="559">
        <f t="shared" si="59"/>
        <v>12088.54925877089</v>
      </c>
      <c r="O136" s="559">
        <f t="shared" si="59"/>
        <v>12511.648482827872</v>
      </c>
      <c r="P136" s="560">
        <f t="shared" si="59"/>
        <v>12949.556179726847</v>
      </c>
      <c r="Q136" s="519"/>
    </row>
    <row r="137" spans="2:17" x14ac:dyDescent="0.25">
      <c r="B137" s="520"/>
      <c r="C137" s="554" t="s">
        <v>444</v>
      </c>
      <c r="D137" s="555"/>
      <c r="E137" s="556"/>
      <c r="F137" s="555"/>
      <c r="G137" s="555"/>
      <c r="H137" s="556"/>
      <c r="I137" s="558">
        <f t="shared" si="56"/>
        <v>148220.53411230582</v>
      </c>
      <c r="J137" s="559">
        <f t="shared" si="57"/>
        <v>153408.25280623653</v>
      </c>
      <c r="K137" s="559">
        <f t="shared" si="59"/>
        <v>158777.54165445481</v>
      </c>
      <c r="L137" s="559">
        <f t="shared" si="59"/>
        <v>164334.75561236072</v>
      </c>
      <c r="M137" s="559">
        <f t="shared" si="59"/>
        <v>170086.47205879336</v>
      </c>
      <c r="N137" s="559">
        <f t="shared" si="59"/>
        <v>176039.49858085113</v>
      </c>
      <c r="O137" s="559">
        <f t="shared" si="59"/>
        <v>182200.88103118091</v>
      </c>
      <c r="P137" s="560">
        <f t="shared" si="59"/>
        <v>188577.91186727223</v>
      </c>
      <c r="Q137" s="519"/>
    </row>
    <row r="138" spans="2:17" x14ac:dyDescent="0.25">
      <c r="B138" s="520"/>
      <c r="C138" s="554" t="s">
        <v>445</v>
      </c>
      <c r="D138" s="556"/>
      <c r="E138" s="556"/>
      <c r="F138" s="556"/>
      <c r="G138" s="556"/>
      <c r="H138" s="556"/>
      <c r="I138" s="558">
        <f t="shared" si="56"/>
        <v>15267.351153198888</v>
      </c>
      <c r="J138" s="559">
        <f t="shared" si="57"/>
        <v>15801.708443560849</v>
      </c>
      <c r="K138" s="559">
        <f t="shared" ref="K138:P147" si="60">J138+(J138*$F57)</f>
        <v>16354.768239085479</v>
      </c>
      <c r="L138" s="559">
        <f t="shared" si="60"/>
        <v>16927.185127453471</v>
      </c>
      <c r="M138" s="559">
        <f t="shared" si="60"/>
        <v>17519.636606914344</v>
      </c>
      <c r="N138" s="559">
        <f t="shared" si="60"/>
        <v>18132.823888156345</v>
      </c>
      <c r="O138" s="559">
        <f t="shared" si="60"/>
        <v>18767.472724241816</v>
      </c>
      <c r="P138" s="560">
        <f t="shared" si="60"/>
        <v>19424.334269590279</v>
      </c>
      <c r="Q138" s="519"/>
    </row>
    <row r="139" spans="2:17" x14ac:dyDescent="0.25">
      <c r="B139" s="520"/>
      <c r="C139" s="554" t="s">
        <v>446</v>
      </c>
      <c r="D139" s="556"/>
      <c r="E139" s="556"/>
      <c r="F139" s="556"/>
      <c r="G139" s="556"/>
      <c r="H139" s="556"/>
      <c r="I139" s="558">
        <f t="shared" si="56"/>
        <v>10814.373733515878</v>
      </c>
      <c r="J139" s="559">
        <f t="shared" si="57"/>
        <v>11192.876814188934</v>
      </c>
      <c r="K139" s="559">
        <f t="shared" si="60"/>
        <v>11584.627502685547</v>
      </c>
      <c r="L139" s="559">
        <f t="shared" si="60"/>
        <v>11990.089465279541</v>
      </c>
      <c r="M139" s="559">
        <f t="shared" si="60"/>
        <v>12409.742596564325</v>
      </c>
      <c r="N139" s="559">
        <f t="shared" si="60"/>
        <v>12844.083587444076</v>
      </c>
      <c r="O139" s="559">
        <f t="shared" si="60"/>
        <v>13293.626513004619</v>
      </c>
      <c r="P139" s="560">
        <f t="shared" si="60"/>
        <v>13758.903440959781</v>
      </c>
      <c r="Q139" s="519"/>
    </row>
    <row r="140" spans="2:17" x14ac:dyDescent="0.25">
      <c r="B140" s="520"/>
      <c r="C140" s="554" t="s">
        <v>447</v>
      </c>
      <c r="D140" s="556"/>
      <c r="E140" s="556"/>
      <c r="F140" s="556"/>
      <c r="G140" s="556"/>
      <c r="H140" s="556"/>
      <c r="I140" s="558">
        <f t="shared" si="56"/>
        <v>3816.837788299722</v>
      </c>
      <c r="J140" s="559">
        <f t="shared" si="57"/>
        <v>3950.4271108902121</v>
      </c>
      <c r="K140" s="559">
        <f t="shared" si="60"/>
        <v>4088.6920597713697</v>
      </c>
      <c r="L140" s="559">
        <f t="shared" si="60"/>
        <v>4231.7962818633678</v>
      </c>
      <c r="M140" s="559">
        <f t="shared" si="60"/>
        <v>4379.909151728586</v>
      </c>
      <c r="N140" s="559">
        <f t="shared" si="60"/>
        <v>4533.2059720390862</v>
      </c>
      <c r="O140" s="559">
        <f t="shared" si="60"/>
        <v>4691.8681810604539</v>
      </c>
      <c r="P140" s="560">
        <f t="shared" si="60"/>
        <v>4856.0835673975698</v>
      </c>
      <c r="Q140" s="519"/>
    </row>
    <row r="141" spans="2:17" x14ac:dyDescent="0.25">
      <c r="B141" s="520"/>
      <c r="C141" s="554" t="s">
        <v>448</v>
      </c>
      <c r="D141" s="556"/>
      <c r="E141" s="556"/>
      <c r="F141" s="556"/>
      <c r="G141" s="556"/>
      <c r="H141" s="556"/>
      <c r="I141" s="558">
        <f t="shared" si="56"/>
        <v>23664.394287458268</v>
      </c>
      <c r="J141" s="559">
        <f t="shared" si="57"/>
        <v>24492.648087519308</v>
      </c>
      <c r="K141" s="559">
        <f t="shared" si="60"/>
        <v>25349.890770582486</v>
      </c>
      <c r="L141" s="559">
        <f t="shared" si="60"/>
        <v>26237.136947552874</v>
      </c>
      <c r="M141" s="559">
        <f t="shared" si="60"/>
        <v>27155.436740717225</v>
      </c>
      <c r="N141" s="559">
        <f t="shared" si="60"/>
        <v>28105.877026642327</v>
      </c>
      <c r="O141" s="559">
        <f t="shared" si="60"/>
        <v>29089.582722574807</v>
      </c>
      <c r="P141" s="560">
        <f t="shared" si="60"/>
        <v>30107.718117864926</v>
      </c>
      <c r="Q141" s="519"/>
    </row>
    <row r="142" spans="2:17" x14ac:dyDescent="0.25">
      <c r="B142" s="520"/>
      <c r="C142" s="554" t="s">
        <v>449</v>
      </c>
      <c r="D142" s="555"/>
      <c r="E142" s="556"/>
      <c r="F142" s="555"/>
      <c r="G142" s="555"/>
      <c r="H142" s="556"/>
      <c r="I142" s="558">
        <f t="shared" si="56"/>
        <v>95420.944707493021</v>
      </c>
      <c r="J142" s="559">
        <f t="shared" si="57"/>
        <v>98760.67777225528</v>
      </c>
      <c r="K142" s="559">
        <f t="shared" si="60"/>
        <v>102217.30149428421</v>
      </c>
      <c r="L142" s="559">
        <f t="shared" si="60"/>
        <v>105794.90704658417</v>
      </c>
      <c r="M142" s="559">
        <f t="shared" si="60"/>
        <v>109497.72879321461</v>
      </c>
      <c r="N142" s="559">
        <f t="shared" si="60"/>
        <v>113330.14930097712</v>
      </c>
      <c r="O142" s="559">
        <f t="shared" si="60"/>
        <v>117296.70452651133</v>
      </c>
      <c r="P142" s="560">
        <f t="shared" si="60"/>
        <v>121402.08918493922</v>
      </c>
      <c r="Q142" s="519"/>
    </row>
    <row r="143" spans="2:17" x14ac:dyDescent="0.25">
      <c r="B143" s="520"/>
      <c r="C143" s="554" t="s">
        <v>450</v>
      </c>
      <c r="D143" s="555"/>
      <c r="E143" s="556"/>
      <c r="F143" s="555"/>
      <c r="G143" s="555"/>
      <c r="H143" s="556"/>
      <c r="I143" s="558">
        <f t="shared" si="56"/>
        <v>57252.566824495821</v>
      </c>
      <c r="J143" s="559">
        <f t="shared" si="57"/>
        <v>59256.406663353177</v>
      </c>
      <c r="K143" s="559">
        <f t="shared" si="60"/>
        <v>61330.380896570539</v>
      </c>
      <c r="L143" s="559">
        <f t="shared" si="60"/>
        <v>63476.944227950509</v>
      </c>
      <c r="M143" s="559">
        <f t="shared" si="60"/>
        <v>65698.637275928777</v>
      </c>
      <c r="N143" s="559">
        <f t="shared" si="60"/>
        <v>67998.089580586282</v>
      </c>
      <c r="O143" s="559">
        <f t="shared" si="60"/>
        <v>70378.022715906802</v>
      </c>
      <c r="P143" s="560">
        <f t="shared" si="60"/>
        <v>72841.253510963536</v>
      </c>
      <c r="Q143" s="519"/>
    </row>
    <row r="144" spans="2:17" x14ac:dyDescent="0.25">
      <c r="B144" s="520"/>
      <c r="C144" s="554" t="s">
        <v>451</v>
      </c>
      <c r="D144" s="555"/>
      <c r="E144" s="556"/>
      <c r="F144" s="555"/>
      <c r="G144" s="555"/>
      <c r="H144" s="556"/>
      <c r="I144" s="558">
        <f t="shared" si="56"/>
        <v>25445.585255331473</v>
      </c>
      <c r="J144" s="559">
        <f t="shared" si="57"/>
        <v>26336.180739268075</v>
      </c>
      <c r="K144" s="559">
        <f t="shared" si="60"/>
        <v>27257.947065142456</v>
      </c>
      <c r="L144" s="559">
        <f t="shared" si="60"/>
        <v>28211.975212422443</v>
      </c>
      <c r="M144" s="559">
        <f t="shared" si="60"/>
        <v>29199.394344857228</v>
      </c>
      <c r="N144" s="559">
        <f t="shared" si="60"/>
        <v>30221.373146927232</v>
      </c>
      <c r="O144" s="559">
        <f t="shared" si="60"/>
        <v>31279.121207069686</v>
      </c>
      <c r="P144" s="560">
        <f t="shared" si="60"/>
        <v>32373.890449317125</v>
      </c>
      <c r="Q144" s="519"/>
    </row>
    <row r="145" spans="2:17" x14ac:dyDescent="0.25">
      <c r="B145" s="520"/>
      <c r="C145" s="554" t="s">
        <v>452</v>
      </c>
      <c r="D145" s="556"/>
      <c r="E145" s="556"/>
      <c r="F145" s="556"/>
      <c r="G145" s="556"/>
      <c r="H145" s="556"/>
      <c r="I145" s="558">
        <f t="shared" si="56"/>
        <v>12722.792627665736</v>
      </c>
      <c r="J145" s="559">
        <f t="shared" si="57"/>
        <v>13168.090369634037</v>
      </c>
      <c r="K145" s="559">
        <f t="shared" si="60"/>
        <v>13628.973532571228</v>
      </c>
      <c r="L145" s="559">
        <f t="shared" si="60"/>
        <v>14105.987606211222</v>
      </c>
      <c r="M145" s="559">
        <f t="shared" si="60"/>
        <v>14599.697172428614</v>
      </c>
      <c r="N145" s="559">
        <f t="shared" si="60"/>
        <v>15110.686573463616</v>
      </c>
      <c r="O145" s="559">
        <f t="shared" si="60"/>
        <v>15639.560603534843</v>
      </c>
      <c r="P145" s="560">
        <f t="shared" si="60"/>
        <v>16186.945224658562</v>
      </c>
      <c r="Q145" s="519"/>
    </row>
    <row r="146" spans="2:17" x14ac:dyDescent="0.25">
      <c r="B146" s="520"/>
      <c r="C146" s="554" t="s">
        <v>453</v>
      </c>
      <c r="D146" s="556"/>
      <c r="E146" s="556"/>
      <c r="F146" s="556"/>
      <c r="G146" s="556"/>
      <c r="H146" s="556"/>
      <c r="I146" s="558">
        <f t="shared" si="56"/>
        <v>0</v>
      </c>
      <c r="J146" s="559">
        <f t="shared" si="57"/>
        <v>0</v>
      </c>
      <c r="K146" s="559">
        <f t="shared" si="60"/>
        <v>0</v>
      </c>
      <c r="L146" s="559">
        <f t="shared" si="60"/>
        <v>0</v>
      </c>
      <c r="M146" s="559">
        <f t="shared" si="60"/>
        <v>0</v>
      </c>
      <c r="N146" s="559">
        <f t="shared" si="60"/>
        <v>0</v>
      </c>
      <c r="O146" s="559">
        <f t="shared" si="60"/>
        <v>0</v>
      </c>
      <c r="P146" s="560">
        <f t="shared" si="60"/>
        <v>0</v>
      </c>
      <c r="Q146" s="519"/>
    </row>
    <row r="147" spans="2:17" x14ac:dyDescent="0.25">
      <c r="B147" s="520"/>
      <c r="C147" s="563" t="s">
        <v>249</v>
      </c>
      <c r="D147" s="564"/>
      <c r="E147" s="565"/>
      <c r="F147" s="587"/>
      <c r="G147" s="587"/>
      <c r="H147" s="565"/>
      <c r="I147" s="566">
        <f t="shared" si="56"/>
        <v>35206.511759276633</v>
      </c>
      <c r="J147" s="567">
        <f t="shared" si="57"/>
        <v>36438.739670851312</v>
      </c>
      <c r="K147" s="567">
        <f t="shared" si="60"/>
        <v>37714.095559331108</v>
      </c>
      <c r="L147" s="567">
        <f t="shared" si="60"/>
        <v>39034.088903907694</v>
      </c>
      <c r="M147" s="567">
        <f t="shared" si="60"/>
        <v>40400.282015544464</v>
      </c>
      <c r="N147" s="567">
        <f t="shared" si="60"/>
        <v>41814.291886088518</v>
      </c>
      <c r="O147" s="567">
        <f t="shared" si="60"/>
        <v>43277.792102101615</v>
      </c>
      <c r="P147" s="568">
        <f t="shared" si="60"/>
        <v>44792.514825675171</v>
      </c>
      <c r="Q147" s="519"/>
    </row>
    <row r="148" spans="2:17" x14ac:dyDescent="0.25">
      <c r="B148" s="520"/>
      <c r="C148" s="477" t="s">
        <v>454</v>
      </c>
      <c r="D148" s="535"/>
      <c r="E148" s="518"/>
      <c r="F148" s="536"/>
      <c r="G148" s="536"/>
      <c r="H148" s="518"/>
      <c r="I148" s="471">
        <f>SUM(I127:I147)</f>
        <v>885484.07655285159</v>
      </c>
      <c r="J148" s="472">
        <f t="shared" ref="J148:O148" si="61">SUM(J127:J147)</f>
        <v>916476.01923220139</v>
      </c>
      <c r="K148" s="472">
        <f t="shared" si="61"/>
        <v>948552.67990532843</v>
      </c>
      <c r="L148" s="472">
        <f t="shared" si="61"/>
        <v>981752.02370201505</v>
      </c>
      <c r="M148" s="472">
        <f t="shared" si="61"/>
        <v>1016113.3445315856</v>
      </c>
      <c r="N148" s="472">
        <f t="shared" si="61"/>
        <v>1051677.311590191</v>
      </c>
      <c r="O148" s="472">
        <f t="shared" si="61"/>
        <v>1088486.0174958478</v>
      </c>
      <c r="P148" s="510">
        <f>SUM(P127:P147)</f>
        <v>1126583.0281082024</v>
      </c>
      <c r="Q148" s="519"/>
    </row>
    <row r="149" spans="2:17" ht="7.5" customHeight="1" x14ac:dyDescent="0.25">
      <c r="B149" s="520"/>
      <c r="C149" s="477"/>
      <c r="D149" s="535"/>
      <c r="E149" s="518"/>
      <c r="F149" s="536"/>
      <c r="G149" s="536"/>
      <c r="H149" s="518"/>
      <c r="I149" s="474"/>
      <c r="J149" s="475"/>
      <c r="K149" s="475"/>
      <c r="L149" s="475"/>
      <c r="M149" s="475"/>
      <c r="N149" s="475"/>
      <c r="O149" s="475"/>
      <c r="P149" s="476"/>
      <c r="Q149" s="519"/>
    </row>
    <row r="150" spans="2:17" x14ac:dyDescent="0.25">
      <c r="B150" s="520"/>
      <c r="C150" s="588" t="s">
        <v>455</v>
      </c>
      <c r="D150" s="535"/>
      <c r="E150" s="518"/>
      <c r="F150" s="535"/>
      <c r="G150" s="535"/>
      <c r="H150" s="518"/>
      <c r="I150" s="558">
        <f>P69+($F69*P69)</f>
        <v>51209.240326354593</v>
      </c>
      <c r="J150" s="559">
        <f t="shared" ref="J150:P150" si="62">I150+(I150*$F69)</f>
        <v>53001.563737777004</v>
      </c>
      <c r="K150" s="559">
        <f t="shared" si="62"/>
        <v>54856.618468599198</v>
      </c>
      <c r="L150" s="559">
        <f t="shared" si="62"/>
        <v>56776.600115000168</v>
      </c>
      <c r="M150" s="559">
        <f t="shared" si="62"/>
        <v>58763.781119025174</v>
      </c>
      <c r="N150" s="559">
        <f t="shared" si="62"/>
        <v>60820.513458191053</v>
      </c>
      <c r="O150" s="559">
        <f t="shared" si="62"/>
        <v>62949.231429227744</v>
      </c>
      <c r="P150" s="560">
        <f t="shared" si="62"/>
        <v>65152.454529250717</v>
      </c>
      <c r="Q150" s="519"/>
    </row>
    <row r="151" spans="2:17" x14ac:dyDescent="0.25">
      <c r="B151" s="520"/>
      <c r="C151" s="572" t="s">
        <v>456</v>
      </c>
      <c r="D151" s="564"/>
      <c r="E151" s="565"/>
      <c r="F151" s="564"/>
      <c r="G151" s="564"/>
      <c r="H151" s="565"/>
      <c r="I151" s="566">
        <f>P70+($F70*P70)</f>
        <v>0</v>
      </c>
      <c r="J151" s="567">
        <f t="shared" ref="J151:P151" si="63">I151+(I151*$F70)</f>
        <v>0</v>
      </c>
      <c r="K151" s="567">
        <f t="shared" si="63"/>
        <v>0</v>
      </c>
      <c r="L151" s="567">
        <f t="shared" si="63"/>
        <v>0</v>
      </c>
      <c r="M151" s="567">
        <f t="shared" si="63"/>
        <v>0</v>
      </c>
      <c r="N151" s="567">
        <f t="shared" si="63"/>
        <v>0</v>
      </c>
      <c r="O151" s="567">
        <f t="shared" si="63"/>
        <v>0</v>
      </c>
      <c r="P151" s="568">
        <f t="shared" si="63"/>
        <v>0</v>
      </c>
      <c r="Q151" s="519"/>
    </row>
    <row r="152" spans="2:17" x14ac:dyDescent="0.25">
      <c r="B152" s="520"/>
      <c r="C152" s="477" t="s">
        <v>457</v>
      </c>
      <c r="D152" s="535"/>
      <c r="E152" s="535"/>
      <c r="F152" s="535"/>
      <c r="G152" s="535"/>
      <c r="H152" s="518"/>
      <c r="I152" s="471">
        <f>SUM(I150:I151)</f>
        <v>51209.240326354593</v>
      </c>
      <c r="J152" s="472">
        <f t="shared" ref="J152:P152" si="64">SUM(J150:J151)</f>
        <v>53001.563737777004</v>
      </c>
      <c r="K152" s="472">
        <f t="shared" si="64"/>
        <v>54856.618468599198</v>
      </c>
      <c r="L152" s="472">
        <f t="shared" si="64"/>
        <v>56776.600115000168</v>
      </c>
      <c r="M152" s="472">
        <f t="shared" si="64"/>
        <v>58763.781119025174</v>
      </c>
      <c r="N152" s="472">
        <f t="shared" si="64"/>
        <v>60820.513458191053</v>
      </c>
      <c r="O152" s="472">
        <f t="shared" si="64"/>
        <v>62949.231429227744</v>
      </c>
      <c r="P152" s="473">
        <f t="shared" si="64"/>
        <v>65152.454529250717</v>
      </c>
      <c r="Q152" s="519"/>
    </row>
    <row r="153" spans="2:17" ht="7.5" customHeight="1" x14ac:dyDescent="0.25">
      <c r="B153" s="520"/>
      <c r="C153" s="477"/>
      <c r="D153" s="535"/>
      <c r="E153" s="535"/>
      <c r="F153" s="535"/>
      <c r="G153" s="535"/>
      <c r="H153" s="518"/>
      <c r="I153" s="474"/>
      <c r="J153" s="475"/>
      <c r="K153" s="475"/>
      <c r="L153" s="475"/>
      <c r="M153" s="475"/>
      <c r="N153" s="475"/>
      <c r="O153" s="475"/>
      <c r="P153" s="476"/>
      <c r="Q153" s="519"/>
    </row>
    <row r="154" spans="2:17" x14ac:dyDescent="0.25">
      <c r="B154" s="520"/>
      <c r="C154" s="477" t="s">
        <v>458</v>
      </c>
      <c r="D154" s="535"/>
      <c r="E154" s="340"/>
      <c r="F154" s="535"/>
      <c r="G154" s="535"/>
      <c r="H154" s="518"/>
      <c r="I154" s="589">
        <f t="shared" ref="I154" si="65">P73+($F73*P73)</f>
        <v>23439.595900659675</v>
      </c>
      <c r="J154" s="590">
        <f t="shared" ref="J154:P154" si="66">I154+(I154*$F73)</f>
        <v>24259.981757182763</v>
      </c>
      <c r="K154" s="590">
        <f t="shared" si="66"/>
        <v>25109.08111868416</v>
      </c>
      <c r="L154" s="590">
        <f t="shared" si="66"/>
        <v>25987.898957838104</v>
      </c>
      <c r="M154" s="590">
        <f t="shared" si="66"/>
        <v>26897.475421362436</v>
      </c>
      <c r="N154" s="590">
        <f t="shared" si="66"/>
        <v>27838.887061110123</v>
      </c>
      <c r="O154" s="590">
        <f t="shared" si="66"/>
        <v>28813.248108248976</v>
      </c>
      <c r="P154" s="591">
        <f t="shared" si="66"/>
        <v>29821.711792037691</v>
      </c>
      <c r="Q154" s="519"/>
    </row>
    <row r="155" spans="2:17" ht="7.5" customHeight="1" x14ac:dyDescent="0.25">
      <c r="B155" s="520"/>
      <c r="C155" s="477"/>
      <c r="D155" s="535"/>
      <c r="E155" s="340"/>
      <c r="F155" s="535"/>
      <c r="G155" s="535"/>
      <c r="H155" s="518"/>
      <c r="I155" s="474"/>
      <c r="J155" s="475"/>
      <c r="K155" s="475"/>
      <c r="L155" s="475"/>
      <c r="M155" s="475"/>
      <c r="N155" s="475"/>
      <c r="O155" s="475"/>
      <c r="P155" s="476"/>
      <c r="Q155" s="519"/>
    </row>
    <row r="156" spans="2:17" ht="15.75" thickBot="1" x14ac:dyDescent="0.3">
      <c r="B156" s="520"/>
      <c r="C156" s="576" t="s">
        <v>459</v>
      </c>
      <c r="D156" s="538"/>
      <c r="E156" s="538"/>
      <c r="F156" s="538"/>
      <c r="G156" s="538"/>
      <c r="H156" s="538"/>
      <c r="I156" s="1679">
        <f>P75+($F75*P75)</f>
        <v>0</v>
      </c>
      <c r="J156" s="1680">
        <f>I156+(I156*$F75)</f>
        <v>0</v>
      </c>
      <c r="K156" s="1680">
        <f t="shared" ref="K156:O156" si="67">J156+(J156*$F75)</f>
        <v>0</v>
      </c>
      <c r="L156" s="1680">
        <f t="shared" si="67"/>
        <v>0</v>
      </c>
      <c r="M156" s="1680">
        <f t="shared" si="67"/>
        <v>0</v>
      </c>
      <c r="N156" s="1680">
        <f t="shared" si="67"/>
        <v>0</v>
      </c>
      <c r="O156" s="1680">
        <f t="shared" si="67"/>
        <v>0</v>
      </c>
      <c r="P156" s="1681">
        <f>O156+(O156*$F75)</f>
        <v>0</v>
      </c>
      <c r="Q156" s="519"/>
    </row>
    <row r="157" spans="2:17" ht="16.5" thickTop="1" thickBot="1" x14ac:dyDescent="0.3">
      <c r="B157" s="520"/>
      <c r="C157" s="543" t="s">
        <v>460</v>
      </c>
      <c r="D157" s="535"/>
      <c r="E157" s="518"/>
      <c r="F157" s="535"/>
      <c r="G157" s="535"/>
      <c r="H157" s="578"/>
      <c r="I157" s="479">
        <f>I148+I152+I154+I156</f>
        <v>960132.9127798659</v>
      </c>
      <c r="J157" s="480">
        <f t="shared" ref="J157:P157" si="68">J148+J152+J154+J156</f>
        <v>993737.5647271612</v>
      </c>
      <c r="K157" s="480">
        <f t="shared" si="68"/>
        <v>1028518.3794926117</v>
      </c>
      <c r="L157" s="480">
        <f t="shared" si="68"/>
        <v>1064516.5227748533</v>
      </c>
      <c r="M157" s="480">
        <f t="shared" si="68"/>
        <v>1101774.6010719731</v>
      </c>
      <c r="N157" s="480">
        <f t="shared" si="68"/>
        <v>1140336.7121094922</v>
      </c>
      <c r="O157" s="480">
        <f t="shared" si="68"/>
        <v>1180248.4970333243</v>
      </c>
      <c r="P157" s="481">
        <f t="shared" si="68"/>
        <v>1221557.1944294907</v>
      </c>
      <c r="Q157" s="519"/>
    </row>
    <row r="158" spans="2:17" ht="7.5" customHeight="1" thickBot="1" x14ac:dyDescent="0.3">
      <c r="B158" s="520"/>
      <c r="C158" s="535"/>
      <c r="D158" s="535"/>
      <c r="E158" s="535"/>
      <c r="F158" s="535"/>
      <c r="G158" s="535"/>
      <c r="H158" s="535"/>
      <c r="I158" s="579"/>
      <c r="J158" s="579"/>
      <c r="K158" s="579"/>
      <c r="L158" s="579"/>
      <c r="M158" s="579"/>
      <c r="N158" s="579"/>
      <c r="O158" s="579"/>
      <c r="P158" s="579"/>
      <c r="Q158" s="519"/>
    </row>
    <row r="159" spans="2:17" ht="15.75" thickBot="1" x14ac:dyDescent="0.3">
      <c r="B159" s="520"/>
      <c r="C159" s="543" t="s">
        <v>461</v>
      </c>
      <c r="D159" s="535"/>
      <c r="E159" s="535"/>
      <c r="F159" s="535"/>
      <c r="G159" s="535"/>
      <c r="H159" s="535"/>
      <c r="I159" s="482">
        <f>I123-I157</f>
        <v>574980.98811679019</v>
      </c>
      <c r="J159" s="483">
        <f>J123-J157</f>
        <v>579913.28330540319</v>
      </c>
      <c r="K159" s="483">
        <f t="shared" ref="K159:P159" si="69">K123-K157</f>
        <v>584639.53728591383</v>
      </c>
      <c r="L159" s="483">
        <f t="shared" si="69"/>
        <v>589143.09441644931</v>
      </c>
      <c r="M159" s="483">
        <f t="shared" si="69"/>
        <v>593406.48045445979</v>
      </c>
      <c r="N159" s="483">
        <f t="shared" si="69"/>
        <v>597411.36802339996</v>
      </c>
      <c r="O159" s="483">
        <f t="shared" si="69"/>
        <v>601138.54072386748</v>
      </c>
      <c r="P159" s="484">
        <f t="shared" si="69"/>
        <v>604567.85583808692</v>
      </c>
      <c r="Q159" s="519"/>
    </row>
    <row r="160" spans="2:17" x14ac:dyDescent="0.25">
      <c r="B160" s="395"/>
      <c r="C160" s="355"/>
      <c r="D160" s="355"/>
      <c r="E160" s="355"/>
      <c r="F160" s="355"/>
      <c r="G160" s="355"/>
      <c r="H160" s="355"/>
      <c r="I160" s="355"/>
      <c r="J160" s="355"/>
      <c r="K160" s="355"/>
      <c r="L160" s="355"/>
      <c r="M160" s="355"/>
      <c r="N160" s="355"/>
      <c r="O160" s="355"/>
      <c r="P160" s="355"/>
      <c r="Q160" s="356"/>
    </row>
    <row r="161" spans="2:20" ht="15.75" thickBot="1" x14ac:dyDescent="0.3">
      <c r="B161" s="395"/>
      <c r="C161" s="2249" t="s">
        <v>462</v>
      </c>
      <c r="D161" s="2249"/>
      <c r="E161" s="2249"/>
      <c r="F161" s="485"/>
      <c r="G161" s="485"/>
      <c r="H161" s="485"/>
      <c r="I161" s="485"/>
      <c r="J161" s="485"/>
      <c r="K161" s="485"/>
      <c r="L161" s="485"/>
      <c r="M161" s="1356"/>
      <c r="N161" s="1356"/>
      <c r="O161" s="1356"/>
      <c r="P161" s="1356"/>
      <c r="Q161" s="356"/>
      <c r="S161" s="1878"/>
    </row>
    <row r="162" spans="2:20" ht="15.75" thickBot="1" x14ac:dyDescent="0.3">
      <c r="B162" s="395"/>
      <c r="C162" s="592" t="s">
        <v>463</v>
      </c>
      <c r="D162" s="527"/>
      <c r="E162" s="1213"/>
      <c r="F162" s="1213"/>
      <c r="G162" s="1213"/>
      <c r="H162" s="1213"/>
      <c r="I162" s="447" t="s">
        <v>473</v>
      </c>
      <c r="J162" s="511" t="s">
        <v>474</v>
      </c>
      <c r="K162" s="512" t="s">
        <v>475</v>
      </c>
      <c r="L162" s="512" t="s">
        <v>476</v>
      </c>
      <c r="M162" s="512" t="s">
        <v>477</v>
      </c>
      <c r="N162" s="512" t="s">
        <v>478</v>
      </c>
      <c r="O162" s="512" t="s">
        <v>479</v>
      </c>
      <c r="P162" s="513" t="s">
        <v>480</v>
      </c>
      <c r="Q162" s="356"/>
    </row>
    <row r="163" spans="2:20" x14ac:dyDescent="0.25">
      <c r="B163" s="395"/>
      <c r="C163" s="2250" t="str">
        <f>IF(C82="Lender 1","",C82)</f>
        <v>Senior Perm Loan</v>
      </c>
      <c r="D163" s="2251"/>
      <c r="E163" s="2251"/>
      <c r="F163" s="2251"/>
      <c r="G163" s="2251"/>
      <c r="H163" s="2252"/>
      <c r="I163" s="1682">
        <v>446574</v>
      </c>
      <c r="J163" s="1703">
        <f>I163</f>
        <v>446574</v>
      </c>
      <c r="K163" s="1703">
        <f t="shared" ref="K163:O163" si="70">J163</f>
        <v>446574</v>
      </c>
      <c r="L163" s="1703">
        <f t="shared" si="70"/>
        <v>446574</v>
      </c>
      <c r="M163" s="1703">
        <f t="shared" si="70"/>
        <v>446574</v>
      </c>
      <c r="N163" s="1703">
        <f t="shared" si="70"/>
        <v>446574</v>
      </c>
      <c r="O163" s="1703">
        <f t="shared" si="70"/>
        <v>446574</v>
      </c>
      <c r="P163" s="1704">
        <f>O163</f>
        <v>446574</v>
      </c>
      <c r="Q163" s="356"/>
    </row>
    <row r="164" spans="2:20" x14ac:dyDescent="0.25">
      <c r="B164" s="395"/>
      <c r="C164" s="2246" t="str">
        <f>IF(C83="Lender 2","",C83)</f>
        <v>Seattle OH</v>
      </c>
      <c r="D164" s="2247"/>
      <c r="E164" s="2247"/>
      <c r="F164" s="2247"/>
      <c r="G164" s="2247"/>
      <c r="H164" s="2248"/>
      <c r="I164" s="1685">
        <v>0</v>
      </c>
      <c r="J164" s="1705">
        <v>0</v>
      </c>
      <c r="K164" s="1705">
        <v>0</v>
      </c>
      <c r="L164" s="1705">
        <v>0</v>
      </c>
      <c r="M164" s="1705">
        <v>0</v>
      </c>
      <c r="N164" s="1705">
        <v>0</v>
      </c>
      <c r="O164" s="1705">
        <v>0</v>
      </c>
      <c r="P164" s="1706">
        <v>0</v>
      </c>
      <c r="Q164" s="356"/>
      <c r="S164" s="1878"/>
    </row>
    <row r="165" spans="2:20" ht="15.75" thickBot="1" x14ac:dyDescent="0.3">
      <c r="B165" s="395"/>
      <c r="C165" s="2243" t="s">
        <v>465</v>
      </c>
      <c r="D165" s="2244"/>
      <c r="E165" s="2244"/>
      <c r="F165" s="2244"/>
      <c r="G165" s="2244"/>
      <c r="H165" s="2245"/>
      <c r="I165" s="1688">
        <v>0</v>
      </c>
      <c r="J165" s="1707">
        <v>0</v>
      </c>
      <c r="K165" s="1707">
        <v>0</v>
      </c>
      <c r="L165" s="1707">
        <v>0</v>
      </c>
      <c r="M165" s="1707">
        <v>0</v>
      </c>
      <c r="N165" s="1707">
        <v>0</v>
      </c>
      <c r="O165" s="1707">
        <v>0</v>
      </c>
      <c r="P165" s="1708">
        <v>0</v>
      </c>
      <c r="Q165" s="356"/>
      <c r="S165" s="1878"/>
    </row>
    <row r="166" spans="2:20" ht="15.75" thickTop="1" x14ac:dyDescent="0.25">
      <c r="B166" s="395"/>
      <c r="C166" s="1213"/>
      <c r="D166" s="1213"/>
      <c r="E166" s="1357"/>
      <c r="F166" s="1358"/>
      <c r="G166" s="1358"/>
      <c r="H166" s="1359" t="s">
        <v>466</v>
      </c>
      <c r="I166" s="486">
        <f>SUM(I163:I165)</f>
        <v>446574</v>
      </c>
      <c r="J166" s="487">
        <f t="shared" ref="J166:P166" si="71">SUM(J163:J165)</f>
        <v>446574</v>
      </c>
      <c r="K166" s="487">
        <f t="shared" si="71"/>
        <v>446574</v>
      </c>
      <c r="L166" s="487">
        <f t="shared" si="71"/>
        <v>446574</v>
      </c>
      <c r="M166" s="487">
        <f t="shared" si="71"/>
        <v>446574</v>
      </c>
      <c r="N166" s="487">
        <f t="shared" si="71"/>
        <v>446574</v>
      </c>
      <c r="O166" s="487">
        <f t="shared" si="71"/>
        <v>446574</v>
      </c>
      <c r="P166" s="488">
        <f t="shared" si="71"/>
        <v>446574</v>
      </c>
      <c r="Q166" s="356"/>
      <c r="S166" s="1878"/>
      <c r="T166" s="1878"/>
    </row>
    <row r="167" spans="2:20" x14ac:dyDescent="0.25">
      <c r="B167" s="395"/>
      <c r="C167" s="1213"/>
      <c r="D167" s="1213"/>
      <c r="E167" s="1213"/>
      <c r="F167" s="793"/>
      <c r="G167" s="793"/>
      <c r="H167" s="793" t="s">
        <v>467</v>
      </c>
      <c r="I167" s="736">
        <f>IFERROR(I159/I166,"$0 ")</f>
        <v>1.2875379850076138</v>
      </c>
      <c r="J167" s="731">
        <f t="shared" ref="J167" si="72">IFERROR(J159/J166,"$0 ")</f>
        <v>1.2985827282945339</v>
      </c>
      <c r="K167" s="731">
        <f t="shared" ref="K167" si="73">IFERROR(K159/K166,"$0 ")</f>
        <v>1.3091660895751069</v>
      </c>
      <c r="L167" s="731">
        <f t="shared" ref="L167" si="74">IFERROR(L159/L166,"$0 ")</f>
        <v>1.3192507723612421</v>
      </c>
      <c r="M167" s="731">
        <f t="shared" ref="M167" si="75">IFERROR(M159/M166,"$0 ")</f>
        <v>1.3287976470964717</v>
      </c>
      <c r="N167" s="731">
        <f t="shared" ref="N167" si="76">IFERROR(N159/N166,"$0 ")</f>
        <v>1.3377656738265102</v>
      </c>
      <c r="O167" s="731">
        <f t="shared" ref="O167" si="77">IFERROR(O159/O166,"$0 ")</f>
        <v>1.3461118218343824</v>
      </c>
      <c r="P167" s="732">
        <f>IFERROR(P159/P166,"$0 ")</f>
        <v>1.3537909861256745</v>
      </c>
      <c r="Q167" s="356"/>
      <c r="S167" s="1879"/>
    </row>
    <row r="168" spans="2:20" ht="15.75" thickBot="1" x14ac:dyDescent="0.3">
      <c r="B168" s="395"/>
      <c r="C168" s="1213"/>
      <c r="D168" s="1213"/>
      <c r="E168" s="2234" t="s">
        <v>468</v>
      </c>
      <c r="F168" s="2234"/>
      <c r="G168" s="2234"/>
      <c r="H168" s="2239"/>
      <c r="I168" s="489">
        <f>I159-I166</f>
        <v>128406.98811679019</v>
      </c>
      <c r="J168" s="490">
        <f t="shared" ref="J168:P168" si="78">J159-J166</f>
        <v>133339.28330540319</v>
      </c>
      <c r="K168" s="490">
        <f t="shared" si="78"/>
        <v>138065.53728591383</v>
      </c>
      <c r="L168" s="490">
        <f t="shared" si="78"/>
        <v>142569.09441644931</v>
      </c>
      <c r="M168" s="490">
        <f t="shared" si="78"/>
        <v>146832.48045445979</v>
      </c>
      <c r="N168" s="490">
        <f t="shared" si="78"/>
        <v>150837.36802339996</v>
      </c>
      <c r="O168" s="490">
        <f t="shared" si="78"/>
        <v>154564.54072386748</v>
      </c>
      <c r="P168" s="491">
        <f t="shared" si="78"/>
        <v>157993.85583808692</v>
      </c>
      <c r="Q168" s="356"/>
      <c r="S168" s="1880"/>
    </row>
    <row r="169" spans="2:20" ht="15.75" thickBot="1" x14ac:dyDescent="0.3">
      <c r="B169" s="395"/>
      <c r="C169" s="1213"/>
      <c r="D169" s="1213"/>
      <c r="E169" s="1213"/>
      <c r="F169" s="1213"/>
      <c r="G169" s="1213"/>
      <c r="H169" s="1213"/>
      <c r="I169" s="1213"/>
      <c r="J169" s="1213"/>
      <c r="K169" s="1213"/>
      <c r="L169" s="1213"/>
      <c r="M169" s="1213"/>
      <c r="N169" s="1213"/>
      <c r="O169" s="1213"/>
      <c r="P169" s="1213"/>
      <c r="Q169" s="356"/>
    </row>
    <row r="170" spans="2:20" ht="15.75" thickBot="1" x14ac:dyDescent="0.3">
      <c r="B170" s="395"/>
      <c r="C170" s="592" t="s">
        <v>469</v>
      </c>
      <c r="D170" s="1213"/>
      <c r="E170" s="1213"/>
      <c r="F170" s="1213"/>
      <c r="G170" s="1213"/>
      <c r="H170" s="1213"/>
      <c r="I170" s="447" t="s">
        <v>473</v>
      </c>
      <c r="J170" s="511" t="s">
        <v>474</v>
      </c>
      <c r="K170" s="512" t="s">
        <v>475</v>
      </c>
      <c r="L170" s="512" t="s">
        <v>476</v>
      </c>
      <c r="M170" s="512" t="s">
        <v>477</v>
      </c>
      <c r="N170" s="512" t="s">
        <v>478</v>
      </c>
      <c r="O170" s="512" t="s">
        <v>479</v>
      </c>
      <c r="P170" s="513" t="s">
        <v>480</v>
      </c>
      <c r="Q170" s="356"/>
    </row>
    <row r="171" spans="2:20" x14ac:dyDescent="0.25">
      <c r="B171" s="395"/>
      <c r="C171" s="2255" t="str">
        <f>IF(C90="Lender 4","",C90)</f>
        <v>Deferred fee</v>
      </c>
      <c r="D171" s="2256"/>
      <c r="E171" s="2256"/>
      <c r="F171" s="2256"/>
      <c r="G171" s="2256"/>
      <c r="H171" s="2257"/>
      <c r="I171" s="1709">
        <f>I168</f>
        <v>128406.98811679019</v>
      </c>
      <c r="J171" s="1710">
        <f>J168</f>
        <v>133339.28330540319</v>
      </c>
      <c r="K171" s="1710">
        <f>K168</f>
        <v>138065.53728591383</v>
      </c>
      <c r="L171" s="1710">
        <f>142569</f>
        <v>142569</v>
      </c>
      <c r="M171" s="1710">
        <v>24264</v>
      </c>
      <c r="N171" s="1710">
        <v>0</v>
      </c>
      <c r="O171" s="1710">
        <v>0</v>
      </c>
      <c r="P171" s="1711">
        <v>0</v>
      </c>
      <c r="Q171" s="356"/>
    </row>
    <row r="172" spans="2:20" x14ac:dyDescent="0.25">
      <c r="B172" s="395"/>
      <c r="C172" s="2240">
        <f>IF(C91="Lender 5","",C91)</f>
        <v>0</v>
      </c>
      <c r="D172" s="2241"/>
      <c r="E172" s="2241"/>
      <c r="F172" s="2241"/>
      <c r="G172" s="2241"/>
      <c r="H172" s="2242"/>
      <c r="I172" s="1712">
        <v>0</v>
      </c>
      <c r="J172" s="1713">
        <v>0</v>
      </c>
      <c r="K172" s="1713">
        <v>0</v>
      </c>
      <c r="L172" s="1713">
        <v>0</v>
      </c>
      <c r="M172" s="1713">
        <v>0</v>
      </c>
      <c r="N172" s="1713">
        <v>0</v>
      </c>
      <c r="O172" s="1713">
        <v>0</v>
      </c>
      <c r="P172" s="1714">
        <v>0</v>
      </c>
      <c r="Q172" s="356"/>
    </row>
    <row r="173" spans="2:20" x14ac:dyDescent="0.25">
      <c r="B173" s="395"/>
      <c r="C173" s="2240">
        <f>IF(C92="Lender 6","",C92)</f>
        <v>0</v>
      </c>
      <c r="D173" s="2241"/>
      <c r="E173" s="2241"/>
      <c r="F173" s="2241"/>
      <c r="G173" s="2241"/>
      <c r="H173" s="2242"/>
      <c r="I173" s="1712">
        <v>0</v>
      </c>
      <c r="J173" s="1713">
        <v>0</v>
      </c>
      <c r="K173" s="1713">
        <v>0</v>
      </c>
      <c r="L173" s="1713">
        <v>0</v>
      </c>
      <c r="M173" s="1713">
        <v>0</v>
      </c>
      <c r="N173" s="1713">
        <v>0</v>
      </c>
      <c r="O173" s="1713">
        <v>0</v>
      </c>
      <c r="P173" s="1714">
        <v>0</v>
      </c>
      <c r="Q173" s="356"/>
    </row>
    <row r="174" spans="2:20" ht="15.75" thickBot="1" x14ac:dyDescent="0.3">
      <c r="B174" s="395"/>
      <c r="C174" s="2243" t="s">
        <v>465</v>
      </c>
      <c r="D174" s="2244"/>
      <c r="E174" s="2244"/>
      <c r="F174" s="2244"/>
      <c r="G174" s="2244"/>
      <c r="H174" s="2245"/>
      <c r="I174" s="1715">
        <v>0</v>
      </c>
      <c r="J174" s="1716">
        <v>0</v>
      </c>
      <c r="K174" s="1716">
        <v>0</v>
      </c>
      <c r="L174" s="1716">
        <v>0</v>
      </c>
      <c r="M174" s="1716">
        <v>0</v>
      </c>
      <c r="N174" s="1716">
        <v>0</v>
      </c>
      <c r="O174" s="1716">
        <v>0</v>
      </c>
      <c r="P174" s="1717">
        <v>0</v>
      </c>
      <c r="Q174" s="356"/>
    </row>
    <row r="175" spans="2:20" ht="16.5" thickTop="1" thickBot="1" x14ac:dyDescent="0.3">
      <c r="B175" s="395"/>
      <c r="C175" s="1371"/>
      <c r="D175" s="593"/>
      <c r="E175" s="2234" t="s">
        <v>470</v>
      </c>
      <c r="F175" s="2237"/>
      <c r="G175" s="2237"/>
      <c r="H175" s="2238"/>
      <c r="I175" s="492">
        <f>SUM(I171:I174)</f>
        <v>128406.98811679019</v>
      </c>
      <c r="J175" s="493">
        <f t="shared" ref="J175:P175" si="79">SUM(J171:J174)</f>
        <v>133339.28330540319</v>
      </c>
      <c r="K175" s="493">
        <f t="shared" si="79"/>
        <v>138065.53728591383</v>
      </c>
      <c r="L175" s="493">
        <f t="shared" si="79"/>
        <v>142569</v>
      </c>
      <c r="M175" s="493">
        <f t="shared" si="79"/>
        <v>24264</v>
      </c>
      <c r="N175" s="493">
        <f t="shared" si="79"/>
        <v>0</v>
      </c>
      <c r="O175" s="493">
        <f t="shared" si="79"/>
        <v>0</v>
      </c>
      <c r="P175" s="494">
        <f t="shared" si="79"/>
        <v>0</v>
      </c>
      <c r="Q175" s="356"/>
    </row>
    <row r="176" spans="2:20" ht="7.5" customHeight="1" thickBot="1" x14ac:dyDescent="0.3">
      <c r="B176" s="395"/>
      <c r="C176" s="355"/>
      <c r="D176" s="793"/>
      <c r="E176" s="1213"/>
      <c r="F176" s="1213"/>
      <c r="G176" s="1213"/>
      <c r="H176" s="1213"/>
      <c r="I176" s="1213"/>
      <c r="J176" s="1213"/>
      <c r="K176" s="1213"/>
      <c r="L176" s="1213"/>
      <c r="M176" s="1213"/>
      <c r="N176" s="1213"/>
      <c r="O176" s="1213"/>
      <c r="P176" s="1213"/>
      <c r="Q176" s="356"/>
    </row>
    <row r="177" spans="2:17" x14ac:dyDescent="0.25">
      <c r="B177" s="395"/>
      <c r="C177" s="355"/>
      <c r="D177" s="793"/>
      <c r="E177" s="2234" t="s">
        <v>471</v>
      </c>
      <c r="F177" s="2234"/>
      <c r="G177" s="2234"/>
      <c r="H177" s="2239"/>
      <c r="I177" s="733">
        <f>IFERROR(I159/(I166+I175),"$0 ")</f>
        <v>1</v>
      </c>
      <c r="J177" s="734">
        <f t="shared" ref="J177:P177" si="80">IFERROR(J159/(J166+J175),"$0 ")</f>
        <v>1</v>
      </c>
      <c r="K177" s="734">
        <f t="shared" si="80"/>
        <v>1</v>
      </c>
      <c r="L177" s="734">
        <f t="shared" si="80"/>
        <v>1.0000001602606656</v>
      </c>
      <c r="M177" s="734">
        <f t="shared" si="80"/>
        <v>1.2603198562020479</v>
      </c>
      <c r="N177" s="734">
        <f t="shared" si="80"/>
        <v>1.3377656738265102</v>
      </c>
      <c r="O177" s="734">
        <f t="shared" si="80"/>
        <v>1.3461118218343824</v>
      </c>
      <c r="P177" s="735">
        <f t="shared" si="80"/>
        <v>1.3537909861256745</v>
      </c>
      <c r="Q177" s="356"/>
    </row>
    <row r="178" spans="2:17" ht="15.75" thickBot="1" x14ac:dyDescent="0.3">
      <c r="B178" s="395"/>
      <c r="C178" s="810"/>
      <c r="D178" s="793"/>
      <c r="E178" s="2234" t="s">
        <v>472</v>
      </c>
      <c r="F178" s="2235"/>
      <c r="G178" s="2235"/>
      <c r="H178" s="2236"/>
      <c r="I178" s="1361">
        <f>I168-I175</f>
        <v>0</v>
      </c>
      <c r="J178" s="1363">
        <f t="shared" ref="J178:O178" si="81">J168-J175</f>
        <v>0</v>
      </c>
      <c r="K178" s="1363">
        <f t="shared" si="81"/>
        <v>0</v>
      </c>
      <c r="L178" s="1363">
        <f t="shared" si="81"/>
        <v>9.4416449312120676E-2</v>
      </c>
      <c r="M178" s="1363">
        <f t="shared" si="81"/>
        <v>122568.48045445979</v>
      </c>
      <c r="N178" s="1363">
        <f t="shared" si="81"/>
        <v>150837.36802339996</v>
      </c>
      <c r="O178" s="1363">
        <f t="shared" si="81"/>
        <v>154564.54072386748</v>
      </c>
      <c r="P178" s="1364">
        <f>P168-P175</f>
        <v>157993.85583808692</v>
      </c>
      <c r="Q178" s="356"/>
    </row>
    <row r="179" spans="2:17" ht="9" customHeight="1" thickBot="1" x14ac:dyDescent="0.3">
      <c r="B179" s="1372"/>
      <c r="C179" s="697"/>
      <c r="D179" s="697"/>
      <c r="E179" s="697"/>
      <c r="F179" s="697"/>
      <c r="G179" s="697"/>
      <c r="H179" s="697"/>
      <c r="I179" s="697"/>
      <c r="J179" s="697"/>
      <c r="K179" s="697"/>
      <c r="L179" s="697"/>
      <c r="M179" s="697"/>
      <c r="N179" s="697"/>
      <c r="O179" s="697"/>
      <c r="P179" s="697"/>
      <c r="Q179" s="1373"/>
    </row>
  </sheetData>
  <sheetProtection formatCells="0" formatColumns="0" formatRows="0"/>
  <mergeCells count="38">
    <mergeCell ref="D31:F31"/>
    <mergeCell ref="D32:F32"/>
    <mergeCell ref="C80:E80"/>
    <mergeCell ref="H81:I81"/>
    <mergeCell ref="H82:I82"/>
    <mergeCell ref="H83:I83"/>
    <mergeCell ref="C82:G82"/>
    <mergeCell ref="C83:G83"/>
    <mergeCell ref="H84:I84"/>
    <mergeCell ref="H89:I89"/>
    <mergeCell ref="C84:G84"/>
    <mergeCell ref="F87:I87"/>
    <mergeCell ref="H90:I90"/>
    <mergeCell ref="E177:H177"/>
    <mergeCell ref="H91:I91"/>
    <mergeCell ref="H93:I93"/>
    <mergeCell ref="F94:I94"/>
    <mergeCell ref="F96:I96"/>
    <mergeCell ref="H92:I92"/>
    <mergeCell ref="C90:G90"/>
    <mergeCell ref="C91:G91"/>
    <mergeCell ref="C92:G92"/>
    <mergeCell ref="C93:G93"/>
    <mergeCell ref="E178:H178"/>
    <mergeCell ref="E175:H175"/>
    <mergeCell ref="E168:H168"/>
    <mergeCell ref="F97:I97"/>
    <mergeCell ref="C173:H173"/>
    <mergeCell ref="C174:H174"/>
    <mergeCell ref="C164:H164"/>
    <mergeCell ref="C165:H165"/>
    <mergeCell ref="C161:E161"/>
    <mergeCell ref="C163:H163"/>
    <mergeCell ref="D112:F112"/>
    <mergeCell ref="D113:F113"/>
    <mergeCell ref="C171:H171"/>
    <mergeCell ref="C172:H172"/>
    <mergeCell ref="C100:P100"/>
  </mergeCells>
  <conditionalFormatting sqref="N21">
    <cfRule type="cellIs" dxfId="3" priority="2" operator="equal">
      <formula>"X"</formula>
    </cfRule>
  </conditionalFormatting>
  <conditionalFormatting sqref="M21">
    <cfRule type="expression" dxfId="2" priority="1">
      <formula>$N$21&lt;&gt;""</formula>
    </cfRule>
  </conditionalFormatting>
  <dataValidations count="1">
    <dataValidation type="list" allowBlank="1" showInputMessage="1" showErrorMessage="1" sqref="N21">
      <formula1>"X, 0"</formula1>
    </dataValidation>
  </dataValidations>
  <pageMargins left="0.7" right="0.7" top="0.75" bottom="0.75" header="0.3" footer="0.3"/>
  <pageSetup scale="59" fitToHeight="2" orientation="portrait" r:id="rId1"/>
  <headerFooter>
    <oddFooter>&amp;LForm 8E
Operating Pro Forma&amp;CCFA Forms&amp;REdition: 2015
Version: 1.1</oddFooter>
  </headerFooter>
  <rowBreaks count="1" manualBreakCount="1">
    <brk id="98" min="1" max="16"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7:S169"/>
  <sheetViews>
    <sheetView showGridLines="0" topLeftCell="A58" zoomScaleNormal="100" workbookViewId="0">
      <selection activeCell="H74" sqref="H74:I74"/>
    </sheetView>
  </sheetViews>
  <sheetFormatPr defaultRowHeight="15" x14ac:dyDescent="0.25"/>
  <cols>
    <col min="1" max="2" width="1.7109375" style="844" customWidth="1"/>
    <col min="3" max="3" width="14.28515625" style="844" customWidth="1"/>
    <col min="4" max="4" width="9.140625" style="844" customWidth="1"/>
    <col min="5" max="6" width="9.140625" style="844"/>
    <col min="7" max="7" width="1.42578125" style="844" customWidth="1"/>
    <col min="8" max="16" width="9.140625" style="844"/>
    <col min="17" max="17" width="1.7109375" style="844" customWidth="1"/>
    <col min="18" max="18" width="9.140625" style="844"/>
    <col min="19" max="19" width="12.5703125" style="844" bestFit="1" customWidth="1"/>
    <col min="20" max="16384" width="9.140625" style="844"/>
  </cols>
  <sheetData>
    <row r="7" spans="2:17" ht="15.75" thickBot="1" x14ac:dyDescent="0.3"/>
    <row r="8" spans="2:17" ht="9" customHeight="1" x14ac:dyDescent="0.25">
      <c r="B8" s="514"/>
      <c r="C8" s="515"/>
      <c r="D8" s="515"/>
      <c r="E8" s="515"/>
      <c r="F8" s="515"/>
      <c r="G8" s="515"/>
      <c r="H8" s="515"/>
      <c r="I8" s="515"/>
      <c r="J8" s="515"/>
      <c r="K8" s="515"/>
      <c r="L8" s="515"/>
      <c r="M8" s="515"/>
      <c r="N8" s="515"/>
      <c r="O8" s="515"/>
      <c r="P8" s="515"/>
      <c r="Q8" s="516"/>
    </row>
    <row r="9" spans="2:17" ht="18.75" x14ac:dyDescent="0.3">
      <c r="B9" s="517"/>
      <c r="C9" s="2030" t="s">
        <v>1354</v>
      </c>
      <c r="D9" s="2030"/>
      <c r="E9" s="2030"/>
      <c r="F9" s="2030"/>
      <c r="G9" s="2030"/>
      <c r="H9" s="2030"/>
      <c r="I9" s="2030"/>
      <c r="J9" s="2030"/>
      <c r="K9" s="2030"/>
      <c r="L9" s="2030"/>
      <c r="M9" s="2030"/>
      <c r="N9" s="2030"/>
      <c r="O9" s="2030"/>
      <c r="P9" s="2030"/>
      <c r="Q9" s="519"/>
    </row>
    <row r="10" spans="2:17" x14ac:dyDescent="0.25">
      <c r="B10" s="517"/>
      <c r="C10" s="518"/>
      <c r="D10" s="518"/>
      <c r="E10" s="518"/>
      <c r="F10" s="518"/>
      <c r="G10" s="518"/>
      <c r="H10" s="518"/>
      <c r="I10" s="518"/>
      <c r="J10" s="518"/>
      <c r="K10" s="518"/>
      <c r="L10" s="518"/>
      <c r="M10" s="518"/>
      <c r="N10" s="518"/>
      <c r="O10" s="518"/>
      <c r="P10" s="518"/>
      <c r="Q10" s="519"/>
    </row>
    <row r="11" spans="2:17" x14ac:dyDescent="0.25">
      <c r="B11" s="517"/>
      <c r="C11" s="1128" t="s">
        <v>63</v>
      </c>
      <c r="D11" s="1127" t="str">
        <f>IF('1A'!G5="","Enter Project Name on Form 1A",'1A'!G5)</f>
        <v>Liberty Bank Building</v>
      </c>
      <c r="E11" s="1127"/>
      <c r="F11" s="1127"/>
      <c r="G11" s="1127"/>
      <c r="H11" s="1127"/>
      <c r="I11" s="1127"/>
      <c r="J11" s="1127"/>
      <c r="K11" s="1213"/>
      <c r="L11" s="1213"/>
      <c r="M11" s="1213"/>
      <c r="N11" s="1128"/>
      <c r="O11" s="1128"/>
      <c r="P11" s="1128"/>
      <c r="Q11" s="519"/>
    </row>
    <row r="12" spans="2:17" ht="3.75" customHeight="1" x14ac:dyDescent="0.25">
      <c r="B12" s="517"/>
      <c r="C12" s="1128"/>
      <c r="D12" s="1128"/>
      <c r="E12" s="1128"/>
      <c r="F12" s="1128"/>
      <c r="G12" s="1128"/>
      <c r="H12" s="1128"/>
      <c r="I12" s="1128"/>
      <c r="J12" s="1213"/>
      <c r="K12" s="1213"/>
      <c r="L12" s="1213"/>
      <c r="M12" s="1213"/>
      <c r="N12" s="1128"/>
      <c r="O12" s="1128"/>
      <c r="P12" s="1128"/>
      <c r="Q12" s="519"/>
    </row>
    <row r="13" spans="2:17" x14ac:dyDescent="0.25">
      <c r="B13" s="520"/>
      <c r="C13" s="1128" t="s">
        <v>409</v>
      </c>
      <c r="D13" s="1375">
        <v>42261</v>
      </c>
      <c r="E13" s="521"/>
      <c r="F13" s="521"/>
      <c r="G13" s="521"/>
      <c r="H13" s="521"/>
      <c r="I13" s="521"/>
      <c r="J13" s="522"/>
      <c r="K13" s="522"/>
      <c r="L13" s="522"/>
      <c r="M13" s="522"/>
      <c r="N13" s="522"/>
      <c r="O13" s="523"/>
      <c r="P13" s="522"/>
      <c r="Q13" s="524"/>
    </row>
    <row r="14" spans="2:17" ht="7.5" customHeight="1" x14ac:dyDescent="0.25">
      <c r="B14" s="520"/>
      <c r="C14" s="525"/>
      <c r="D14" s="522"/>
      <c r="E14" s="521"/>
      <c r="F14" s="521"/>
      <c r="G14" s="521"/>
      <c r="H14" s="521"/>
      <c r="I14" s="521"/>
      <c r="J14" s="522"/>
      <c r="K14" s="522"/>
      <c r="L14" s="522"/>
      <c r="M14" s="522"/>
      <c r="N14" s="522"/>
      <c r="O14" s="523"/>
      <c r="P14" s="522"/>
      <c r="Q14" s="524"/>
    </row>
    <row r="15" spans="2:17" ht="15.75" thickBot="1" x14ac:dyDescent="0.3">
      <c r="B15" s="526"/>
      <c r="C15" s="595" t="s">
        <v>410</v>
      </c>
      <c r="D15" s="444"/>
      <c r="E15" s="445"/>
      <c r="F15" s="445"/>
      <c r="G15" s="445"/>
      <c r="H15" s="445"/>
      <c r="I15" s="445"/>
      <c r="J15" s="444"/>
      <c r="K15" s="444"/>
      <c r="L15" s="444"/>
      <c r="M15" s="444"/>
      <c r="N15" s="444"/>
      <c r="O15" s="446"/>
      <c r="P15" s="444"/>
      <c r="Q15" s="528"/>
    </row>
    <row r="16" spans="2:17" ht="15.75" thickBot="1" x14ac:dyDescent="0.3">
      <c r="B16" s="395"/>
      <c r="C16" s="1213"/>
      <c r="D16" s="518"/>
      <c r="E16" s="1213"/>
      <c r="F16" s="1213"/>
      <c r="G16" s="1213"/>
      <c r="H16" s="1213"/>
      <c r="I16" s="1213"/>
      <c r="J16" s="447" t="s">
        <v>411</v>
      </c>
      <c r="K16" s="448" t="s">
        <v>412</v>
      </c>
      <c r="L16" s="448" t="s">
        <v>413</v>
      </c>
      <c r="M16" s="448" t="s">
        <v>414</v>
      </c>
      <c r="N16" s="448" t="s">
        <v>415</v>
      </c>
      <c r="O16" s="448" t="s">
        <v>416</v>
      </c>
      <c r="P16" s="449" t="s">
        <v>417</v>
      </c>
      <c r="Q16" s="356"/>
    </row>
    <row r="17" spans="2:17" ht="15.75" thickBot="1" x14ac:dyDescent="0.3">
      <c r="B17" s="395"/>
      <c r="C17" s="527" t="s">
        <v>418</v>
      </c>
      <c r="D17" s="355"/>
      <c r="E17" s="1213"/>
      <c r="F17" s="1213"/>
      <c r="G17" s="1213"/>
      <c r="H17" s="450" t="s">
        <v>419</v>
      </c>
      <c r="I17" s="1213"/>
      <c r="J17" s="451"/>
      <c r="K17" s="452"/>
      <c r="L17" s="452"/>
      <c r="M17" s="452"/>
      <c r="N17" s="452"/>
      <c r="O17" s="452"/>
      <c r="P17" s="453"/>
      <c r="Q17" s="356"/>
    </row>
    <row r="18" spans="2:17" x14ac:dyDescent="0.25">
      <c r="B18" s="395"/>
      <c r="C18" s="529" t="s">
        <v>420</v>
      </c>
      <c r="D18" s="1330"/>
      <c r="E18" s="1330"/>
      <c r="F18" s="1330"/>
      <c r="G18" s="1331"/>
      <c r="H18" s="1663">
        <v>2.5000000000000001E-2</v>
      </c>
      <c r="I18" s="1332"/>
      <c r="J18" s="1810">
        <f>'8A'!L23</f>
        <v>1250652</v>
      </c>
      <c r="K18" s="530">
        <f>J18+(J18*$H18)</f>
        <v>1281918.3</v>
      </c>
      <c r="L18" s="530">
        <f t="shared" ref="L18:P18" si="0">K18+(K18*$H18)</f>
        <v>1313966.2575000001</v>
      </c>
      <c r="M18" s="530">
        <f t="shared" si="0"/>
        <v>1346815.4139375</v>
      </c>
      <c r="N18" s="530">
        <f t="shared" si="0"/>
        <v>1380485.7992859376</v>
      </c>
      <c r="O18" s="530">
        <f t="shared" si="0"/>
        <v>1414997.944268086</v>
      </c>
      <c r="P18" s="531">
        <f t="shared" si="0"/>
        <v>1450372.892874788</v>
      </c>
      <c r="Q18" s="356"/>
    </row>
    <row r="19" spans="2:17" ht="15.75" thickBot="1" x14ac:dyDescent="0.3">
      <c r="B19" s="395"/>
      <c r="C19" s="532" t="s">
        <v>366</v>
      </c>
      <c r="D19" s="533"/>
      <c r="E19" s="1333"/>
      <c r="F19" s="1333"/>
      <c r="G19" s="1334"/>
      <c r="H19" s="1377"/>
      <c r="I19" s="1335"/>
      <c r="J19" s="788"/>
      <c r="K19" s="1378"/>
      <c r="L19" s="1378"/>
      <c r="M19" s="1378"/>
      <c r="N19" s="1378"/>
      <c r="O19" s="1378"/>
      <c r="P19" s="1379"/>
      <c r="Q19" s="356"/>
    </row>
    <row r="20" spans="2:17" ht="15.75" thickBot="1" x14ac:dyDescent="0.3">
      <c r="B20" s="395"/>
      <c r="C20" s="532" t="s">
        <v>376</v>
      </c>
      <c r="D20" s="534"/>
      <c r="E20" s="1336"/>
      <c r="F20" s="1336"/>
      <c r="G20" s="355"/>
      <c r="H20" s="1337"/>
      <c r="I20" s="1334"/>
      <c r="J20" s="1811">
        <f>'8B'!H28</f>
        <v>0</v>
      </c>
      <c r="K20" s="530">
        <v>0</v>
      </c>
      <c r="L20" s="530">
        <v>0</v>
      </c>
      <c r="M20" s="530">
        <v>0</v>
      </c>
      <c r="N20" s="530">
        <v>0</v>
      </c>
      <c r="O20" s="530">
        <v>0</v>
      </c>
      <c r="P20" s="531">
        <v>0</v>
      </c>
      <c r="Q20" s="356"/>
    </row>
    <row r="21" spans="2:17" x14ac:dyDescent="0.25">
      <c r="B21" s="395"/>
      <c r="C21" s="532" t="s">
        <v>421</v>
      </c>
      <c r="D21" s="2276" t="s">
        <v>1529</v>
      </c>
      <c r="E21" s="2277"/>
      <c r="F21" s="2278"/>
      <c r="G21" s="355"/>
      <c r="H21" s="1663">
        <v>0.02</v>
      </c>
      <c r="I21" s="1335"/>
      <c r="J21" s="1666">
        <v>13800</v>
      </c>
      <c r="K21" s="530">
        <f>J21+(J21*$H21)</f>
        <v>14076</v>
      </c>
      <c r="L21" s="530">
        <f t="shared" ref="L21:O21" si="1">K21+(K21*$H21)</f>
        <v>14357.52</v>
      </c>
      <c r="M21" s="530">
        <f t="shared" si="1"/>
        <v>14644.670400000001</v>
      </c>
      <c r="N21" s="530">
        <f t="shared" si="1"/>
        <v>14937.563808000001</v>
      </c>
      <c r="O21" s="530">
        <f t="shared" si="1"/>
        <v>15236.31508416</v>
      </c>
      <c r="P21" s="531">
        <f>O21+(O21*$H21)</f>
        <v>15541.0413858432</v>
      </c>
      <c r="Q21" s="356"/>
    </row>
    <row r="22" spans="2:17" ht="15.75" thickBot="1" x14ac:dyDescent="0.3">
      <c r="B22" s="395"/>
      <c r="C22" s="532" t="s">
        <v>421</v>
      </c>
      <c r="D22" s="2276"/>
      <c r="E22" s="2277"/>
      <c r="F22" s="2278"/>
      <c r="G22" s="355"/>
      <c r="H22" s="1665">
        <v>0</v>
      </c>
      <c r="I22" s="1335"/>
      <c r="J22" s="1667">
        <v>0</v>
      </c>
      <c r="K22" s="530">
        <f t="shared" ref="K22:P22" si="2">J22+(J22*$H22)</f>
        <v>0</v>
      </c>
      <c r="L22" s="530">
        <f t="shared" si="2"/>
        <v>0</v>
      </c>
      <c r="M22" s="530">
        <f t="shared" si="2"/>
        <v>0</v>
      </c>
      <c r="N22" s="530">
        <f t="shared" si="2"/>
        <v>0</v>
      </c>
      <c r="O22" s="530">
        <f t="shared" si="2"/>
        <v>0</v>
      </c>
      <c r="P22" s="531">
        <f t="shared" si="2"/>
        <v>0</v>
      </c>
      <c r="Q22" s="356"/>
    </row>
    <row r="23" spans="2:17" x14ac:dyDescent="0.25">
      <c r="B23" s="395"/>
      <c r="C23" s="535" t="s">
        <v>422</v>
      </c>
      <c r="D23" s="1213"/>
      <c r="E23" s="1213"/>
      <c r="F23" s="1213"/>
      <c r="G23" s="1213"/>
      <c r="H23" s="1213"/>
      <c r="I23" s="536" t="s">
        <v>423</v>
      </c>
      <c r="J23" s="455">
        <f>SUM(J18:J22)</f>
        <v>1264452</v>
      </c>
      <c r="K23" s="456">
        <f t="shared" ref="K23:P23" si="3">SUM(K18:K22)</f>
        <v>1295994.3</v>
      </c>
      <c r="L23" s="456">
        <f t="shared" si="3"/>
        <v>1328323.7775000001</v>
      </c>
      <c r="M23" s="456">
        <f t="shared" si="3"/>
        <v>1361460.0843374999</v>
      </c>
      <c r="N23" s="456">
        <f t="shared" si="3"/>
        <v>1395423.3630939375</v>
      </c>
      <c r="O23" s="456">
        <f t="shared" si="3"/>
        <v>1430234.2593522461</v>
      </c>
      <c r="P23" s="457">
        <f t="shared" si="3"/>
        <v>1465913.9342606312</v>
      </c>
      <c r="Q23" s="356"/>
    </row>
    <row r="24" spans="2:17" x14ac:dyDescent="0.25">
      <c r="B24" s="395"/>
      <c r="C24" s="535"/>
      <c r="D24" s="536"/>
      <c r="E24" s="1213"/>
      <c r="F24" s="1213"/>
      <c r="G24" s="1213"/>
      <c r="H24" s="1213"/>
      <c r="I24" s="1213"/>
      <c r="J24" s="458"/>
      <c r="K24" s="459"/>
      <c r="L24" s="459"/>
      <c r="M24" s="459"/>
      <c r="N24" s="459"/>
      <c r="O24" s="459"/>
      <c r="P24" s="460"/>
      <c r="Q24" s="356"/>
    </row>
    <row r="25" spans="2:17" x14ac:dyDescent="0.25">
      <c r="B25" s="395"/>
      <c r="C25" s="535" t="s">
        <v>424</v>
      </c>
      <c r="D25" s="537"/>
      <c r="E25" s="1213"/>
      <c r="F25" s="1213"/>
      <c r="G25" s="1213"/>
      <c r="H25" s="1338"/>
      <c r="I25" s="355"/>
      <c r="J25" s="1666">
        <f>'8B'!H36</f>
        <v>18423</v>
      </c>
      <c r="K25" s="1668">
        <v>0</v>
      </c>
      <c r="L25" s="1668">
        <v>0</v>
      </c>
      <c r="M25" s="1668">
        <v>0</v>
      </c>
      <c r="N25" s="1668">
        <v>0</v>
      </c>
      <c r="O25" s="1668">
        <v>0</v>
      </c>
      <c r="P25" s="1669">
        <v>0</v>
      </c>
      <c r="Q25" s="356"/>
    </row>
    <row r="26" spans="2:17" x14ac:dyDescent="0.25">
      <c r="B26" s="395"/>
      <c r="C26" s="535"/>
      <c r="D26" s="537"/>
      <c r="E26" s="1213"/>
      <c r="F26" s="1213"/>
      <c r="G26" s="1213"/>
      <c r="H26" s="1213"/>
      <c r="I26" s="1213"/>
      <c r="J26" s="458"/>
      <c r="K26" s="459"/>
      <c r="L26" s="459"/>
      <c r="M26" s="459"/>
      <c r="N26" s="459"/>
      <c r="O26" s="459"/>
      <c r="P26" s="460"/>
      <c r="Q26" s="356"/>
    </row>
    <row r="27" spans="2:17" ht="15.75" thickBot="1" x14ac:dyDescent="0.3">
      <c r="B27" s="395"/>
      <c r="C27" s="538" t="s">
        <v>425</v>
      </c>
      <c r="D27" s="539"/>
      <c r="E27" s="1339"/>
      <c r="F27" s="1339"/>
      <c r="G27" s="1339"/>
      <c r="H27" s="1340"/>
      <c r="I27" s="1341"/>
      <c r="J27" s="1670">
        <v>0</v>
      </c>
      <c r="K27" s="1671">
        <v>0</v>
      </c>
      <c r="L27" s="1671">
        <v>0</v>
      </c>
      <c r="M27" s="1671">
        <v>0</v>
      </c>
      <c r="N27" s="1671">
        <v>0</v>
      </c>
      <c r="O27" s="1671">
        <v>0</v>
      </c>
      <c r="P27" s="1672">
        <v>0</v>
      </c>
      <c r="Q27" s="356"/>
    </row>
    <row r="28" spans="2:17" ht="15.75" thickTop="1" x14ac:dyDescent="0.25">
      <c r="B28" s="395"/>
      <c r="C28" s="527" t="s">
        <v>426</v>
      </c>
      <c r="D28" s="1213"/>
      <c r="E28" s="1213"/>
      <c r="F28" s="1213"/>
      <c r="G28" s="1213"/>
      <c r="H28" s="1213"/>
      <c r="I28" s="537" t="s">
        <v>423</v>
      </c>
      <c r="J28" s="461">
        <f>J23+J25+J27</f>
        <v>1282875</v>
      </c>
      <c r="K28" s="462">
        <f t="shared" ref="K28:P28" si="4">K23+K25+K27</f>
        <v>1295994.3</v>
      </c>
      <c r="L28" s="462">
        <f t="shared" si="4"/>
        <v>1328323.7775000001</v>
      </c>
      <c r="M28" s="462">
        <f t="shared" si="4"/>
        <v>1361460.0843374999</v>
      </c>
      <c r="N28" s="462">
        <f t="shared" si="4"/>
        <v>1395423.3630939375</v>
      </c>
      <c r="O28" s="462">
        <f t="shared" si="4"/>
        <v>1430234.2593522461</v>
      </c>
      <c r="P28" s="463">
        <f t="shared" si="4"/>
        <v>1465913.9342606312</v>
      </c>
      <c r="Q28" s="356"/>
    </row>
    <row r="29" spans="2:17" ht="15.75" thickBot="1" x14ac:dyDescent="0.3">
      <c r="B29" s="395"/>
      <c r="C29" s="527"/>
      <c r="D29" s="1213"/>
      <c r="E29" s="1213"/>
      <c r="F29" s="1213"/>
      <c r="G29" s="1213"/>
      <c r="H29" s="540" t="s">
        <v>427</v>
      </c>
      <c r="I29" s="1213"/>
      <c r="J29" s="458"/>
      <c r="K29" s="459"/>
      <c r="L29" s="459"/>
      <c r="M29" s="459"/>
      <c r="N29" s="459"/>
      <c r="O29" s="459"/>
      <c r="P29" s="460"/>
      <c r="Q29" s="356"/>
    </row>
    <row r="30" spans="2:17" x14ac:dyDescent="0.25">
      <c r="B30" s="395"/>
      <c r="C30" s="541" t="s">
        <v>428</v>
      </c>
      <c r="D30" s="1330"/>
      <c r="E30" s="1330"/>
      <c r="F30" s="1330"/>
      <c r="G30" s="1331"/>
      <c r="H30" s="1663">
        <v>0.05</v>
      </c>
      <c r="I30" s="1332"/>
      <c r="J30" s="1342">
        <f>-J23*$H30</f>
        <v>-63222.600000000006</v>
      </c>
      <c r="K30" s="1343">
        <f t="shared" ref="K30:P30" si="5">-K23*$H30</f>
        <v>-64799.715000000004</v>
      </c>
      <c r="L30" s="1343">
        <f t="shared" si="5"/>
        <v>-66416.188875000007</v>
      </c>
      <c r="M30" s="1343">
        <f t="shared" si="5"/>
        <v>-68073.004216874993</v>
      </c>
      <c r="N30" s="1343">
        <f t="shared" si="5"/>
        <v>-69771.168154696876</v>
      </c>
      <c r="O30" s="1343">
        <f t="shared" si="5"/>
        <v>-71511.7129676123</v>
      </c>
      <c r="P30" s="1344">
        <f t="shared" si="5"/>
        <v>-73295.696713031561</v>
      </c>
      <c r="Q30" s="356"/>
    </row>
    <row r="31" spans="2:17" ht="15.75" thickBot="1" x14ac:dyDescent="0.3">
      <c r="B31" s="395"/>
      <c r="C31" s="542" t="s">
        <v>429</v>
      </c>
      <c r="D31" s="1339"/>
      <c r="E31" s="1339"/>
      <c r="F31" s="1339"/>
      <c r="G31" s="1339"/>
      <c r="H31" s="1673">
        <v>0.1</v>
      </c>
      <c r="I31" s="1345"/>
      <c r="J31" s="1346">
        <f>-J27*$H31</f>
        <v>0</v>
      </c>
      <c r="K31" s="1347">
        <f t="shared" ref="K31:P31" si="6">-K27*$H31</f>
        <v>0</v>
      </c>
      <c r="L31" s="1347">
        <f t="shared" si="6"/>
        <v>0</v>
      </c>
      <c r="M31" s="1347">
        <f t="shared" si="6"/>
        <v>0</v>
      </c>
      <c r="N31" s="1347">
        <f t="shared" si="6"/>
        <v>0</v>
      </c>
      <c r="O31" s="1347">
        <f t="shared" si="6"/>
        <v>0</v>
      </c>
      <c r="P31" s="1348">
        <f t="shared" si="6"/>
        <v>0</v>
      </c>
      <c r="Q31" s="356"/>
    </row>
    <row r="32" spans="2:17" ht="16.5" thickTop="1" thickBot="1" x14ac:dyDescent="0.3">
      <c r="B32" s="395"/>
      <c r="C32" s="543" t="s">
        <v>430</v>
      </c>
      <c r="D32" s="1213"/>
      <c r="E32" s="1213"/>
      <c r="F32" s="1213"/>
      <c r="G32" s="1213"/>
      <c r="H32" s="1213"/>
      <c r="I32" s="536" t="s">
        <v>423</v>
      </c>
      <c r="J32" s="1718">
        <f>J28+J30+J31</f>
        <v>1219652.3999999999</v>
      </c>
      <c r="K32" s="1719">
        <f t="shared" ref="K32:P32" si="7">K28+K30+K31</f>
        <v>1231194.585</v>
      </c>
      <c r="L32" s="1719">
        <f t="shared" si="7"/>
        <v>1261907.5886250001</v>
      </c>
      <c r="M32" s="1719">
        <f t="shared" si="7"/>
        <v>1293387.080120625</v>
      </c>
      <c r="N32" s="1719">
        <f t="shared" si="7"/>
        <v>1325652.1949392406</v>
      </c>
      <c r="O32" s="1719">
        <f t="shared" si="7"/>
        <v>1358722.5463846338</v>
      </c>
      <c r="P32" s="1720">
        <f t="shared" si="7"/>
        <v>1392618.2375475997</v>
      </c>
      <c r="Q32" s="356"/>
    </row>
    <row r="33" spans="2:17" ht="7.5" customHeight="1" x14ac:dyDescent="0.25">
      <c r="B33" s="395"/>
      <c r="C33" s="355"/>
      <c r="D33" s="355"/>
      <c r="E33" s="1213"/>
      <c r="F33" s="1213"/>
      <c r="G33" s="1213"/>
      <c r="H33" s="1213"/>
      <c r="I33" s="1213"/>
      <c r="J33" s="355"/>
      <c r="K33" s="355"/>
      <c r="L33" s="355"/>
      <c r="M33" s="355"/>
      <c r="N33" s="355"/>
      <c r="O33" s="355"/>
      <c r="P33" s="355"/>
      <c r="Q33" s="356"/>
    </row>
    <row r="34" spans="2:17" ht="15.75" thickBot="1" x14ac:dyDescent="0.3">
      <c r="B34" s="520"/>
      <c r="C34" s="599" t="s">
        <v>431</v>
      </c>
      <c r="D34" s="465"/>
      <c r="E34" s="465"/>
      <c r="F34" s="465"/>
      <c r="G34" s="465"/>
      <c r="H34" s="465"/>
      <c r="I34" s="465"/>
      <c r="J34" s="465"/>
      <c r="K34" s="465"/>
      <c r="L34" s="465"/>
      <c r="M34" s="466"/>
      <c r="N34" s="465"/>
      <c r="O34" s="465"/>
      <c r="P34" s="465"/>
      <c r="Q34" s="524"/>
    </row>
    <row r="35" spans="2:17" ht="36.75" thickBot="1" x14ac:dyDescent="0.3">
      <c r="B35" s="520"/>
      <c r="C35" s="527" t="s">
        <v>432</v>
      </c>
      <c r="D35" s="518"/>
      <c r="E35" s="535"/>
      <c r="F35" s="544" t="s">
        <v>419</v>
      </c>
      <c r="G35" s="545"/>
      <c r="H35" s="521"/>
      <c r="I35" s="467" t="s">
        <v>433</v>
      </c>
      <c r="J35" s="447" t="s">
        <v>411</v>
      </c>
      <c r="K35" s="448" t="s">
        <v>412</v>
      </c>
      <c r="L35" s="448" t="s">
        <v>413</v>
      </c>
      <c r="M35" s="448" t="s">
        <v>414</v>
      </c>
      <c r="N35" s="448" t="s">
        <v>415</v>
      </c>
      <c r="O35" s="448" t="s">
        <v>416</v>
      </c>
      <c r="P35" s="449" t="s">
        <v>417</v>
      </c>
      <c r="Q35" s="519"/>
    </row>
    <row r="36" spans="2:17" x14ac:dyDescent="0.25">
      <c r="B36" s="520"/>
      <c r="C36" s="546" t="s">
        <v>434</v>
      </c>
      <c r="D36" s="547"/>
      <c r="E36" s="548"/>
      <c r="F36" s="1663">
        <v>3.5000000000000003E-2</v>
      </c>
      <c r="G36" s="1349"/>
      <c r="H36" s="549"/>
      <c r="I36" s="468">
        <f>IFERROR(J36/'1B'!$L$21,"")</f>
        <v>820.35199999999998</v>
      </c>
      <c r="J36" s="550">
        <f>'8C'!K20</f>
        <v>94340.479999999996</v>
      </c>
      <c r="K36" s="551">
        <f>J36+(J36*$F36)</f>
        <v>97642.396800000002</v>
      </c>
      <c r="L36" s="551">
        <f t="shared" ref="L36:P36" si="8">K36+(K36*$F36)</f>
        <v>101059.880688</v>
      </c>
      <c r="M36" s="551">
        <f t="shared" si="8"/>
        <v>104596.97651208</v>
      </c>
      <c r="N36" s="551">
        <f t="shared" si="8"/>
        <v>108257.8706900028</v>
      </c>
      <c r="O36" s="551">
        <f t="shared" si="8"/>
        <v>112046.8961641529</v>
      </c>
      <c r="P36" s="552">
        <f t="shared" si="8"/>
        <v>115968.53752989825</v>
      </c>
      <c r="Q36" s="519"/>
    </row>
    <row r="37" spans="2:17" x14ac:dyDescent="0.25">
      <c r="B37" s="553"/>
      <c r="C37" s="554" t="s">
        <v>435</v>
      </c>
      <c r="D37" s="555"/>
      <c r="E37" s="556"/>
      <c r="F37" s="1674">
        <v>3.5000000000000003E-2</v>
      </c>
      <c r="G37" s="1351"/>
      <c r="H37" s="557"/>
      <c r="I37" s="469">
        <f>IFERROR(J37/'1B'!$L$21,"")</f>
        <v>832.73913043478262</v>
      </c>
      <c r="J37" s="558">
        <f>'8C'!K29</f>
        <v>95765</v>
      </c>
      <c r="K37" s="559">
        <f t="shared" ref="K37:P52" si="9">J37+(J37*$F37)</f>
        <v>99116.774999999994</v>
      </c>
      <c r="L37" s="559">
        <f t="shared" si="9"/>
        <v>102585.862125</v>
      </c>
      <c r="M37" s="559">
        <f t="shared" si="9"/>
        <v>106176.36729937499</v>
      </c>
      <c r="N37" s="559">
        <f t="shared" si="9"/>
        <v>109892.54015485312</v>
      </c>
      <c r="O37" s="559">
        <f t="shared" si="9"/>
        <v>113738.77906027298</v>
      </c>
      <c r="P37" s="560">
        <f t="shared" si="9"/>
        <v>117719.63632738254</v>
      </c>
      <c r="Q37" s="519"/>
    </row>
    <row r="38" spans="2:17" x14ac:dyDescent="0.25">
      <c r="B38" s="520"/>
      <c r="C38" s="554" t="s">
        <v>436</v>
      </c>
      <c r="D38" s="555"/>
      <c r="E38" s="556"/>
      <c r="F38" s="1674">
        <v>3.5000000000000003E-2</v>
      </c>
      <c r="G38" s="1351"/>
      <c r="H38" s="557"/>
      <c r="I38" s="469">
        <f>IFERROR(J38/'1B'!$L$21,"")</f>
        <v>334.73913043478262</v>
      </c>
      <c r="J38" s="558">
        <f>'8E'!J48</f>
        <v>38495</v>
      </c>
      <c r="K38" s="559">
        <f t="shared" si="9"/>
        <v>39842.324999999997</v>
      </c>
      <c r="L38" s="559">
        <f t="shared" si="9"/>
        <v>41236.806375</v>
      </c>
      <c r="M38" s="559">
        <f t="shared" si="9"/>
        <v>42680.094598124997</v>
      </c>
      <c r="N38" s="559">
        <f t="shared" si="9"/>
        <v>44173.897909059371</v>
      </c>
      <c r="O38" s="559">
        <f t="shared" si="9"/>
        <v>45719.984335876448</v>
      </c>
      <c r="P38" s="560">
        <f t="shared" si="9"/>
        <v>47320.183787632122</v>
      </c>
      <c r="Q38" s="519"/>
    </row>
    <row r="39" spans="2:17" x14ac:dyDescent="0.25">
      <c r="B39" s="520"/>
      <c r="C39" s="554" t="s">
        <v>437</v>
      </c>
      <c r="D39" s="556"/>
      <c r="E39" s="555"/>
      <c r="F39" s="1674">
        <v>3.5000000000000003E-2</v>
      </c>
      <c r="G39" s="1351"/>
      <c r="H39" s="557"/>
      <c r="I39" s="469">
        <f>IFERROR(J39/'1B'!$L$21,"")</f>
        <v>17.391304347826086</v>
      </c>
      <c r="J39" s="558">
        <f>'8E'!J49</f>
        <v>2000</v>
      </c>
      <c r="K39" s="559">
        <f t="shared" si="9"/>
        <v>2070</v>
      </c>
      <c r="L39" s="559">
        <f t="shared" si="9"/>
        <v>2142.4499999999998</v>
      </c>
      <c r="M39" s="559">
        <f t="shared" si="9"/>
        <v>2217.4357499999996</v>
      </c>
      <c r="N39" s="559">
        <f t="shared" si="9"/>
        <v>2295.0460012499998</v>
      </c>
      <c r="O39" s="559">
        <f t="shared" si="9"/>
        <v>2375.3726112937497</v>
      </c>
      <c r="P39" s="560">
        <f t="shared" si="9"/>
        <v>2458.5106526890308</v>
      </c>
      <c r="Q39" s="519"/>
    </row>
    <row r="40" spans="2:17" x14ac:dyDescent="0.25">
      <c r="B40" s="520"/>
      <c r="C40" s="554" t="s">
        <v>438</v>
      </c>
      <c r="D40" s="555"/>
      <c r="E40" s="556"/>
      <c r="F40" s="1674">
        <v>3.5000000000000003E-2</v>
      </c>
      <c r="G40" s="1351"/>
      <c r="H40" s="557"/>
      <c r="I40" s="469">
        <f>IFERROR(J40/'1B'!$L$21,"")</f>
        <v>217.39130434782609</v>
      </c>
      <c r="J40" s="558">
        <f>'8E'!J50</f>
        <v>25000</v>
      </c>
      <c r="K40" s="559">
        <f t="shared" si="9"/>
        <v>25875</v>
      </c>
      <c r="L40" s="559">
        <f t="shared" si="9"/>
        <v>26780.625</v>
      </c>
      <c r="M40" s="559">
        <f t="shared" si="9"/>
        <v>27717.946875000001</v>
      </c>
      <c r="N40" s="559">
        <f t="shared" si="9"/>
        <v>28688.075015625003</v>
      </c>
      <c r="O40" s="559">
        <f t="shared" si="9"/>
        <v>29692.157641171878</v>
      </c>
      <c r="P40" s="560">
        <f t="shared" si="9"/>
        <v>30731.383158612894</v>
      </c>
      <c r="Q40" s="519"/>
    </row>
    <row r="41" spans="2:17" x14ac:dyDescent="0.25">
      <c r="B41" s="520"/>
      <c r="C41" s="554" t="s">
        <v>439</v>
      </c>
      <c r="D41" s="555"/>
      <c r="E41" s="556"/>
      <c r="F41" s="1674">
        <v>3.5000000000000003E-2</v>
      </c>
      <c r="G41" s="1351"/>
      <c r="H41" s="557"/>
      <c r="I41" s="469">
        <f>IFERROR(J41/'1B'!$L$21,"")</f>
        <v>274.78260869565219</v>
      </c>
      <c r="J41" s="558">
        <f>'8E'!J51</f>
        <v>31600</v>
      </c>
      <c r="K41" s="559">
        <f t="shared" si="9"/>
        <v>32706</v>
      </c>
      <c r="L41" s="559">
        <f t="shared" si="9"/>
        <v>33850.71</v>
      </c>
      <c r="M41" s="559">
        <f t="shared" si="9"/>
        <v>35035.484850000001</v>
      </c>
      <c r="N41" s="559">
        <f t="shared" si="9"/>
        <v>36261.726819750002</v>
      </c>
      <c r="O41" s="559">
        <f t="shared" si="9"/>
        <v>37530.887258441253</v>
      </c>
      <c r="P41" s="560">
        <f t="shared" si="9"/>
        <v>38844.468312486701</v>
      </c>
      <c r="Q41" s="519"/>
    </row>
    <row r="42" spans="2:17" x14ac:dyDescent="0.25">
      <c r="B42" s="520"/>
      <c r="C42" s="554" t="s">
        <v>440</v>
      </c>
      <c r="D42" s="555"/>
      <c r="E42" s="556"/>
      <c r="F42" s="1674">
        <v>3.5000000000000003E-2</v>
      </c>
      <c r="G42" s="1351"/>
      <c r="H42" s="557"/>
      <c r="I42" s="469">
        <f>IFERROR(J42/'1B'!$L$21,"")</f>
        <v>290</v>
      </c>
      <c r="J42" s="558">
        <f>'8E'!J52</f>
        <v>33350</v>
      </c>
      <c r="K42" s="559">
        <f t="shared" si="9"/>
        <v>34517.25</v>
      </c>
      <c r="L42" s="559">
        <f t="shared" si="9"/>
        <v>35725.353750000002</v>
      </c>
      <c r="M42" s="559">
        <f t="shared" si="9"/>
        <v>36975.741131250004</v>
      </c>
      <c r="N42" s="559">
        <f t="shared" si="9"/>
        <v>38269.892070843758</v>
      </c>
      <c r="O42" s="559">
        <f t="shared" si="9"/>
        <v>39609.338293323293</v>
      </c>
      <c r="P42" s="560">
        <f t="shared" si="9"/>
        <v>40995.665133589609</v>
      </c>
      <c r="Q42" s="519"/>
    </row>
    <row r="43" spans="2:17" x14ac:dyDescent="0.25">
      <c r="B43" s="520"/>
      <c r="C43" s="554" t="s">
        <v>441</v>
      </c>
      <c r="D43" s="556"/>
      <c r="E43" s="555"/>
      <c r="F43" s="1674">
        <v>3.5000000000000003E-2</v>
      </c>
      <c r="G43" s="1351"/>
      <c r="H43" s="557"/>
      <c r="I43" s="469">
        <f>IFERROR(J43/'1B'!$L$21,"")</f>
        <v>0</v>
      </c>
      <c r="J43" s="558">
        <f>'8E'!J53</f>
        <v>0</v>
      </c>
      <c r="K43" s="559">
        <f t="shared" si="9"/>
        <v>0</v>
      </c>
      <c r="L43" s="559">
        <f t="shared" si="9"/>
        <v>0</v>
      </c>
      <c r="M43" s="559">
        <f t="shared" si="9"/>
        <v>0</v>
      </c>
      <c r="N43" s="559">
        <f t="shared" si="9"/>
        <v>0</v>
      </c>
      <c r="O43" s="559">
        <f t="shared" si="9"/>
        <v>0</v>
      </c>
      <c r="P43" s="560">
        <f t="shared" si="9"/>
        <v>0</v>
      </c>
      <c r="Q43" s="519"/>
    </row>
    <row r="44" spans="2:17" x14ac:dyDescent="0.25">
      <c r="B44" s="520"/>
      <c r="C44" s="554" t="s">
        <v>442</v>
      </c>
      <c r="D44" s="555"/>
      <c r="E44" s="556"/>
      <c r="F44" s="1674">
        <v>3.5000000000000003E-2</v>
      </c>
      <c r="G44" s="1351"/>
      <c r="H44" s="557"/>
      <c r="I44" s="469">
        <f>IFERROR(J44/'1B'!$L$21,"")</f>
        <v>270.95652173913044</v>
      </c>
      <c r="J44" s="558">
        <f>'8E'!J54</f>
        <v>31160</v>
      </c>
      <c r="K44" s="559">
        <f t="shared" si="9"/>
        <v>32250.6</v>
      </c>
      <c r="L44" s="559">
        <f t="shared" si="9"/>
        <v>33379.370999999999</v>
      </c>
      <c r="M44" s="559">
        <f t="shared" si="9"/>
        <v>34547.648985</v>
      </c>
      <c r="N44" s="559">
        <f t="shared" si="9"/>
        <v>35756.816699474999</v>
      </c>
      <c r="O44" s="559">
        <f t="shared" si="9"/>
        <v>37008.305283956623</v>
      </c>
      <c r="P44" s="560">
        <f t="shared" si="9"/>
        <v>38303.595968895104</v>
      </c>
      <c r="Q44" s="519"/>
    </row>
    <row r="45" spans="2:17" x14ac:dyDescent="0.25">
      <c r="B45" s="520"/>
      <c r="C45" s="554" t="s">
        <v>443</v>
      </c>
      <c r="D45" s="556"/>
      <c r="E45" s="556"/>
      <c r="F45" s="1674">
        <v>3.5000000000000003E-2</v>
      </c>
      <c r="G45" s="1351"/>
      <c r="H45" s="557"/>
      <c r="I45" s="469">
        <f>IFERROR(J45/'1B'!$L$21,"")</f>
        <v>69.565217391304344</v>
      </c>
      <c r="J45" s="558">
        <f>'8E'!J55</f>
        <v>8000</v>
      </c>
      <c r="K45" s="559">
        <f t="shared" si="9"/>
        <v>8280</v>
      </c>
      <c r="L45" s="559">
        <f t="shared" si="9"/>
        <v>8569.7999999999993</v>
      </c>
      <c r="M45" s="559">
        <f t="shared" si="9"/>
        <v>8869.7429999999986</v>
      </c>
      <c r="N45" s="559">
        <f t="shared" si="9"/>
        <v>9180.1840049999992</v>
      </c>
      <c r="O45" s="559">
        <f t="shared" si="9"/>
        <v>9501.490445174999</v>
      </c>
      <c r="P45" s="560">
        <f t="shared" si="9"/>
        <v>9834.0426107561234</v>
      </c>
      <c r="Q45" s="519"/>
    </row>
    <row r="46" spans="2:17" x14ac:dyDescent="0.25">
      <c r="B46" s="520"/>
      <c r="C46" s="554" t="s">
        <v>444</v>
      </c>
      <c r="D46" s="555"/>
      <c r="E46" s="556"/>
      <c r="F46" s="1674">
        <v>3.5000000000000003E-2</v>
      </c>
      <c r="G46" s="1351"/>
      <c r="H46" s="557"/>
      <c r="I46" s="469">
        <f>IFERROR(J46/'1B'!$L$21,"")</f>
        <v>1013.0434782608696</v>
      </c>
      <c r="J46" s="558">
        <f>'8E'!J56</f>
        <v>116500</v>
      </c>
      <c r="K46" s="559">
        <f t="shared" si="9"/>
        <v>120577.5</v>
      </c>
      <c r="L46" s="559">
        <f t="shared" si="9"/>
        <v>124797.71249999999</v>
      </c>
      <c r="M46" s="559">
        <f t="shared" si="9"/>
        <v>129165.6324375</v>
      </c>
      <c r="N46" s="559">
        <f t="shared" si="9"/>
        <v>133686.42957281249</v>
      </c>
      <c r="O46" s="559">
        <f t="shared" si="9"/>
        <v>138365.45460786091</v>
      </c>
      <c r="P46" s="560">
        <f t="shared" si="9"/>
        <v>143208.24551913605</v>
      </c>
      <c r="Q46" s="519"/>
    </row>
    <row r="47" spans="2:17" x14ac:dyDescent="0.25">
      <c r="B47" s="520"/>
      <c r="C47" s="554" t="s">
        <v>445</v>
      </c>
      <c r="D47" s="556"/>
      <c r="E47" s="556"/>
      <c r="F47" s="1674">
        <v>3.5000000000000003E-2</v>
      </c>
      <c r="G47" s="1351"/>
      <c r="H47" s="557"/>
      <c r="I47" s="469">
        <f>IFERROR(J47/'1B'!$L$21,"")</f>
        <v>104.34782608695652</v>
      </c>
      <c r="J47" s="558">
        <f>'8E'!J57</f>
        <v>12000</v>
      </c>
      <c r="K47" s="559">
        <f t="shared" si="9"/>
        <v>12420</v>
      </c>
      <c r="L47" s="559">
        <f t="shared" si="9"/>
        <v>12854.7</v>
      </c>
      <c r="M47" s="559">
        <f t="shared" si="9"/>
        <v>13304.614500000001</v>
      </c>
      <c r="N47" s="559">
        <f t="shared" si="9"/>
        <v>13770.276007500002</v>
      </c>
      <c r="O47" s="559">
        <f t="shared" si="9"/>
        <v>14252.235667762503</v>
      </c>
      <c r="P47" s="560">
        <f t="shared" si="9"/>
        <v>14751.063916134191</v>
      </c>
      <c r="Q47" s="519"/>
    </row>
    <row r="48" spans="2:17" x14ac:dyDescent="0.25">
      <c r="B48" s="520"/>
      <c r="C48" s="554" t="s">
        <v>446</v>
      </c>
      <c r="D48" s="556"/>
      <c r="E48" s="556"/>
      <c r="F48" s="1674">
        <v>3.5000000000000003E-2</v>
      </c>
      <c r="G48" s="1351"/>
      <c r="H48" s="557"/>
      <c r="I48" s="469">
        <f>IFERROR(J48/'1B'!$L$21,"")</f>
        <v>73.913043478260875</v>
      </c>
      <c r="J48" s="558">
        <f>'8E'!J58</f>
        <v>8500</v>
      </c>
      <c r="K48" s="559">
        <f t="shared" si="9"/>
        <v>8797.5</v>
      </c>
      <c r="L48" s="559">
        <f t="shared" si="9"/>
        <v>9105.4125000000004</v>
      </c>
      <c r="M48" s="559">
        <f t="shared" si="9"/>
        <v>9424.1019374999996</v>
      </c>
      <c r="N48" s="559">
        <f t="shared" si="9"/>
        <v>9753.9455053125002</v>
      </c>
      <c r="O48" s="559">
        <f t="shared" si="9"/>
        <v>10095.333597998439</v>
      </c>
      <c r="P48" s="560">
        <f t="shared" si="9"/>
        <v>10448.670273928385</v>
      </c>
      <c r="Q48" s="519"/>
    </row>
    <row r="49" spans="2:17" x14ac:dyDescent="0.25">
      <c r="B49" s="520"/>
      <c r="C49" s="554" t="s">
        <v>447</v>
      </c>
      <c r="D49" s="556"/>
      <c r="E49" s="556"/>
      <c r="F49" s="1674">
        <v>3.5000000000000003E-2</v>
      </c>
      <c r="G49" s="1351"/>
      <c r="H49" s="557"/>
      <c r="I49" s="469">
        <f>IFERROR(J49/'1B'!$L$21,"")</f>
        <v>26.086956521739129</v>
      </c>
      <c r="J49" s="558">
        <f>'8E'!J59</f>
        <v>3000</v>
      </c>
      <c r="K49" s="559">
        <f t="shared" si="9"/>
        <v>3105</v>
      </c>
      <c r="L49" s="559">
        <f t="shared" si="9"/>
        <v>3213.6750000000002</v>
      </c>
      <c r="M49" s="559">
        <f t="shared" si="9"/>
        <v>3326.1536250000004</v>
      </c>
      <c r="N49" s="559">
        <f t="shared" si="9"/>
        <v>3442.5690018750006</v>
      </c>
      <c r="O49" s="559">
        <f t="shared" si="9"/>
        <v>3563.0589169406257</v>
      </c>
      <c r="P49" s="560">
        <f t="shared" si="9"/>
        <v>3687.7659790335479</v>
      </c>
      <c r="Q49" s="519"/>
    </row>
    <row r="50" spans="2:17" x14ac:dyDescent="0.25">
      <c r="B50" s="520"/>
      <c r="C50" s="554" t="s">
        <v>448</v>
      </c>
      <c r="D50" s="556"/>
      <c r="E50" s="556"/>
      <c r="F50" s="1674">
        <v>3.5000000000000003E-2</v>
      </c>
      <c r="G50" s="1351"/>
      <c r="H50" s="557"/>
      <c r="I50" s="469">
        <f>IFERROR(J50/'1B'!$L$21,"")</f>
        <v>161.7391304347826</v>
      </c>
      <c r="J50" s="558">
        <f>'8E'!J60</f>
        <v>18600</v>
      </c>
      <c r="K50" s="559">
        <f t="shared" si="9"/>
        <v>19251</v>
      </c>
      <c r="L50" s="559">
        <f t="shared" si="9"/>
        <v>19924.785</v>
      </c>
      <c r="M50" s="559">
        <f t="shared" si="9"/>
        <v>20622.152474999999</v>
      </c>
      <c r="N50" s="559">
        <f t="shared" si="9"/>
        <v>21343.927811624999</v>
      </c>
      <c r="O50" s="559">
        <f t="shared" si="9"/>
        <v>22090.965285031874</v>
      </c>
      <c r="P50" s="560">
        <f t="shared" si="9"/>
        <v>22864.149070007988</v>
      </c>
      <c r="Q50" s="519"/>
    </row>
    <row r="51" spans="2:17" x14ac:dyDescent="0.25">
      <c r="B51" s="520"/>
      <c r="C51" s="554" t="s">
        <v>449</v>
      </c>
      <c r="D51" s="555"/>
      <c r="E51" s="556"/>
      <c r="F51" s="1674">
        <v>3.5000000000000003E-2</v>
      </c>
      <c r="G51" s="1351"/>
      <c r="H51" s="557"/>
      <c r="I51" s="469">
        <f>IFERROR(J51/'1B'!$L$21,"")</f>
        <v>652.17391304347825</v>
      </c>
      <c r="J51" s="558">
        <f>'8E'!J61</f>
        <v>75000</v>
      </c>
      <c r="K51" s="559">
        <f t="shared" si="9"/>
        <v>77625</v>
      </c>
      <c r="L51" s="559">
        <f t="shared" si="9"/>
        <v>80341.875</v>
      </c>
      <c r="M51" s="559">
        <f t="shared" si="9"/>
        <v>83153.840624999997</v>
      </c>
      <c r="N51" s="559">
        <f t="shared" si="9"/>
        <v>86064.225046874999</v>
      </c>
      <c r="O51" s="559">
        <f t="shared" si="9"/>
        <v>89076.472923515626</v>
      </c>
      <c r="P51" s="560">
        <f t="shared" si="9"/>
        <v>92194.149475838669</v>
      </c>
      <c r="Q51" s="519"/>
    </row>
    <row r="52" spans="2:17" x14ac:dyDescent="0.25">
      <c r="B52" s="520"/>
      <c r="C52" s="554" t="s">
        <v>450</v>
      </c>
      <c r="D52" s="555"/>
      <c r="E52" s="556"/>
      <c r="F52" s="1674">
        <v>3.5000000000000003E-2</v>
      </c>
      <c r="G52" s="1351"/>
      <c r="H52" s="557"/>
      <c r="I52" s="469">
        <f>IFERROR(J52/'1B'!$L$21,"")</f>
        <v>391.30434782608694</v>
      </c>
      <c r="J52" s="558">
        <f>'8E'!J62</f>
        <v>45000</v>
      </c>
      <c r="K52" s="559">
        <f t="shared" si="9"/>
        <v>46575</v>
      </c>
      <c r="L52" s="559">
        <f t="shared" si="9"/>
        <v>48205.125</v>
      </c>
      <c r="M52" s="559">
        <f t="shared" si="9"/>
        <v>49892.304375</v>
      </c>
      <c r="N52" s="559">
        <f t="shared" si="9"/>
        <v>51638.535028124999</v>
      </c>
      <c r="O52" s="559">
        <f t="shared" si="9"/>
        <v>53445.883754109374</v>
      </c>
      <c r="P52" s="560">
        <f t="shared" si="9"/>
        <v>55316.489685503206</v>
      </c>
      <c r="Q52" s="519"/>
    </row>
    <row r="53" spans="2:17" x14ac:dyDescent="0.25">
      <c r="B53" s="561"/>
      <c r="C53" s="554" t="s">
        <v>451</v>
      </c>
      <c r="D53" s="555"/>
      <c r="E53" s="556"/>
      <c r="F53" s="1674">
        <v>3.5000000000000003E-2</v>
      </c>
      <c r="G53" s="1351"/>
      <c r="H53" s="557"/>
      <c r="I53" s="469">
        <f>IFERROR(J53/'1B'!$L$21,"")</f>
        <v>173.91304347826087</v>
      </c>
      <c r="J53" s="558">
        <f>'8E'!J63</f>
        <v>20000</v>
      </c>
      <c r="K53" s="559">
        <f t="shared" ref="K53:P56" si="10">J53+(J53*$F53)</f>
        <v>20700</v>
      </c>
      <c r="L53" s="559">
        <f t="shared" si="10"/>
        <v>21424.5</v>
      </c>
      <c r="M53" s="559">
        <f t="shared" si="10"/>
        <v>22174.357499999998</v>
      </c>
      <c r="N53" s="559">
        <f t="shared" si="10"/>
        <v>22950.4600125</v>
      </c>
      <c r="O53" s="559">
        <f t="shared" si="10"/>
        <v>23753.7261129375</v>
      </c>
      <c r="P53" s="560">
        <f t="shared" si="10"/>
        <v>24585.106526890311</v>
      </c>
      <c r="Q53" s="562"/>
    </row>
    <row r="54" spans="2:17" x14ac:dyDescent="0.25">
      <c r="B54" s="520"/>
      <c r="C54" s="554" t="s">
        <v>452</v>
      </c>
      <c r="D54" s="556"/>
      <c r="E54" s="556"/>
      <c r="F54" s="1674">
        <v>3.5000000000000003E-2</v>
      </c>
      <c r="G54" s="1351"/>
      <c r="H54" s="557"/>
      <c r="I54" s="469">
        <f>IFERROR(J54/'1B'!$L$21,"")</f>
        <v>86.956521739130437</v>
      </c>
      <c r="J54" s="558">
        <f>'8E'!J64</f>
        <v>10000</v>
      </c>
      <c r="K54" s="559">
        <f t="shared" si="10"/>
        <v>10350</v>
      </c>
      <c r="L54" s="559">
        <f t="shared" si="10"/>
        <v>10712.25</v>
      </c>
      <c r="M54" s="559">
        <f t="shared" si="10"/>
        <v>11087.178749999999</v>
      </c>
      <c r="N54" s="559">
        <f t="shared" si="10"/>
        <v>11475.23000625</v>
      </c>
      <c r="O54" s="559">
        <f t="shared" si="10"/>
        <v>11876.86305646875</v>
      </c>
      <c r="P54" s="560">
        <f t="shared" si="10"/>
        <v>12292.553263445156</v>
      </c>
      <c r="Q54" s="519"/>
    </row>
    <row r="55" spans="2:17" x14ac:dyDescent="0.25">
      <c r="B55" s="520"/>
      <c r="C55" s="554" t="s">
        <v>453</v>
      </c>
      <c r="D55" s="556"/>
      <c r="E55" s="556"/>
      <c r="F55" s="1674">
        <v>3.5000000000000003E-2</v>
      </c>
      <c r="G55" s="1351"/>
      <c r="H55" s="557"/>
      <c r="I55" s="469">
        <f>IFERROR(J55/'1B'!$L$21,"")</f>
        <v>0</v>
      </c>
      <c r="J55" s="558">
        <f>'8E'!J65</f>
        <v>0</v>
      </c>
      <c r="K55" s="559">
        <f t="shared" si="10"/>
        <v>0</v>
      </c>
      <c r="L55" s="559">
        <f t="shared" si="10"/>
        <v>0</v>
      </c>
      <c r="M55" s="559">
        <f t="shared" si="10"/>
        <v>0</v>
      </c>
      <c r="N55" s="559">
        <f t="shared" si="10"/>
        <v>0</v>
      </c>
      <c r="O55" s="559">
        <f t="shared" si="10"/>
        <v>0</v>
      </c>
      <c r="P55" s="560">
        <f t="shared" si="10"/>
        <v>0</v>
      </c>
      <c r="Q55" s="519"/>
    </row>
    <row r="56" spans="2:17" ht="15.75" thickBot="1" x14ac:dyDescent="0.3">
      <c r="B56" s="520"/>
      <c r="C56" s="563" t="s">
        <v>249</v>
      </c>
      <c r="D56" s="564"/>
      <c r="E56" s="565"/>
      <c r="F56" s="1675">
        <v>3.5000000000000003E-2</v>
      </c>
      <c r="G56" s="1351"/>
      <c r="H56" s="557"/>
      <c r="I56" s="470">
        <f>IFERROR(J56/'1B'!$L$21,"")</f>
        <v>240.62608695652173</v>
      </c>
      <c r="J56" s="566">
        <f>'8E'!J66</f>
        <v>27672</v>
      </c>
      <c r="K56" s="567">
        <f t="shared" si="10"/>
        <v>28640.52</v>
      </c>
      <c r="L56" s="567">
        <f t="shared" si="10"/>
        <v>29642.938200000001</v>
      </c>
      <c r="M56" s="567">
        <f>L56+(L56*$F56)</f>
        <v>30680.441037000001</v>
      </c>
      <c r="N56" s="567">
        <f t="shared" si="10"/>
        <v>31754.256473295001</v>
      </c>
      <c r="O56" s="567">
        <f t="shared" si="10"/>
        <v>32865.655449860329</v>
      </c>
      <c r="P56" s="568">
        <f t="shared" si="10"/>
        <v>34015.953390605442</v>
      </c>
      <c r="Q56" s="519"/>
    </row>
    <row r="57" spans="2:17" ht="15.75" thickBot="1" x14ac:dyDescent="0.3">
      <c r="B57" s="520"/>
      <c r="C57" s="477" t="s">
        <v>454</v>
      </c>
      <c r="D57" s="535"/>
      <c r="E57" s="518"/>
      <c r="F57" s="536"/>
      <c r="G57" s="536"/>
      <c r="H57" s="518"/>
      <c r="I57" s="470">
        <f>IFERROR(J57/'1B'!$L$21,"")</f>
        <v>6052.0215652173911</v>
      </c>
      <c r="J57" s="471">
        <f>SUM(J36:J56)</f>
        <v>695982.48</v>
      </c>
      <c r="K57" s="472">
        <f t="shared" ref="K57:P57" si="11">SUM(K36:K56)</f>
        <v>720341.86679999996</v>
      </c>
      <c r="L57" s="472">
        <f t="shared" si="11"/>
        <v>745553.83213800006</v>
      </c>
      <c r="M57" s="472">
        <f t="shared" si="11"/>
        <v>771648.21626282996</v>
      </c>
      <c r="N57" s="472">
        <f t="shared" si="11"/>
        <v>798655.90383202909</v>
      </c>
      <c r="O57" s="472">
        <f t="shared" si="11"/>
        <v>826608.8604661501</v>
      </c>
      <c r="P57" s="473">
        <f t="shared" si="11"/>
        <v>855540.17058246525</v>
      </c>
      <c r="Q57" s="519"/>
    </row>
    <row r="58" spans="2:17" ht="15.75" thickBot="1" x14ac:dyDescent="0.3">
      <c r="B58" s="520"/>
      <c r="C58" s="477"/>
      <c r="D58" s="535"/>
      <c r="E58" s="518"/>
      <c r="F58" s="544" t="s">
        <v>419</v>
      </c>
      <c r="G58" s="545"/>
      <c r="H58" s="521"/>
      <c r="I58" s="521"/>
      <c r="J58" s="474"/>
      <c r="K58" s="475"/>
      <c r="L58" s="475"/>
      <c r="M58" s="475"/>
      <c r="N58" s="475"/>
      <c r="O58" s="475"/>
      <c r="P58" s="476"/>
      <c r="Q58" s="519"/>
    </row>
    <row r="59" spans="2:17" x14ac:dyDescent="0.25">
      <c r="B59" s="553"/>
      <c r="C59" s="569" t="s">
        <v>455</v>
      </c>
      <c r="D59" s="570"/>
      <c r="E59" s="549"/>
      <c r="F59" s="1663">
        <v>3.5000000000000003E-2</v>
      </c>
      <c r="G59" s="1353"/>
      <c r="H59" s="549"/>
      <c r="I59" s="468">
        <f>IFERROR(J59/'1B'!$L$21,"")</f>
        <v>350</v>
      </c>
      <c r="J59" s="571">
        <f>'8E'!J69</f>
        <v>40250</v>
      </c>
      <c r="K59" s="559">
        <f t="shared" ref="K59:P60" si="12">J59+(J59*$F59)</f>
        <v>41658.75</v>
      </c>
      <c r="L59" s="559">
        <f t="shared" si="12"/>
        <v>43116.806250000001</v>
      </c>
      <c r="M59" s="559">
        <f t="shared" si="12"/>
        <v>44625.894468750004</v>
      </c>
      <c r="N59" s="559">
        <f t="shared" si="12"/>
        <v>46187.800775156255</v>
      </c>
      <c r="O59" s="559">
        <f t="shared" si="12"/>
        <v>47804.373802286726</v>
      </c>
      <c r="P59" s="560">
        <f t="shared" si="12"/>
        <v>49477.526885366759</v>
      </c>
      <c r="Q59" s="519"/>
    </row>
    <row r="60" spans="2:17" ht="15.75" thickBot="1" x14ac:dyDescent="0.3">
      <c r="B60" s="553"/>
      <c r="C60" s="572" t="s">
        <v>456</v>
      </c>
      <c r="D60" s="564"/>
      <c r="E60" s="565"/>
      <c r="F60" s="1676">
        <v>3.5000000000000003E-2</v>
      </c>
      <c r="G60" s="1351"/>
      <c r="H60" s="557"/>
      <c r="I60" s="470">
        <f>IFERROR(J60/'1B'!$L$21,"")</f>
        <v>0</v>
      </c>
      <c r="J60" s="789">
        <f>'8E'!J70</f>
        <v>0</v>
      </c>
      <c r="K60" s="567">
        <f t="shared" si="12"/>
        <v>0</v>
      </c>
      <c r="L60" s="567">
        <f t="shared" si="12"/>
        <v>0</v>
      </c>
      <c r="M60" s="567">
        <f t="shared" si="12"/>
        <v>0</v>
      </c>
      <c r="N60" s="567">
        <f t="shared" si="12"/>
        <v>0</v>
      </c>
      <c r="O60" s="567">
        <f t="shared" si="12"/>
        <v>0</v>
      </c>
      <c r="P60" s="568">
        <f t="shared" si="12"/>
        <v>0</v>
      </c>
      <c r="Q60" s="519"/>
    </row>
    <row r="61" spans="2:17" x14ac:dyDescent="0.25">
      <c r="B61" s="553"/>
      <c r="C61" s="477" t="s">
        <v>457</v>
      </c>
      <c r="D61" s="535"/>
      <c r="E61" s="535"/>
      <c r="F61" s="535"/>
      <c r="G61" s="535"/>
      <c r="H61" s="518"/>
      <c r="I61" s="573">
        <f>IFERROR(J61/'1B'!$L$21,"")</f>
        <v>350</v>
      </c>
      <c r="J61" s="471">
        <f>SUM(J59:J60)</f>
        <v>40250</v>
      </c>
      <c r="K61" s="472">
        <f t="shared" ref="K61:P61" si="13">SUM(K59:K60)</f>
        <v>41658.75</v>
      </c>
      <c r="L61" s="472">
        <f t="shared" si="13"/>
        <v>43116.806250000001</v>
      </c>
      <c r="M61" s="472">
        <f t="shared" si="13"/>
        <v>44625.894468750004</v>
      </c>
      <c r="N61" s="472">
        <f t="shared" si="13"/>
        <v>46187.800775156255</v>
      </c>
      <c r="O61" s="472">
        <f t="shared" si="13"/>
        <v>47804.373802286726</v>
      </c>
      <c r="P61" s="473">
        <f t="shared" si="13"/>
        <v>49477.526885366759</v>
      </c>
      <c r="Q61" s="519"/>
    </row>
    <row r="62" spans="2:17" ht="7.5" customHeight="1" thickBot="1" x14ac:dyDescent="0.3">
      <c r="B62" s="553"/>
      <c r="C62" s="477"/>
      <c r="D62" s="535"/>
      <c r="E62" s="535"/>
      <c r="F62" s="535"/>
      <c r="G62" s="535"/>
      <c r="H62" s="518"/>
      <c r="I62" s="573"/>
      <c r="J62" s="474"/>
      <c r="K62" s="475"/>
      <c r="L62" s="475"/>
      <c r="M62" s="475"/>
      <c r="N62" s="475"/>
      <c r="O62" s="475"/>
      <c r="P62" s="476"/>
      <c r="Q62" s="519"/>
    </row>
    <row r="63" spans="2:17" ht="15.75" thickBot="1" x14ac:dyDescent="0.3">
      <c r="B63" s="520"/>
      <c r="C63" s="477" t="s">
        <v>458</v>
      </c>
      <c r="D63" s="535"/>
      <c r="E63" s="340"/>
      <c r="F63" s="1677">
        <v>3.5000000000000003E-2</v>
      </c>
      <c r="G63" s="1354"/>
      <c r="H63" s="549"/>
      <c r="I63" s="1383">
        <f>IFERROR(J63/'1B'!$L$21,"")</f>
        <v>0</v>
      </c>
      <c r="J63" s="589">
        <v>0</v>
      </c>
      <c r="K63" s="574">
        <f>J63+(J63*$F63)</f>
        <v>0</v>
      </c>
      <c r="L63" s="574">
        <f t="shared" ref="L63:P65" si="14">K63+(K63*$F63)</f>
        <v>0</v>
      </c>
      <c r="M63" s="574">
        <f t="shared" si="14"/>
        <v>0</v>
      </c>
      <c r="N63" s="574">
        <f t="shared" si="14"/>
        <v>0</v>
      </c>
      <c r="O63" s="574">
        <f t="shared" si="14"/>
        <v>0</v>
      </c>
      <c r="P63" s="575">
        <f t="shared" si="14"/>
        <v>0</v>
      </c>
      <c r="Q63" s="519"/>
    </row>
    <row r="64" spans="2:17" ht="7.5" customHeight="1" thickBot="1" x14ac:dyDescent="0.3">
      <c r="B64" s="520"/>
      <c r="C64" s="477"/>
      <c r="D64" s="535"/>
      <c r="E64" s="340"/>
      <c r="F64" s="535"/>
      <c r="G64" s="535"/>
      <c r="H64" s="518"/>
      <c r="I64" s="573"/>
      <c r="J64" s="474"/>
      <c r="K64" s="475"/>
      <c r="L64" s="475"/>
      <c r="M64" s="475"/>
      <c r="N64" s="475"/>
      <c r="O64" s="475"/>
      <c r="P64" s="476"/>
      <c r="Q64" s="519"/>
    </row>
    <row r="65" spans="2:19" ht="15.75" thickBot="1" x14ac:dyDescent="0.3">
      <c r="B65" s="520"/>
      <c r="C65" s="576" t="s">
        <v>459</v>
      </c>
      <c r="D65" s="538"/>
      <c r="E65" s="538"/>
      <c r="F65" s="1678">
        <v>0</v>
      </c>
      <c r="G65" s="1355"/>
      <c r="H65" s="577"/>
      <c r="I65" s="538"/>
      <c r="J65" s="1679">
        <f>'8E'!J75</f>
        <v>0</v>
      </c>
      <c r="K65" s="1680">
        <f>J65+(J65*$F65)</f>
        <v>0</v>
      </c>
      <c r="L65" s="1680">
        <f t="shared" si="14"/>
        <v>0</v>
      </c>
      <c r="M65" s="1680">
        <f t="shared" si="14"/>
        <v>0</v>
      </c>
      <c r="N65" s="1680">
        <f t="shared" si="14"/>
        <v>0</v>
      </c>
      <c r="O65" s="1680">
        <f t="shared" si="14"/>
        <v>0</v>
      </c>
      <c r="P65" s="1681">
        <f t="shared" si="14"/>
        <v>0</v>
      </c>
      <c r="Q65" s="519"/>
    </row>
    <row r="66" spans="2:19" ht="16.5" thickTop="1" thickBot="1" x14ac:dyDescent="0.3">
      <c r="B66" s="520"/>
      <c r="C66" s="543" t="s">
        <v>460</v>
      </c>
      <c r="D66" s="535"/>
      <c r="E66" s="518"/>
      <c r="F66" s="535"/>
      <c r="G66" s="535"/>
      <c r="H66" s="578"/>
      <c r="I66" s="536" t="s">
        <v>423</v>
      </c>
      <c r="J66" s="479">
        <f>J57+J61+J63+J65</f>
        <v>736232.48</v>
      </c>
      <c r="K66" s="480">
        <f t="shared" ref="K66:P66" si="15">K57+K61+K63+K65</f>
        <v>762000.61679999996</v>
      </c>
      <c r="L66" s="480">
        <f t="shared" si="15"/>
        <v>788670.63838800008</v>
      </c>
      <c r="M66" s="480">
        <f t="shared" si="15"/>
        <v>816274.11073157995</v>
      </c>
      <c r="N66" s="480">
        <f t="shared" si="15"/>
        <v>844843.70460718533</v>
      </c>
      <c r="O66" s="480">
        <f t="shared" si="15"/>
        <v>874413.23426843679</v>
      </c>
      <c r="P66" s="481">
        <f t="shared" si="15"/>
        <v>905017.69746783201</v>
      </c>
      <c r="Q66" s="519"/>
    </row>
    <row r="67" spans="2:19" ht="7.5" customHeight="1" thickBot="1" x14ac:dyDescent="0.3">
      <c r="B67" s="520"/>
      <c r="C67" s="535"/>
      <c r="D67" s="535"/>
      <c r="E67" s="535"/>
      <c r="F67" s="535"/>
      <c r="G67" s="535"/>
      <c r="H67" s="535"/>
      <c r="I67" s="535"/>
      <c r="J67" s="579"/>
      <c r="K67" s="579"/>
      <c r="L67" s="579"/>
      <c r="M67" s="579"/>
      <c r="N67" s="579"/>
      <c r="O67" s="579"/>
      <c r="P67" s="579"/>
      <c r="Q67" s="519"/>
    </row>
    <row r="68" spans="2:19" ht="15.75" thickBot="1" x14ac:dyDescent="0.3">
      <c r="B68" s="520"/>
      <c r="C68" s="543" t="s">
        <v>461</v>
      </c>
      <c r="D68" s="535"/>
      <c r="E68" s="535"/>
      <c r="F68" s="535"/>
      <c r="G68" s="535"/>
      <c r="H68" s="535"/>
      <c r="I68" s="536" t="s">
        <v>423</v>
      </c>
      <c r="J68" s="482">
        <f>J32-J66</f>
        <v>483419.91999999993</v>
      </c>
      <c r="K68" s="483">
        <f t="shared" ref="K68:P68" si="16">K32-K66</f>
        <v>469193.9682</v>
      </c>
      <c r="L68" s="483">
        <f t="shared" si="16"/>
        <v>473236.95023700001</v>
      </c>
      <c r="M68" s="483">
        <f t="shared" si="16"/>
        <v>477112.96938904503</v>
      </c>
      <c r="N68" s="483">
        <f t="shared" si="16"/>
        <v>480808.49033205525</v>
      </c>
      <c r="O68" s="483">
        <f t="shared" si="16"/>
        <v>484309.31211619696</v>
      </c>
      <c r="P68" s="484">
        <f t="shared" si="16"/>
        <v>487600.5400797677</v>
      </c>
      <c r="Q68" s="519"/>
    </row>
    <row r="69" spans="2:19" x14ac:dyDescent="0.25">
      <c r="B69" s="520"/>
      <c r="C69" s="543"/>
      <c r="D69" s="535"/>
      <c r="E69" s="535"/>
      <c r="F69" s="535"/>
      <c r="G69" s="535"/>
      <c r="H69" s="535"/>
      <c r="I69" s="536"/>
      <c r="J69" s="573"/>
      <c r="K69" s="573"/>
      <c r="L69" s="573"/>
      <c r="M69" s="573"/>
      <c r="N69" s="573"/>
      <c r="O69" s="573"/>
      <c r="P69" s="573"/>
      <c r="Q69" s="519"/>
    </row>
    <row r="70" spans="2:19" ht="15.75" thickBot="1" x14ac:dyDescent="0.3">
      <c r="B70" s="395"/>
      <c r="C70" s="2249" t="s">
        <v>462</v>
      </c>
      <c r="D70" s="2249"/>
      <c r="E70" s="2249"/>
      <c r="F70" s="485"/>
      <c r="G70" s="485"/>
      <c r="H70" s="485"/>
      <c r="I70" s="485"/>
      <c r="J70" s="485"/>
      <c r="K70" s="485"/>
      <c r="L70" s="485"/>
      <c r="M70" s="1356"/>
      <c r="N70" s="1356"/>
      <c r="O70" s="1356"/>
      <c r="P70" s="1356"/>
      <c r="Q70" s="356"/>
    </row>
    <row r="71" spans="2:19" ht="15.75" thickBot="1" x14ac:dyDescent="0.3">
      <c r="B71" s="395"/>
      <c r="C71" s="698" t="s">
        <v>463</v>
      </c>
      <c r="D71" s="355"/>
      <c r="E71" s="1213"/>
      <c r="F71" s="1213"/>
      <c r="G71" s="1213"/>
      <c r="H71" s="2274" t="s">
        <v>464</v>
      </c>
      <c r="I71" s="2275"/>
      <c r="J71" s="447" t="s">
        <v>411</v>
      </c>
      <c r="K71" s="448" t="s">
        <v>412</v>
      </c>
      <c r="L71" s="448" t="s">
        <v>413</v>
      </c>
      <c r="M71" s="448" t="s">
        <v>414</v>
      </c>
      <c r="N71" s="448" t="s">
        <v>415</v>
      </c>
      <c r="O71" s="448" t="s">
        <v>416</v>
      </c>
      <c r="P71" s="449" t="s">
        <v>417</v>
      </c>
      <c r="Q71" s="356"/>
    </row>
    <row r="72" spans="2:19" x14ac:dyDescent="0.25">
      <c r="B72" s="395"/>
      <c r="C72" s="2262" t="s">
        <v>1530</v>
      </c>
      <c r="D72" s="2263"/>
      <c r="E72" s="2263"/>
      <c r="F72" s="2263"/>
      <c r="G72" s="2264"/>
      <c r="H72" s="2279">
        <v>6932376</v>
      </c>
      <c r="I72" s="2280"/>
      <c r="J72" s="1682">
        <v>446574</v>
      </c>
      <c r="K72" s="1683">
        <f>J72</f>
        <v>446574</v>
      </c>
      <c r="L72" s="1683">
        <f t="shared" ref="L72:O72" si="17">K72</f>
        <v>446574</v>
      </c>
      <c r="M72" s="1683">
        <f t="shared" si="17"/>
        <v>446574</v>
      </c>
      <c r="N72" s="1683">
        <f t="shared" si="17"/>
        <v>446574</v>
      </c>
      <c r="O72" s="1683">
        <f t="shared" si="17"/>
        <v>446574</v>
      </c>
      <c r="P72" s="1684">
        <f>O72</f>
        <v>446574</v>
      </c>
      <c r="Q72" s="356"/>
    </row>
    <row r="73" spans="2:19" x14ac:dyDescent="0.25">
      <c r="B73" s="395"/>
      <c r="C73" s="2271" t="s">
        <v>1442</v>
      </c>
      <c r="D73" s="2272"/>
      <c r="E73" s="2272"/>
      <c r="F73" s="2272"/>
      <c r="G73" s="2273"/>
      <c r="H73" s="2258">
        <v>11980000</v>
      </c>
      <c r="I73" s="2259"/>
      <c r="J73" s="1685">
        <v>0</v>
      </c>
      <c r="K73" s="1686">
        <v>0</v>
      </c>
      <c r="L73" s="1686">
        <v>0</v>
      </c>
      <c r="M73" s="1686">
        <v>0</v>
      </c>
      <c r="N73" s="1686">
        <v>0</v>
      </c>
      <c r="O73" s="1686">
        <v>0</v>
      </c>
      <c r="P73" s="1687">
        <v>0</v>
      </c>
      <c r="Q73" s="356"/>
      <c r="S73" s="1878"/>
    </row>
    <row r="74" spans="2:19" ht="15.75" thickBot="1" x14ac:dyDescent="0.3">
      <c r="B74" s="395"/>
      <c r="C74" s="2268" t="s">
        <v>1527</v>
      </c>
      <c r="D74" s="2269"/>
      <c r="E74" s="2269"/>
      <c r="F74" s="2269"/>
      <c r="G74" s="2270"/>
      <c r="H74" s="2260">
        <v>1000000</v>
      </c>
      <c r="I74" s="2261"/>
      <c r="J74" s="1688">
        <v>0</v>
      </c>
      <c r="K74" s="1689">
        <v>0</v>
      </c>
      <c r="L74" s="1689">
        <v>0</v>
      </c>
      <c r="M74" s="1689">
        <v>0</v>
      </c>
      <c r="N74" s="1689">
        <v>0</v>
      </c>
      <c r="O74" s="1689">
        <v>0</v>
      </c>
      <c r="P74" s="1690">
        <v>0</v>
      </c>
      <c r="Q74" s="356"/>
    </row>
    <row r="75" spans="2:19" ht="15.75" thickTop="1" x14ac:dyDescent="0.25">
      <c r="B75" s="395"/>
      <c r="C75" s="1357"/>
      <c r="D75" s="1357"/>
      <c r="E75" s="1357"/>
      <c r="F75" s="1357"/>
      <c r="G75" s="1357"/>
      <c r="H75" s="1358"/>
      <c r="I75" s="1359" t="s">
        <v>466</v>
      </c>
      <c r="J75" s="486">
        <f>SUM(J72:J74)</f>
        <v>446574</v>
      </c>
      <c r="K75" s="487">
        <f t="shared" ref="K75:P75" si="18">SUM(K72:K74)</f>
        <v>446574</v>
      </c>
      <c r="L75" s="487">
        <f t="shared" si="18"/>
        <v>446574</v>
      </c>
      <c r="M75" s="487">
        <f t="shared" si="18"/>
        <v>446574</v>
      </c>
      <c r="N75" s="487">
        <f t="shared" si="18"/>
        <v>446574</v>
      </c>
      <c r="O75" s="487">
        <f t="shared" si="18"/>
        <v>446574</v>
      </c>
      <c r="P75" s="488">
        <f t="shared" si="18"/>
        <v>446574</v>
      </c>
      <c r="Q75" s="356"/>
    </row>
    <row r="76" spans="2:19" x14ac:dyDescent="0.25">
      <c r="B76" s="395"/>
      <c r="C76" s="1357"/>
      <c r="D76" s="1357"/>
      <c r="E76" s="1357"/>
      <c r="F76" s="1213"/>
      <c r="G76" s="1213"/>
      <c r="H76" s="793"/>
      <c r="I76" s="793" t="s">
        <v>467</v>
      </c>
      <c r="J76" s="730">
        <f>IFERROR(J68/J75,"$0 ")</f>
        <v>1.0825079829994579</v>
      </c>
      <c r="K76" s="731">
        <f t="shared" ref="K76:P76" si="19">IFERROR(K68/K75,"$0 ")</f>
        <v>1.0506522282981097</v>
      </c>
      <c r="L76" s="731">
        <f t="shared" si="19"/>
        <v>1.0597055588480297</v>
      </c>
      <c r="M76" s="731">
        <f t="shared" si="19"/>
        <v>1.0683850143291931</v>
      </c>
      <c r="N76" s="731">
        <f t="shared" si="19"/>
        <v>1.0766602854892029</v>
      </c>
      <c r="O76" s="731">
        <f t="shared" si="19"/>
        <v>1.0844995725595241</v>
      </c>
      <c r="P76" s="732">
        <f t="shared" si="19"/>
        <v>1.0918695223630746</v>
      </c>
      <c r="Q76" s="356"/>
    </row>
    <row r="77" spans="2:19" ht="15.75" thickBot="1" x14ac:dyDescent="0.3">
      <c r="B77" s="395"/>
      <c r="C77" s="1357"/>
      <c r="D77" s="1357"/>
      <c r="E77" s="1357"/>
      <c r="F77" s="2234" t="s">
        <v>468</v>
      </c>
      <c r="G77" s="2234"/>
      <c r="H77" s="2234"/>
      <c r="I77" s="2239"/>
      <c r="J77" s="489">
        <f>J68-J75</f>
        <v>36845.919999999925</v>
      </c>
      <c r="K77" s="490">
        <f t="shared" ref="K77:P77" si="20">K68-K75</f>
        <v>22619.968200000003</v>
      </c>
      <c r="L77" s="490">
        <f t="shared" si="20"/>
        <v>26662.950237000012</v>
      </c>
      <c r="M77" s="490">
        <f>M68-M75</f>
        <v>30538.969389045029</v>
      </c>
      <c r="N77" s="490">
        <f t="shared" si="20"/>
        <v>34234.490332055255</v>
      </c>
      <c r="O77" s="490">
        <f t="shared" si="20"/>
        <v>37735.312116196961</v>
      </c>
      <c r="P77" s="491">
        <f t="shared" si="20"/>
        <v>41026.540079767699</v>
      </c>
      <c r="Q77" s="356"/>
    </row>
    <row r="78" spans="2:19" ht="15" customHeight="1" thickBot="1" x14ac:dyDescent="0.3">
      <c r="B78" s="395"/>
      <c r="C78" s="1357"/>
      <c r="D78" s="1357"/>
      <c r="E78" s="1357"/>
      <c r="F78" s="1357"/>
      <c r="G78" s="1357"/>
      <c r="H78" s="1358"/>
      <c r="I78" s="1358"/>
      <c r="J78" s="1360"/>
      <c r="K78" s="1360"/>
      <c r="L78" s="1360"/>
      <c r="M78" s="1360"/>
      <c r="N78" s="1360"/>
      <c r="O78" s="1360"/>
      <c r="P78" s="1360"/>
      <c r="Q78" s="356"/>
    </row>
    <row r="79" spans="2:19" ht="15.75" thickBot="1" x14ac:dyDescent="0.3">
      <c r="B79" s="395"/>
      <c r="C79" s="698" t="s">
        <v>469</v>
      </c>
      <c r="D79" s="355"/>
      <c r="E79" s="1213"/>
      <c r="F79" s="1213"/>
      <c r="G79" s="1213"/>
      <c r="H79" s="2274" t="s">
        <v>464</v>
      </c>
      <c r="I79" s="2275"/>
      <c r="J79" s="447" t="s">
        <v>411</v>
      </c>
      <c r="K79" s="448" t="s">
        <v>412</v>
      </c>
      <c r="L79" s="448" t="s">
        <v>413</v>
      </c>
      <c r="M79" s="448" t="s">
        <v>414</v>
      </c>
      <c r="N79" s="448" t="s">
        <v>415</v>
      </c>
      <c r="O79" s="448" t="s">
        <v>416</v>
      </c>
      <c r="P79" s="449" t="s">
        <v>417</v>
      </c>
      <c r="Q79" s="356"/>
    </row>
    <row r="80" spans="2:19" x14ac:dyDescent="0.25">
      <c r="B80" s="395"/>
      <c r="C80" s="2262" t="s">
        <v>1514</v>
      </c>
      <c r="D80" s="2263"/>
      <c r="E80" s="2263"/>
      <c r="F80" s="2263"/>
      <c r="G80" s="2264"/>
      <c r="H80" s="2279">
        <v>1313231</v>
      </c>
      <c r="I80" s="2280"/>
      <c r="J80" s="1682">
        <f>J77</f>
        <v>36845.919999999925</v>
      </c>
      <c r="K80" s="1683">
        <f>K77</f>
        <v>22619.968200000003</v>
      </c>
      <c r="L80" s="1683">
        <f t="shared" ref="L80:O80" si="21">L77</f>
        <v>26662.950237000012</v>
      </c>
      <c r="M80" s="1683">
        <f t="shared" si="21"/>
        <v>30538.969389045029</v>
      </c>
      <c r="N80" s="1683">
        <f t="shared" si="21"/>
        <v>34234.490332055255</v>
      </c>
      <c r="O80" s="1683">
        <f t="shared" si="21"/>
        <v>37735.312116196961</v>
      </c>
      <c r="P80" s="1684">
        <f>P77</f>
        <v>41026.540079767699</v>
      </c>
      <c r="Q80" s="356"/>
    </row>
    <row r="81" spans="2:17" x14ac:dyDescent="0.25">
      <c r="B81" s="395"/>
      <c r="C81" s="2265"/>
      <c r="D81" s="2266"/>
      <c r="E81" s="2266"/>
      <c r="F81" s="2266"/>
      <c r="G81" s="2267"/>
      <c r="H81" s="2258">
        <v>0</v>
      </c>
      <c r="I81" s="2259"/>
      <c r="J81" s="1685">
        <v>0</v>
      </c>
      <c r="K81" s="1686">
        <v>0</v>
      </c>
      <c r="L81" s="1686">
        <v>0</v>
      </c>
      <c r="M81" s="1686">
        <v>0</v>
      </c>
      <c r="N81" s="1686">
        <v>0</v>
      </c>
      <c r="O81" s="1686">
        <v>0</v>
      </c>
      <c r="P81" s="1687">
        <v>0</v>
      </c>
      <c r="Q81" s="356"/>
    </row>
    <row r="82" spans="2:17" x14ac:dyDescent="0.25">
      <c r="B82" s="395"/>
      <c r="C82" s="2265"/>
      <c r="D82" s="2266"/>
      <c r="E82" s="2266"/>
      <c r="F82" s="2266"/>
      <c r="G82" s="2267"/>
      <c r="H82" s="2258">
        <v>0</v>
      </c>
      <c r="I82" s="2259"/>
      <c r="J82" s="1691">
        <v>0</v>
      </c>
      <c r="K82" s="1692">
        <v>0</v>
      </c>
      <c r="L82" s="1692">
        <v>0</v>
      </c>
      <c r="M82" s="1692">
        <v>0</v>
      </c>
      <c r="N82" s="1692">
        <v>0</v>
      </c>
      <c r="O82" s="1692">
        <v>0</v>
      </c>
      <c r="P82" s="1693">
        <v>0</v>
      </c>
      <c r="Q82" s="356"/>
    </row>
    <row r="83" spans="2:17" ht="15.75" thickBot="1" x14ac:dyDescent="0.3">
      <c r="B83" s="395"/>
      <c r="C83" s="2268"/>
      <c r="D83" s="2269"/>
      <c r="E83" s="2269"/>
      <c r="F83" s="2269"/>
      <c r="G83" s="2270"/>
      <c r="H83" s="2260">
        <v>0</v>
      </c>
      <c r="I83" s="2261"/>
      <c r="J83" s="1694">
        <v>0</v>
      </c>
      <c r="K83" s="1695">
        <v>0</v>
      </c>
      <c r="L83" s="1695">
        <v>0</v>
      </c>
      <c r="M83" s="1695">
        <v>0</v>
      </c>
      <c r="N83" s="1695">
        <v>0</v>
      </c>
      <c r="O83" s="1695">
        <v>0</v>
      </c>
      <c r="P83" s="1696">
        <v>0</v>
      </c>
      <c r="Q83" s="356"/>
    </row>
    <row r="84" spans="2:17" ht="16.5" thickTop="1" thickBot="1" x14ac:dyDescent="0.3">
      <c r="B84" s="395"/>
      <c r="C84" s="1213"/>
      <c r="D84" s="1213"/>
      <c r="E84" s="1213"/>
      <c r="F84" s="2234" t="s">
        <v>470</v>
      </c>
      <c r="G84" s="2234"/>
      <c r="H84" s="2234"/>
      <c r="I84" s="2239"/>
      <c r="J84" s="492">
        <f>SUM(J80:J83)</f>
        <v>36845.919999999925</v>
      </c>
      <c r="K84" s="493">
        <f t="shared" ref="K84:P84" si="22">SUM(K80:K83)</f>
        <v>22619.968200000003</v>
      </c>
      <c r="L84" s="493">
        <f t="shared" si="22"/>
        <v>26662.950237000012</v>
      </c>
      <c r="M84" s="493">
        <f t="shared" si="22"/>
        <v>30538.969389045029</v>
      </c>
      <c r="N84" s="493">
        <f t="shared" si="22"/>
        <v>34234.490332055255</v>
      </c>
      <c r="O84" s="493">
        <f t="shared" si="22"/>
        <v>37735.312116196961</v>
      </c>
      <c r="P84" s="494">
        <f t="shared" si="22"/>
        <v>41026.540079767699</v>
      </c>
      <c r="Q84" s="356"/>
    </row>
    <row r="85" spans="2:17" ht="7.5" customHeight="1" thickBot="1" x14ac:dyDescent="0.3">
      <c r="B85" s="395"/>
      <c r="C85" s="1213"/>
      <c r="D85" s="1213"/>
      <c r="E85" s="1213"/>
      <c r="F85" s="1213"/>
      <c r="G85" s="1213"/>
      <c r="H85" s="1213"/>
      <c r="I85" s="1213"/>
      <c r="J85" s="1213"/>
      <c r="K85" s="1213"/>
      <c r="L85" s="1213"/>
      <c r="M85" s="1213"/>
      <c r="N85" s="1213"/>
      <c r="O85" s="1213"/>
      <c r="P85" s="1213"/>
      <c r="Q85" s="356"/>
    </row>
    <row r="86" spans="2:17" x14ac:dyDescent="0.25">
      <c r="B86" s="395"/>
      <c r="C86" s="1213"/>
      <c r="D86" s="1213"/>
      <c r="E86" s="1213"/>
      <c r="F86" s="2234" t="s">
        <v>471</v>
      </c>
      <c r="G86" s="2234"/>
      <c r="H86" s="2234"/>
      <c r="I86" s="2239"/>
      <c r="J86" s="733">
        <f>IFERROR(J68/(J75+J84),"$0 ")</f>
        <v>1</v>
      </c>
      <c r="K86" s="734">
        <f t="shared" ref="K86:P86" si="23">IFERROR(K68/(K75+K84),"$0 ")</f>
        <v>1</v>
      </c>
      <c r="L86" s="734">
        <f t="shared" si="23"/>
        <v>1</v>
      </c>
      <c r="M86" s="734">
        <f t="shared" si="23"/>
        <v>1</v>
      </c>
      <c r="N86" s="734">
        <f t="shared" si="23"/>
        <v>1</v>
      </c>
      <c r="O86" s="734">
        <f t="shared" si="23"/>
        <v>1</v>
      </c>
      <c r="P86" s="735">
        <f t="shared" si="23"/>
        <v>1</v>
      </c>
      <c r="Q86" s="356"/>
    </row>
    <row r="87" spans="2:17" ht="15.75" thickBot="1" x14ac:dyDescent="0.3">
      <c r="B87" s="395"/>
      <c r="C87" s="1213"/>
      <c r="D87" s="1213"/>
      <c r="E87" s="1213"/>
      <c r="F87" s="2234" t="s">
        <v>472</v>
      </c>
      <c r="G87" s="2234"/>
      <c r="H87" s="2235"/>
      <c r="I87" s="2236"/>
      <c r="J87" s="1361">
        <f>J77-J84</f>
        <v>0</v>
      </c>
      <c r="K87" s="1362">
        <f t="shared" ref="K87:O87" si="24">K77-K84</f>
        <v>0</v>
      </c>
      <c r="L87" s="1363">
        <f t="shared" si="24"/>
        <v>0</v>
      </c>
      <c r="M87" s="1363">
        <f t="shared" si="24"/>
        <v>0</v>
      </c>
      <c r="N87" s="1363">
        <f t="shared" si="24"/>
        <v>0</v>
      </c>
      <c r="O87" s="1363">
        <f t="shared" si="24"/>
        <v>0</v>
      </c>
      <c r="P87" s="1364">
        <f>P77-P84</f>
        <v>0</v>
      </c>
      <c r="Q87" s="356"/>
    </row>
    <row r="88" spans="2:17" ht="9" customHeight="1" thickBot="1" x14ac:dyDescent="0.3">
      <c r="B88" s="1311"/>
      <c r="C88" s="361"/>
      <c r="D88" s="580"/>
      <c r="E88" s="361"/>
      <c r="F88" s="361"/>
      <c r="G88" s="361"/>
      <c r="H88" s="361"/>
      <c r="I88" s="361"/>
      <c r="J88" s="361"/>
      <c r="K88" s="361"/>
      <c r="L88" s="361"/>
      <c r="M88" s="361"/>
      <c r="N88" s="361"/>
      <c r="O88" s="361"/>
      <c r="P88" s="361"/>
      <c r="Q88" s="362"/>
    </row>
    <row r="89" spans="2:17" ht="9" customHeight="1" x14ac:dyDescent="0.25">
      <c r="B89" s="514"/>
      <c r="C89" s="515"/>
      <c r="D89" s="515"/>
      <c r="E89" s="515"/>
      <c r="F89" s="515"/>
      <c r="G89" s="515"/>
      <c r="H89" s="515"/>
      <c r="I89" s="515"/>
      <c r="J89" s="515"/>
      <c r="K89" s="515"/>
      <c r="L89" s="515"/>
      <c r="M89" s="515"/>
      <c r="N89" s="515"/>
      <c r="O89" s="515"/>
      <c r="P89" s="515"/>
      <c r="Q89" s="516"/>
    </row>
    <row r="90" spans="2:17" ht="18.75" x14ac:dyDescent="0.3">
      <c r="B90" s="517"/>
      <c r="C90" s="2030" t="s">
        <v>1076</v>
      </c>
      <c r="D90" s="2030"/>
      <c r="E90" s="2030"/>
      <c r="F90" s="2030"/>
      <c r="G90" s="2030"/>
      <c r="H90" s="2030"/>
      <c r="I90" s="2030"/>
      <c r="J90" s="2030"/>
      <c r="K90" s="2030"/>
      <c r="L90" s="2030"/>
      <c r="M90" s="2030"/>
      <c r="N90" s="2030"/>
      <c r="O90" s="2030"/>
      <c r="P90" s="2030"/>
      <c r="Q90" s="519"/>
    </row>
    <row r="91" spans="2:17" x14ac:dyDescent="0.25">
      <c r="B91" s="517"/>
      <c r="C91" s="518"/>
      <c r="D91" s="518"/>
      <c r="E91" s="518"/>
      <c r="F91" s="518"/>
      <c r="G91" s="518"/>
      <c r="H91" s="518"/>
      <c r="I91" s="518"/>
      <c r="J91" s="518"/>
      <c r="K91" s="518"/>
      <c r="L91" s="518"/>
      <c r="M91" s="518"/>
      <c r="N91" s="518"/>
      <c r="O91" s="518"/>
      <c r="P91" s="518"/>
      <c r="Q91" s="519"/>
    </row>
    <row r="92" spans="2:17" x14ac:dyDescent="0.25">
      <c r="B92" s="517"/>
      <c r="C92" s="1128" t="s">
        <v>63</v>
      </c>
      <c r="D92" s="1127" t="str">
        <f>IF('1A'!G86="","Enter Project Name on Form 1A",'1A'!G86)</f>
        <v>Enter Project Name on Form 1A</v>
      </c>
      <c r="E92" s="1127"/>
      <c r="F92" s="1127"/>
      <c r="G92" s="1127"/>
      <c r="H92" s="1127"/>
      <c r="I92" s="1127"/>
      <c r="J92" s="1127"/>
      <c r="K92" s="1213"/>
      <c r="L92" s="1213"/>
      <c r="M92" s="1213"/>
      <c r="N92" s="1128"/>
      <c r="O92" s="1128"/>
      <c r="P92" s="1128"/>
      <c r="Q92" s="519"/>
    </row>
    <row r="93" spans="2:17" ht="3.75" customHeight="1" x14ac:dyDescent="0.25">
      <c r="B93" s="517"/>
      <c r="C93" s="1128"/>
      <c r="D93" s="1128"/>
      <c r="E93" s="1128"/>
      <c r="F93" s="1128"/>
      <c r="G93" s="1128"/>
      <c r="H93" s="1128"/>
      <c r="I93" s="1128"/>
      <c r="J93" s="1213"/>
      <c r="K93" s="1213"/>
      <c r="L93" s="1213"/>
      <c r="M93" s="1213"/>
      <c r="N93" s="1128"/>
      <c r="O93" s="1128"/>
      <c r="P93" s="1128"/>
      <c r="Q93" s="519"/>
    </row>
    <row r="94" spans="2:17" x14ac:dyDescent="0.25">
      <c r="B94" s="520"/>
      <c r="C94" s="1128" t="s">
        <v>409</v>
      </c>
      <c r="D94" s="1374">
        <f>IF(D13=0,"",D13)</f>
        <v>42261</v>
      </c>
      <c r="E94" s="521"/>
      <c r="F94" s="521"/>
      <c r="G94" s="521"/>
      <c r="H94" s="521"/>
      <c r="I94" s="521"/>
      <c r="J94" s="522"/>
      <c r="K94" s="522"/>
      <c r="L94" s="522"/>
      <c r="M94" s="522"/>
      <c r="N94" s="522"/>
      <c r="O94" s="523"/>
      <c r="P94" s="522"/>
      <c r="Q94" s="524"/>
    </row>
    <row r="95" spans="2:17" ht="7.5" customHeight="1" x14ac:dyDescent="0.25">
      <c r="B95" s="395"/>
      <c r="C95" s="355"/>
      <c r="D95" s="355"/>
      <c r="E95" s="355"/>
      <c r="F95" s="355"/>
      <c r="G95" s="355"/>
      <c r="H95" s="355"/>
      <c r="I95" s="355"/>
      <c r="J95" s="355"/>
      <c r="K95" s="355"/>
      <c r="L95" s="355"/>
      <c r="M95" s="355"/>
      <c r="N95" s="355"/>
      <c r="O95" s="355"/>
      <c r="P95" s="355"/>
      <c r="Q95" s="356"/>
    </row>
    <row r="96" spans="2:17" ht="15.75" thickBot="1" x14ac:dyDescent="0.3">
      <c r="B96" s="526"/>
      <c r="C96" s="443" t="s">
        <v>410</v>
      </c>
      <c r="D96" s="444"/>
      <c r="E96" s="442"/>
      <c r="F96" s="442"/>
      <c r="G96" s="442"/>
      <c r="H96" s="442"/>
      <c r="I96" s="442"/>
      <c r="J96" s="444"/>
      <c r="K96" s="444"/>
      <c r="L96" s="444"/>
      <c r="M96" s="444"/>
      <c r="N96" s="444"/>
      <c r="O96" s="446"/>
      <c r="P96" s="444"/>
      <c r="Q96" s="528"/>
    </row>
    <row r="97" spans="2:17" ht="15.75" thickBot="1" x14ac:dyDescent="0.3">
      <c r="B97" s="395"/>
      <c r="C97" s="535"/>
      <c r="D97" s="1213"/>
      <c r="E97" s="1213"/>
      <c r="F97" s="1213"/>
      <c r="G97" s="1213"/>
      <c r="H97" s="1213"/>
      <c r="I97" s="495" t="s">
        <v>473</v>
      </c>
      <c r="J97" s="496" t="s">
        <v>474</v>
      </c>
      <c r="K97" s="448" t="s">
        <v>475</v>
      </c>
      <c r="L97" s="448" t="s">
        <v>476</v>
      </c>
      <c r="M97" s="448" t="s">
        <v>477</v>
      </c>
      <c r="N97" s="448" t="s">
        <v>478</v>
      </c>
      <c r="O97" s="448" t="s">
        <v>479</v>
      </c>
      <c r="P97" s="449" t="s">
        <v>480</v>
      </c>
      <c r="Q97" s="356"/>
    </row>
    <row r="98" spans="2:17" x14ac:dyDescent="0.25">
      <c r="B98" s="395"/>
      <c r="C98" s="527" t="s">
        <v>418</v>
      </c>
      <c r="D98" s="1213"/>
      <c r="E98" s="1213"/>
      <c r="F98" s="1213"/>
      <c r="G98" s="1213"/>
      <c r="H98" s="1213"/>
      <c r="I98" s="451"/>
      <c r="J98" s="452"/>
      <c r="K98" s="452"/>
      <c r="L98" s="452"/>
      <c r="M98" s="452"/>
      <c r="N98" s="452"/>
      <c r="O98" s="452"/>
      <c r="P98" s="453"/>
      <c r="Q98" s="356"/>
    </row>
    <row r="99" spans="2:17" x14ac:dyDescent="0.25">
      <c r="B99" s="395"/>
      <c r="C99" s="581" t="s">
        <v>420</v>
      </c>
      <c r="D99" s="1213"/>
      <c r="E99" s="1213"/>
      <c r="F99" s="1213"/>
      <c r="G99" s="1213"/>
      <c r="H99" s="1213"/>
      <c r="I99" s="571">
        <f>P18+(P18*$H18)</f>
        <v>1486632.2151966577</v>
      </c>
      <c r="J99" s="582">
        <f>I99+(I99*$H18)</f>
        <v>1523798.0205765741</v>
      </c>
      <c r="K99" s="582">
        <f t="shared" ref="K99:P99" si="25">J99+(J99*$H18)</f>
        <v>1561892.9710909885</v>
      </c>
      <c r="L99" s="582">
        <f t="shared" si="25"/>
        <v>1600940.2953682633</v>
      </c>
      <c r="M99" s="582">
        <f t="shared" si="25"/>
        <v>1640963.8027524699</v>
      </c>
      <c r="N99" s="582">
        <f t="shared" si="25"/>
        <v>1681987.8978212816</v>
      </c>
      <c r="O99" s="582">
        <f t="shared" si="25"/>
        <v>1724037.5952668136</v>
      </c>
      <c r="P99" s="583">
        <f t="shared" si="25"/>
        <v>1767138.5351484839</v>
      </c>
      <c r="Q99" s="356"/>
    </row>
    <row r="100" spans="2:17" x14ac:dyDescent="0.25">
      <c r="B100" s="395"/>
      <c r="C100" s="581" t="s">
        <v>366</v>
      </c>
      <c r="D100" s="1213"/>
      <c r="E100" s="1213"/>
      <c r="F100" s="1213"/>
      <c r="G100" s="1213"/>
      <c r="H100" s="1213"/>
      <c r="I100" s="1380"/>
      <c r="J100" s="1381"/>
      <c r="K100" s="1381"/>
      <c r="L100" s="1381"/>
      <c r="M100" s="1381"/>
      <c r="N100" s="1381"/>
      <c r="O100" s="1381"/>
      <c r="P100" s="1382"/>
      <c r="Q100" s="356"/>
    </row>
    <row r="101" spans="2:17" x14ac:dyDescent="0.25">
      <c r="B101" s="395"/>
      <c r="C101" s="581" t="s">
        <v>376</v>
      </c>
      <c r="D101" s="1213"/>
      <c r="E101" s="1213"/>
      <c r="F101" s="1213"/>
      <c r="G101" s="1213"/>
      <c r="H101" s="1213"/>
      <c r="I101" s="571">
        <v>0</v>
      </c>
      <c r="J101" s="582">
        <v>0</v>
      </c>
      <c r="K101" s="582">
        <v>0</v>
      </c>
      <c r="L101" s="582">
        <v>0</v>
      </c>
      <c r="M101" s="582">
        <v>0</v>
      </c>
      <c r="N101" s="582">
        <v>0</v>
      </c>
      <c r="O101" s="582">
        <v>0</v>
      </c>
      <c r="P101" s="583">
        <v>0</v>
      </c>
      <c r="Q101" s="356"/>
    </row>
    <row r="102" spans="2:17" x14ac:dyDescent="0.25">
      <c r="B102" s="395"/>
      <c r="C102" s="581" t="s">
        <v>481</v>
      </c>
      <c r="D102" s="2253" t="str">
        <f>IF(D21=0,"",D21)</f>
        <v>Misc Income</v>
      </c>
      <c r="E102" s="2254"/>
      <c r="F102" s="2254"/>
      <c r="G102" s="594"/>
      <c r="H102" s="535"/>
      <c r="I102" s="571">
        <f>P21+(P21*$H21)</f>
        <v>15851.862213560064</v>
      </c>
      <c r="J102" s="582">
        <f>I102+(I102*$H21)</f>
        <v>16168.899457831265</v>
      </c>
      <c r="K102" s="582">
        <f t="shared" ref="K102:P103" si="26">J102+(J102*$H21)</f>
        <v>16492.27744698789</v>
      </c>
      <c r="L102" s="582">
        <f t="shared" si="26"/>
        <v>16822.122995927646</v>
      </c>
      <c r="M102" s="582">
        <f t="shared" si="26"/>
        <v>17158.565455846197</v>
      </c>
      <c r="N102" s="582">
        <f t="shared" si="26"/>
        <v>17501.73676496312</v>
      </c>
      <c r="O102" s="582">
        <f t="shared" si="26"/>
        <v>17851.771500262381</v>
      </c>
      <c r="P102" s="583">
        <f t="shared" si="26"/>
        <v>18208.806930267627</v>
      </c>
      <c r="Q102" s="356"/>
    </row>
    <row r="103" spans="2:17" x14ac:dyDescent="0.25">
      <c r="B103" s="395"/>
      <c r="C103" s="563" t="s">
        <v>481</v>
      </c>
      <c r="D103" s="2253" t="str">
        <f>IF(D22=0,"",D22)</f>
        <v/>
      </c>
      <c r="E103" s="2254"/>
      <c r="F103" s="2254"/>
      <c r="G103" s="594"/>
      <c r="H103" s="535"/>
      <c r="I103" s="571">
        <f>P22+(P22*$H22)</f>
        <v>0</v>
      </c>
      <c r="J103" s="582">
        <f>I103+(I103*$H22)</f>
        <v>0</v>
      </c>
      <c r="K103" s="582">
        <f t="shared" si="26"/>
        <v>0</v>
      </c>
      <c r="L103" s="582">
        <f t="shared" si="26"/>
        <v>0</v>
      </c>
      <c r="M103" s="582">
        <f t="shared" si="26"/>
        <v>0</v>
      </c>
      <c r="N103" s="582">
        <f t="shared" si="26"/>
        <v>0</v>
      </c>
      <c r="O103" s="582">
        <f t="shared" si="26"/>
        <v>0</v>
      </c>
      <c r="P103" s="583">
        <f t="shared" si="26"/>
        <v>0</v>
      </c>
      <c r="Q103" s="356"/>
    </row>
    <row r="104" spans="2:17" x14ac:dyDescent="0.25">
      <c r="B104" s="395"/>
      <c r="C104" s="535" t="s">
        <v>422</v>
      </c>
      <c r="D104" s="1213"/>
      <c r="E104" s="1213"/>
      <c r="F104" s="1213"/>
      <c r="G104" s="1213"/>
      <c r="H104" s="1213"/>
      <c r="I104" s="497">
        <f>SUM(I99:I103)</f>
        <v>1502484.0774102178</v>
      </c>
      <c r="J104" s="498">
        <f t="shared" ref="J104:O104" si="27">SUM(J99:J103)</f>
        <v>1539966.9200344053</v>
      </c>
      <c r="K104" s="498">
        <f t="shared" si="27"/>
        <v>1578385.2485379763</v>
      </c>
      <c r="L104" s="498">
        <f t="shared" si="27"/>
        <v>1617762.418364191</v>
      </c>
      <c r="M104" s="498">
        <f t="shared" si="27"/>
        <v>1658122.3682083162</v>
      </c>
      <c r="N104" s="498">
        <f t="shared" si="27"/>
        <v>1699489.6345862446</v>
      </c>
      <c r="O104" s="498">
        <f t="shared" si="27"/>
        <v>1741889.3667670761</v>
      </c>
      <c r="P104" s="499">
        <f>SUM(P99:P103)</f>
        <v>1785347.3420787517</v>
      </c>
      <c r="Q104" s="356"/>
    </row>
    <row r="105" spans="2:17" x14ac:dyDescent="0.25">
      <c r="B105" s="395"/>
      <c r="C105" s="535"/>
      <c r="D105" s="1213"/>
      <c r="E105" s="1213"/>
      <c r="F105" s="1213"/>
      <c r="G105" s="1213"/>
      <c r="H105" s="1213"/>
      <c r="I105" s="500"/>
      <c r="J105" s="501"/>
      <c r="K105" s="501"/>
      <c r="L105" s="501"/>
      <c r="M105" s="501"/>
      <c r="N105" s="501"/>
      <c r="O105" s="501"/>
      <c r="P105" s="502"/>
      <c r="Q105" s="356"/>
    </row>
    <row r="106" spans="2:17" x14ac:dyDescent="0.25">
      <c r="B106" s="395"/>
      <c r="C106" s="535" t="s">
        <v>424</v>
      </c>
      <c r="D106" s="1213"/>
      <c r="E106" s="1213"/>
      <c r="F106" s="1213"/>
      <c r="G106" s="1213"/>
      <c r="H106" s="1213"/>
      <c r="I106" s="1697">
        <v>0</v>
      </c>
      <c r="J106" s="1698">
        <v>0</v>
      </c>
      <c r="K106" s="1698">
        <v>0</v>
      </c>
      <c r="L106" s="1698">
        <v>0</v>
      </c>
      <c r="M106" s="1698">
        <v>0</v>
      </c>
      <c r="N106" s="1698">
        <v>0</v>
      </c>
      <c r="O106" s="1698">
        <v>0</v>
      </c>
      <c r="P106" s="1699">
        <v>0</v>
      </c>
      <c r="Q106" s="356"/>
    </row>
    <row r="107" spans="2:17" x14ac:dyDescent="0.25">
      <c r="B107" s="395"/>
      <c r="C107" s="535"/>
      <c r="D107" s="1213"/>
      <c r="E107" s="1213"/>
      <c r="F107" s="1213"/>
      <c r="G107" s="1213"/>
      <c r="H107" s="1213"/>
      <c r="I107" s="500"/>
      <c r="J107" s="501"/>
      <c r="K107" s="501"/>
      <c r="L107" s="501"/>
      <c r="M107" s="501"/>
      <c r="N107" s="501"/>
      <c r="O107" s="501"/>
      <c r="P107" s="502"/>
      <c r="Q107" s="356"/>
    </row>
    <row r="108" spans="2:17" ht="15.75" thickBot="1" x14ac:dyDescent="0.3">
      <c r="B108" s="395"/>
      <c r="C108" s="538" t="s">
        <v>425</v>
      </c>
      <c r="D108" s="1339"/>
      <c r="E108" s="1339"/>
      <c r="F108" s="1339"/>
      <c r="G108" s="1339"/>
      <c r="H108" s="1339"/>
      <c r="I108" s="1700">
        <v>0</v>
      </c>
      <c r="J108" s="1701">
        <v>0</v>
      </c>
      <c r="K108" s="1701">
        <v>0</v>
      </c>
      <c r="L108" s="1701">
        <v>0</v>
      </c>
      <c r="M108" s="1701">
        <v>0</v>
      </c>
      <c r="N108" s="1701">
        <v>0</v>
      </c>
      <c r="O108" s="1701">
        <v>0</v>
      </c>
      <c r="P108" s="1702">
        <v>0</v>
      </c>
      <c r="Q108" s="356"/>
    </row>
    <row r="109" spans="2:17" ht="15.75" thickTop="1" x14ac:dyDescent="0.25">
      <c r="B109" s="395"/>
      <c r="C109" s="527" t="s">
        <v>426</v>
      </c>
      <c r="D109" s="1213"/>
      <c r="E109" s="1213"/>
      <c r="F109" s="1213"/>
      <c r="G109" s="1213"/>
      <c r="H109" s="1213"/>
      <c r="I109" s="503">
        <f>I104+I106+I108</f>
        <v>1502484.0774102178</v>
      </c>
      <c r="J109" s="504">
        <f t="shared" ref="J109:O109" si="28">J104+J106+J108</f>
        <v>1539966.9200344053</v>
      </c>
      <c r="K109" s="504">
        <f t="shared" si="28"/>
        <v>1578385.2485379763</v>
      </c>
      <c r="L109" s="504">
        <f t="shared" si="28"/>
        <v>1617762.418364191</v>
      </c>
      <c r="M109" s="504">
        <f t="shared" si="28"/>
        <v>1658122.3682083162</v>
      </c>
      <c r="N109" s="504">
        <f t="shared" si="28"/>
        <v>1699489.6345862446</v>
      </c>
      <c r="O109" s="504">
        <f t="shared" si="28"/>
        <v>1741889.3667670761</v>
      </c>
      <c r="P109" s="505">
        <f>P104+P106+P108</f>
        <v>1785347.3420787517</v>
      </c>
      <c r="Q109" s="356"/>
    </row>
    <row r="110" spans="2:17" x14ac:dyDescent="0.25">
      <c r="B110" s="395"/>
      <c r="C110" s="527"/>
      <c r="D110" s="1213"/>
      <c r="E110" s="1213"/>
      <c r="F110" s="1213"/>
      <c r="G110" s="1213"/>
      <c r="H110" s="1213"/>
      <c r="I110" s="500"/>
      <c r="J110" s="501"/>
      <c r="K110" s="501"/>
      <c r="L110" s="501"/>
      <c r="M110" s="501"/>
      <c r="N110" s="501"/>
      <c r="O110" s="501"/>
      <c r="P110" s="502"/>
      <c r="Q110" s="356"/>
    </row>
    <row r="111" spans="2:17" x14ac:dyDescent="0.25">
      <c r="B111" s="395"/>
      <c r="C111" s="584" t="s">
        <v>482</v>
      </c>
      <c r="D111" s="1213"/>
      <c r="E111" s="1213"/>
      <c r="F111" s="1213"/>
      <c r="G111" s="1213"/>
      <c r="H111" s="1213"/>
      <c r="I111" s="1365">
        <f>-I104*$H30</f>
        <v>-75124.203870510901</v>
      </c>
      <c r="J111" s="1366">
        <f t="shared" ref="J111:P111" si="29">-J104*$H30</f>
        <v>-76998.346001720274</v>
      </c>
      <c r="K111" s="1366">
        <f t="shared" si="29"/>
        <v>-78919.262426898815</v>
      </c>
      <c r="L111" s="1366">
        <f t="shared" si="29"/>
        <v>-80888.120918209548</v>
      </c>
      <c r="M111" s="1366">
        <f t="shared" si="29"/>
        <v>-82906.118410415816</v>
      </c>
      <c r="N111" s="1366">
        <f t="shared" si="29"/>
        <v>-84974.481729312232</v>
      </c>
      <c r="O111" s="1366">
        <f t="shared" si="29"/>
        <v>-87094.468338353807</v>
      </c>
      <c r="P111" s="1367">
        <f t="shared" si="29"/>
        <v>-89267.367103937591</v>
      </c>
      <c r="Q111" s="356"/>
    </row>
    <row r="112" spans="2:17" ht="15.75" thickBot="1" x14ac:dyDescent="0.3">
      <c r="B112" s="395"/>
      <c r="C112" s="542" t="s">
        <v>483</v>
      </c>
      <c r="D112" s="1339"/>
      <c r="E112" s="1339"/>
      <c r="F112" s="1339"/>
      <c r="G112" s="1339"/>
      <c r="H112" s="1339"/>
      <c r="I112" s="1368">
        <f>-I108*$H31</f>
        <v>0</v>
      </c>
      <c r="J112" s="1369">
        <f>-J108*$H31</f>
        <v>0</v>
      </c>
      <c r="K112" s="1369">
        <f t="shared" ref="K112:P112" si="30">-K108*$H31</f>
        <v>0</v>
      </c>
      <c r="L112" s="1369">
        <f t="shared" si="30"/>
        <v>0</v>
      </c>
      <c r="M112" s="1369">
        <f t="shared" si="30"/>
        <v>0</v>
      </c>
      <c r="N112" s="1369">
        <f t="shared" si="30"/>
        <v>0</v>
      </c>
      <c r="O112" s="1369">
        <f t="shared" si="30"/>
        <v>0</v>
      </c>
      <c r="P112" s="1370">
        <f t="shared" si="30"/>
        <v>0</v>
      </c>
      <c r="Q112" s="356"/>
    </row>
    <row r="113" spans="2:17" ht="16.5" thickTop="1" thickBot="1" x14ac:dyDescent="0.3">
      <c r="B113" s="395"/>
      <c r="C113" s="543" t="s">
        <v>430</v>
      </c>
      <c r="D113" s="1213"/>
      <c r="E113" s="1213"/>
      <c r="F113" s="1213"/>
      <c r="G113" s="1213"/>
      <c r="H113" s="1213"/>
      <c r="I113" s="506">
        <f>I109+I111+I112</f>
        <v>1427359.8735397069</v>
      </c>
      <c r="J113" s="507">
        <f t="shared" ref="J113:O113" si="31">J109+J111+J112</f>
        <v>1462968.574032685</v>
      </c>
      <c r="K113" s="508">
        <f t="shared" si="31"/>
        <v>1499465.9861110775</v>
      </c>
      <c r="L113" s="508">
        <f t="shared" si="31"/>
        <v>1536874.2974459813</v>
      </c>
      <c r="M113" s="508">
        <f t="shared" si="31"/>
        <v>1575216.2497979004</v>
      </c>
      <c r="N113" s="508">
        <f t="shared" si="31"/>
        <v>1614515.1528569323</v>
      </c>
      <c r="O113" s="508">
        <f t="shared" si="31"/>
        <v>1654794.8984287223</v>
      </c>
      <c r="P113" s="509">
        <f>P109+P111+P112</f>
        <v>1696079.9749748141</v>
      </c>
      <c r="Q113" s="356"/>
    </row>
    <row r="114" spans="2:17" ht="7.5" customHeight="1" x14ac:dyDescent="0.25">
      <c r="B114" s="395"/>
      <c r="C114" s="355"/>
      <c r="D114" s="355"/>
      <c r="E114" s="355"/>
      <c r="F114" s="355"/>
      <c r="G114" s="355"/>
      <c r="H114" s="355"/>
      <c r="I114" s="355"/>
      <c r="J114" s="355"/>
      <c r="K114" s="355"/>
      <c r="L114" s="355"/>
      <c r="M114" s="355"/>
      <c r="N114" s="355"/>
      <c r="O114" s="355"/>
      <c r="P114" s="355"/>
      <c r="Q114" s="356"/>
    </row>
    <row r="115" spans="2:17" ht="15.75" thickBot="1" x14ac:dyDescent="0.3">
      <c r="B115" s="520"/>
      <c r="C115" s="464" t="s">
        <v>431</v>
      </c>
      <c r="D115" s="465"/>
      <c r="E115" s="465"/>
      <c r="F115" s="465"/>
      <c r="G115" s="465"/>
      <c r="H115" s="465"/>
      <c r="I115" s="465"/>
      <c r="J115" s="465"/>
      <c r="K115" s="465"/>
      <c r="L115" s="465"/>
      <c r="M115" s="466"/>
      <c r="N115" s="465"/>
      <c r="O115" s="465"/>
      <c r="P115" s="465"/>
      <c r="Q115" s="524"/>
    </row>
    <row r="116" spans="2:17" ht="15.75" thickBot="1" x14ac:dyDescent="0.3">
      <c r="B116" s="520"/>
      <c r="C116" s="527" t="s">
        <v>432</v>
      </c>
      <c r="D116" s="518"/>
      <c r="E116" s="535"/>
      <c r="F116" s="355"/>
      <c r="G116" s="355"/>
      <c r="H116" s="518"/>
      <c r="I116" s="447" t="s">
        <v>473</v>
      </c>
      <c r="J116" s="447" t="s">
        <v>474</v>
      </c>
      <c r="K116" s="447" t="s">
        <v>475</v>
      </c>
      <c r="L116" s="447" t="s">
        <v>476</v>
      </c>
      <c r="M116" s="447" t="s">
        <v>477</v>
      </c>
      <c r="N116" s="447" t="s">
        <v>478</v>
      </c>
      <c r="O116" s="447" t="s">
        <v>479</v>
      </c>
      <c r="P116" s="495" t="s">
        <v>480</v>
      </c>
      <c r="Q116" s="519"/>
    </row>
    <row r="117" spans="2:17" x14ac:dyDescent="0.25">
      <c r="B117" s="520"/>
      <c r="C117" s="546" t="s">
        <v>434</v>
      </c>
      <c r="D117" s="547"/>
      <c r="E117" s="548"/>
      <c r="F117" s="547"/>
      <c r="G117" s="547"/>
      <c r="H117" s="548"/>
      <c r="I117" s="550">
        <f t="shared" ref="I117:I137" si="32">P36+($F36*P36)</f>
        <v>120027.4363434447</v>
      </c>
      <c r="J117" s="551">
        <f t="shared" ref="J117:P132" si="33">I117+(I117*$F36)</f>
        <v>124228.39661546526</v>
      </c>
      <c r="K117" s="551">
        <f t="shared" si="33"/>
        <v>128576.39049700655</v>
      </c>
      <c r="L117" s="551">
        <f t="shared" si="33"/>
        <v>133076.56416440179</v>
      </c>
      <c r="M117" s="551">
        <f t="shared" si="33"/>
        <v>137734.24391015584</v>
      </c>
      <c r="N117" s="551">
        <f t="shared" si="33"/>
        <v>142554.9424470113</v>
      </c>
      <c r="O117" s="551">
        <f t="shared" si="33"/>
        <v>147544.36543265669</v>
      </c>
      <c r="P117" s="552">
        <f t="shared" si="33"/>
        <v>152708.41822279966</v>
      </c>
      <c r="Q117" s="519"/>
    </row>
    <row r="118" spans="2:17" x14ac:dyDescent="0.25">
      <c r="B118" s="520"/>
      <c r="C118" s="554" t="s">
        <v>435</v>
      </c>
      <c r="D118" s="555"/>
      <c r="E118" s="556"/>
      <c r="F118" s="555"/>
      <c r="G118" s="555"/>
      <c r="H118" s="556"/>
      <c r="I118" s="558">
        <f t="shared" si="32"/>
        <v>121839.82359884093</v>
      </c>
      <c r="J118" s="559">
        <f t="shared" si="33"/>
        <v>126104.21742480036</v>
      </c>
      <c r="K118" s="559">
        <f t="shared" si="33"/>
        <v>130517.86503466837</v>
      </c>
      <c r="L118" s="559">
        <f t="shared" si="33"/>
        <v>135085.99031088175</v>
      </c>
      <c r="M118" s="559">
        <f t="shared" si="33"/>
        <v>139813.99997176262</v>
      </c>
      <c r="N118" s="559">
        <f t="shared" si="33"/>
        <v>144707.4899707743</v>
      </c>
      <c r="O118" s="559">
        <f t="shared" si="33"/>
        <v>149772.25211975141</v>
      </c>
      <c r="P118" s="560">
        <f t="shared" si="33"/>
        <v>155014.28094394272</v>
      </c>
      <c r="Q118" s="519"/>
    </row>
    <row r="119" spans="2:17" x14ac:dyDescent="0.25">
      <c r="B119" s="520"/>
      <c r="C119" s="554" t="s">
        <v>436</v>
      </c>
      <c r="D119" s="555"/>
      <c r="E119" s="556"/>
      <c r="F119" s="555"/>
      <c r="G119" s="555"/>
      <c r="H119" s="556"/>
      <c r="I119" s="558">
        <f t="shared" si="32"/>
        <v>48976.390220199246</v>
      </c>
      <c r="J119" s="559">
        <f t="shared" si="33"/>
        <v>50690.563877906221</v>
      </c>
      <c r="K119" s="559">
        <f t="shared" si="33"/>
        <v>52464.73361363294</v>
      </c>
      <c r="L119" s="559">
        <f t="shared" si="33"/>
        <v>54300.999290110092</v>
      </c>
      <c r="M119" s="559">
        <f t="shared" si="33"/>
        <v>56201.534265263945</v>
      </c>
      <c r="N119" s="559">
        <f t="shared" si="33"/>
        <v>58168.587964548184</v>
      </c>
      <c r="O119" s="559">
        <f t="shared" si="33"/>
        <v>60204.488543307372</v>
      </c>
      <c r="P119" s="560">
        <f t="shared" si="33"/>
        <v>62311.645642323128</v>
      </c>
      <c r="Q119" s="519"/>
    </row>
    <row r="120" spans="2:17" x14ac:dyDescent="0.25">
      <c r="B120" s="520"/>
      <c r="C120" s="554" t="s">
        <v>437</v>
      </c>
      <c r="D120" s="556"/>
      <c r="E120" s="555"/>
      <c r="F120" s="585"/>
      <c r="G120" s="585"/>
      <c r="H120" s="556"/>
      <c r="I120" s="558">
        <f t="shared" si="32"/>
        <v>2544.5585255331471</v>
      </c>
      <c r="J120" s="559">
        <f t="shared" si="33"/>
        <v>2633.618073926807</v>
      </c>
      <c r="K120" s="559">
        <f t="shared" si="33"/>
        <v>2725.7947065142453</v>
      </c>
      <c r="L120" s="559">
        <f t="shared" si="33"/>
        <v>2821.197521242244</v>
      </c>
      <c r="M120" s="559">
        <f t="shared" si="33"/>
        <v>2919.9394344857224</v>
      </c>
      <c r="N120" s="559">
        <f t="shared" si="33"/>
        <v>3022.1373146927226</v>
      </c>
      <c r="O120" s="559">
        <f t="shared" si="33"/>
        <v>3127.9121207069679</v>
      </c>
      <c r="P120" s="560">
        <f t="shared" si="33"/>
        <v>3237.3890449317119</v>
      </c>
      <c r="Q120" s="519"/>
    </row>
    <row r="121" spans="2:17" x14ac:dyDescent="0.25">
      <c r="B121" s="520"/>
      <c r="C121" s="554" t="s">
        <v>438</v>
      </c>
      <c r="D121" s="555"/>
      <c r="E121" s="556"/>
      <c r="F121" s="555"/>
      <c r="G121" s="555"/>
      <c r="H121" s="556"/>
      <c r="I121" s="558">
        <f t="shared" si="32"/>
        <v>31806.981569164345</v>
      </c>
      <c r="J121" s="559">
        <f t="shared" si="33"/>
        <v>32920.225924085098</v>
      </c>
      <c r="K121" s="559">
        <f t="shared" si="33"/>
        <v>34072.433831428076</v>
      </c>
      <c r="L121" s="559">
        <f t="shared" si="33"/>
        <v>35264.969015528055</v>
      </c>
      <c r="M121" s="559">
        <f t="shared" si="33"/>
        <v>36499.242931071538</v>
      </c>
      <c r="N121" s="559">
        <f t="shared" si="33"/>
        <v>37776.716433659043</v>
      </c>
      <c r="O121" s="559">
        <f t="shared" si="33"/>
        <v>39098.901508837109</v>
      </c>
      <c r="P121" s="560">
        <f t="shared" si="33"/>
        <v>40467.363061646407</v>
      </c>
      <c r="Q121" s="519"/>
    </row>
    <row r="122" spans="2:17" x14ac:dyDescent="0.25">
      <c r="B122" s="520"/>
      <c r="C122" s="554" t="s">
        <v>439</v>
      </c>
      <c r="D122" s="555"/>
      <c r="E122" s="556"/>
      <c r="F122" s="586"/>
      <c r="G122" s="586"/>
      <c r="H122" s="556"/>
      <c r="I122" s="558">
        <f t="shared" si="32"/>
        <v>40204.024703423733</v>
      </c>
      <c r="J122" s="559">
        <f t="shared" si="33"/>
        <v>41611.165568043565</v>
      </c>
      <c r="K122" s="559">
        <f t="shared" si="33"/>
        <v>43067.55636292509</v>
      </c>
      <c r="L122" s="559">
        <f t="shared" si="33"/>
        <v>44574.920835627468</v>
      </c>
      <c r="M122" s="559">
        <f t="shared" si="33"/>
        <v>46135.04306487443</v>
      </c>
      <c r="N122" s="559">
        <f t="shared" si="33"/>
        <v>47749.769572145036</v>
      </c>
      <c r="O122" s="559">
        <f t="shared" si="33"/>
        <v>49421.011507170115</v>
      </c>
      <c r="P122" s="560">
        <f t="shared" si="33"/>
        <v>51150.746909921072</v>
      </c>
      <c r="Q122" s="519"/>
    </row>
    <row r="123" spans="2:17" x14ac:dyDescent="0.25">
      <c r="B123" s="520"/>
      <c r="C123" s="554" t="s">
        <v>440</v>
      </c>
      <c r="D123" s="555"/>
      <c r="E123" s="556"/>
      <c r="F123" s="555"/>
      <c r="G123" s="555"/>
      <c r="H123" s="556"/>
      <c r="I123" s="558">
        <f t="shared" si="32"/>
        <v>42430.513413265246</v>
      </c>
      <c r="J123" s="559">
        <f t="shared" si="33"/>
        <v>43915.581382729528</v>
      </c>
      <c r="K123" s="559">
        <f t="shared" si="33"/>
        <v>45452.626731125063</v>
      </c>
      <c r="L123" s="559">
        <f t="shared" si="33"/>
        <v>47043.468666714441</v>
      </c>
      <c r="M123" s="559">
        <f t="shared" si="33"/>
        <v>48689.990070049447</v>
      </c>
      <c r="N123" s="559">
        <f t="shared" si="33"/>
        <v>50394.139722501175</v>
      </c>
      <c r="O123" s="559">
        <f t="shared" si="33"/>
        <v>52157.934612788718</v>
      </c>
      <c r="P123" s="560">
        <f t="shared" si="33"/>
        <v>53983.462324236323</v>
      </c>
      <c r="Q123" s="519"/>
    </row>
    <row r="124" spans="2:17" x14ac:dyDescent="0.25">
      <c r="B124" s="520"/>
      <c r="C124" s="554" t="s">
        <v>441</v>
      </c>
      <c r="D124" s="556"/>
      <c r="E124" s="555"/>
      <c r="F124" s="585"/>
      <c r="G124" s="585"/>
      <c r="H124" s="556"/>
      <c r="I124" s="558">
        <f t="shared" si="32"/>
        <v>0</v>
      </c>
      <c r="J124" s="559">
        <f t="shared" si="33"/>
        <v>0</v>
      </c>
      <c r="K124" s="559">
        <f t="shared" si="33"/>
        <v>0</v>
      </c>
      <c r="L124" s="559">
        <f t="shared" si="33"/>
        <v>0</v>
      </c>
      <c r="M124" s="559">
        <f t="shared" si="33"/>
        <v>0</v>
      </c>
      <c r="N124" s="559">
        <f t="shared" si="33"/>
        <v>0</v>
      </c>
      <c r="O124" s="559">
        <f t="shared" si="33"/>
        <v>0</v>
      </c>
      <c r="P124" s="560">
        <f t="shared" si="33"/>
        <v>0</v>
      </c>
      <c r="Q124" s="519"/>
    </row>
    <row r="125" spans="2:17" x14ac:dyDescent="0.25">
      <c r="B125" s="520"/>
      <c r="C125" s="554" t="s">
        <v>442</v>
      </c>
      <c r="D125" s="555"/>
      <c r="E125" s="556"/>
      <c r="F125" s="555"/>
      <c r="G125" s="555"/>
      <c r="H125" s="556"/>
      <c r="I125" s="558">
        <f t="shared" si="32"/>
        <v>39644.221827806432</v>
      </c>
      <c r="J125" s="559">
        <f t="shared" si="33"/>
        <v>41031.769591779659</v>
      </c>
      <c r="K125" s="559">
        <f t="shared" si="33"/>
        <v>42467.881527491947</v>
      </c>
      <c r="L125" s="559">
        <f t="shared" si="33"/>
        <v>43954.257380954165</v>
      </c>
      <c r="M125" s="559">
        <f t="shared" si="33"/>
        <v>45492.656389287564</v>
      </c>
      <c r="N125" s="559">
        <f t="shared" si="33"/>
        <v>47084.899362912627</v>
      </c>
      <c r="O125" s="559">
        <f t="shared" si="33"/>
        <v>48732.870840614567</v>
      </c>
      <c r="P125" s="560">
        <f t="shared" si="33"/>
        <v>50438.521320036074</v>
      </c>
      <c r="Q125" s="519"/>
    </row>
    <row r="126" spans="2:17" x14ac:dyDescent="0.25">
      <c r="B126" s="520"/>
      <c r="C126" s="554" t="s">
        <v>443</v>
      </c>
      <c r="D126" s="556"/>
      <c r="E126" s="556"/>
      <c r="F126" s="556"/>
      <c r="G126" s="556"/>
      <c r="H126" s="556"/>
      <c r="I126" s="558">
        <f t="shared" si="32"/>
        <v>10178.234102132588</v>
      </c>
      <c r="J126" s="559">
        <f t="shared" si="33"/>
        <v>10534.472295707228</v>
      </c>
      <c r="K126" s="559">
        <f t="shared" si="33"/>
        <v>10903.178826056981</v>
      </c>
      <c r="L126" s="559">
        <f t="shared" si="33"/>
        <v>11284.790084968976</v>
      </c>
      <c r="M126" s="559">
        <f t="shared" si="33"/>
        <v>11679.757737942889</v>
      </c>
      <c r="N126" s="559">
        <f t="shared" si="33"/>
        <v>12088.54925877089</v>
      </c>
      <c r="O126" s="559">
        <f t="shared" si="33"/>
        <v>12511.648482827872</v>
      </c>
      <c r="P126" s="560">
        <f t="shared" si="33"/>
        <v>12949.556179726847</v>
      </c>
      <c r="Q126" s="519"/>
    </row>
    <row r="127" spans="2:17" x14ac:dyDescent="0.25">
      <c r="B127" s="520"/>
      <c r="C127" s="554" t="s">
        <v>444</v>
      </c>
      <c r="D127" s="555"/>
      <c r="E127" s="556"/>
      <c r="F127" s="555"/>
      <c r="G127" s="555"/>
      <c r="H127" s="556"/>
      <c r="I127" s="558">
        <f t="shared" si="32"/>
        <v>148220.53411230582</v>
      </c>
      <c r="J127" s="559">
        <f t="shared" si="33"/>
        <v>153408.25280623653</v>
      </c>
      <c r="K127" s="559">
        <f t="shared" si="33"/>
        <v>158777.54165445481</v>
      </c>
      <c r="L127" s="559">
        <f t="shared" si="33"/>
        <v>164334.75561236072</v>
      </c>
      <c r="M127" s="559">
        <f t="shared" si="33"/>
        <v>170086.47205879336</v>
      </c>
      <c r="N127" s="559">
        <f t="shared" si="33"/>
        <v>176039.49858085113</v>
      </c>
      <c r="O127" s="559">
        <f t="shared" si="33"/>
        <v>182200.88103118091</v>
      </c>
      <c r="P127" s="560">
        <f t="shared" si="33"/>
        <v>188577.91186727223</v>
      </c>
      <c r="Q127" s="519"/>
    </row>
    <row r="128" spans="2:17" x14ac:dyDescent="0.25">
      <c r="B128" s="520"/>
      <c r="C128" s="554" t="s">
        <v>445</v>
      </c>
      <c r="D128" s="556"/>
      <c r="E128" s="556"/>
      <c r="F128" s="556"/>
      <c r="G128" s="556"/>
      <c r="H128" s="556"/>
      <c r="I128" s="558">
        <f t="shared" si="32"/>
        <v>15267.351153198888</v>
      </c>
      <c r="J128" s="559">
        <f t="shared" si="33"/>
        <v>15801.708443560849</v>
      </c>
      <c r="K128" s="559">
        <f t="shared" si="33"/>
        <v>16354.768239085479</v>
      </c>
      <c r="L128" s="559">
        <f t="shared" si="33"/>
        <v>16927.185127453471</v>
      </c>
      <c r="M128" s="559">
        <f t="shared" si="33"/>
        <v>17519.636606914344</v>
      </c>
      <c r="N128" s="559">
        <f t="shared" si="33"/>
        <v>18132.823888156345</v>
      </c>
      <c r="O128" s="559">
        <f t="shared" si="33"/>
        <v>18767.472724241816</v>
      </c>
      <c r="P128" s="560">
        <f t="shared" si="33"/>
        <v>19424.334269590279</v>
      </c>
      <c r="Q128" s="519"/>
    </row>
    <row r="129" spans="2:17" x14ac:dyDescent="0.25">
      <c r="B129" s="520"/>
      <c r="C129" s="554" t="s">
        <v>446</v>
      </c>
      <c r="D129" s="556"/>
      <c r="E129" s="556"/>
      <c r="F129" s="556"/>
      <c r="G129" s="556"/>
      <c r="H129" s="556"/>
      <c r="I129" s="558">
        <f t="shared" si="32"/>
        <v>10814.373733515878</v>
      </c>
      <c r="J129" s="559">
        <f t="shared" si="33"/>
        <v>11192.876814188934</v>
      </c>
      <c r="K129" s="559">
        <f t="shared" si="33"/>
        <v>11584.627502685547</v>
      </c>
      <c r="L129" s="559">
        <f t="shared" si="33"/>
        <v>11990.089465279541</v>
      </c>
      <c r="M129" s="559">
        <f t="shared" si="33"/>
        <v>12409.742596564325</v>
      </c>
      <c r="N129" s="559">
        <f t="shared" si="33"/>
        <v>12844.083587444076</v>
      </c>
      <c r="O129" s="559">
        <f t="shared" si="33"/>
        <v>13293.626513004619</v>
      </c>
      <c r="P129" s="560">
        <f t="shared" si="33"/>
        <v>13758.903440959781</v>
      </c>
      <c r="Q129" s="519"/>
    </row>
    <row r="130" spans="2:17" x14ac:dyDescent="0.25">
      <c r="B130" s="520"/>
      <c r="C130" s="554" t="s">
        <v>447</v>
      </c>
      <c r="D130" s="556"/>
      <c r="E130" s="556"/>
      <c r="F130" s="556"/>
      <c r="G130" s="556"/>
      <c r="H130" s="556"/>
      <c r="I130" s="558">
        <f t="shared" si="32"/>
        <v>3816.837788299722</v>
      </c>
      <c r="J130" s="559">
        <f t="shared" si="33"/>
        <v>3950.4271108902121</v>
      </c>
      <c r="K130" s="559">
        <f t="shared" si="33"/>
        <v>4088.6920597713697</v>
      </c>
      <c r="L130" s="559">
        <f t="shared" si="33"/>
        <v>4231.7962818633678</v>
      </c>
      <c r="M130" s="559">
        <f t="shared" si="33"/>
        <v>4379.909151728586</v>
      </c>
      <c r="N130" s="559">
        <f t="shared" si="33"/>
        <v>4533.2059720390862</v>
      </c>
      <c r="O130" s="559">
        <f t="shared" si="33"/>
        <v>4691.8681810604539</v>
      </c>
      <c r="P130" s="560">
        <f t="shared" si="33"/>
        <v>4856.0835673975698</v>
      </c>
      <c r="Q130" s="519"/>
    </row>
    <row r="131" spans="2:17" x14ac:dyDescent="0.25">
      <c r="B131" s="520"/>
      <c r="C131" s="554" t="s">
        <v>448</v>
      </c>
      <c r="D131" s="556"/>
      <c r="E131" s="556"/>
      <c r="F131" s="556"/>
      <c r="G131" s="556"/>
      <c r="H131" s="556"/>
      <c r="I131" s="558">
        <f t="shared" si="32"/>
        <v>23664.394287458268</v>
      </c>
      <c r="J131" s="559">
        <f t="shared" si="33"/>
        <v>24492.648087519308</v>
      </c>
      <c r="K131" s="559">
        <f t="shared" si="33"/>
        <v>25349.890770582486</v>
      </c>
      <c r="L131" s="559">
        <f t="shared" si="33"/>
        <v>26237.136947552874</v>
      </c>
      <c r="M131" s="559">
        <f t="shared" si="33"/>
        <v>27155.436740717225</v>
      </c>
      <c r="N131" s="559">
        <f t="shared" si="33"/>
        <v>28105.877026642327</v>
      </c>
      <c r="O131" s="559">
        <f t="shared" si="33"/>
        <v>29089.582722574807</v>
      </c>
      <c r="P131" s="560">
        <f t="shared" si="33"/>
        <v>30107.718117864926</v>
      </c>
      <c r="Q131" s="519"/>
    </row>
    <row r="132" spans="2:17" x14ac:dyDescent="0.25">
      <c r="B132" s="520"/>
      <c r="C132" s="554" t="s">
        <v>449</v>
      </c>
      <c r="D132" s="555"/>
      <c r="E132" s="556"/>
      <c r="F132" s="555"/>
      <c r="G132" s="555"/>
      <c r="H132" s="556"/>
      <c r="I132" s="558">
        <f t="shared" si="32"/>
        <v>95420.944707493021</v>
      </c>
      <c r="J132" s="559">
        <f t="shared" si="33"/>
        <v>98760.67777225528</v>
      </c>
      <c r="K132" s="559">
        <f t="shared" si="33"/>
        <v>102217.30149428421</v>
      </c>
      <c r="L132" s="559">
        <f t="shared" si="33"/>
        <v>105794.90704658417</v>
      </c>
      <c r="M132" s="559">
        <f t="shared" si="33"/>
        <v>109497.72879321461</v>
      </c>
      <c r="N132" s="559">
        <f t="shared" si="33"/>
        <v>113330.14930097712</v>
      </c>
      <c r="O132" s="559">
        <f t="shared" si="33"/>
        <v>117296.70452651133</v>
      </c>
      <c r="P132" s="560">
        <f t="shared" si="33"/>
        <v>121402.08918493922</v>
      </c>
      <c r="Q132" s="519"/>
    </row>
    <row r="133" spans="2:17" x14ac:dyDescent="0.25">
      <c r="B133" s="520"/>
      <c r="C133" s="554" t="s">
        <v>450</v>
      </c>
      <c r="D133" s="555"/>
      <c r="E133" s="556"/>
      <c r="F133" s="555"/>
      <c r="G133" s="555"/>
      <c r="H133" s="556"/>
      <c r="I133" s="558">
        <f t="shared" si="32"/>
        <v>57252.566824495821</v>
      </c>
      <c r="J133" s="559">
        <f t="shared" ref="J133:P137" si="34">I133+(I133*$F52)</f>
        <v>59256.406663353177</v>
      </c>
      <c r="K133" s="559">
        <f t="shared" si="34"/>
        <v>61330.380896570539</v>
      </c>
      <c r="L133" s="559">
        <f t="shared" si="34"/>
        <v>63476.944227950509</v>
      </c>
      <c r="M133" s="559">
        <f t="shared" si="34"/>
        <v>65698.637275928777</v>
      </c>
      <c r="N133" s="559">
        <f t="shared" si="34"/>
        <v>67998.089580586282</v>
      </c>
      <c r="O133" s="559">
        <f t="shared" si="34"/>
        <v>70378.022715906802</v>
      </c>
      <c r="P133" s="560">
        <f t="shared" si="34"/>
        <v>72841.253510963536</v>
      </c>
      <c r="Q133" s="519"/>
    </row>
    <row r="134" spans="2:17" x14ac:dyDescent="0.25">
      <c r="B134" s="520"/>
      <c r="C134" s="554" t="s">
        <v>451</v>
      </c>
      <c r="D134" s="555"/>
      <c r="E134" s="556"/>
      <c r="F134" s="555"/>
      <c r="G134" s="555"/>
      <c r="H134" s="556"/>
      <c r="I134" s="558">
        <f t="shared" si="32"/>
        <v>25445.585255331473</v>
      </c>
      <c r="J134" s="559">
        <f t="shared" si="34"/>
        <v>26336.180739268075</v>
      </c>
      <c r="K134" s="559">
        <f t="shared" si="34"/>
        <v>27257.947065142456</v>
      </c>
      <c r="L134" s="559">
        <f t="shared" si="34"/>
        <v>28211.975212422443</v>
      </c>
      <c r="M134" s="559">
        <f t="shared" si="34"/>
        <v>29199.394344857228</v>
      </c>
      <c r="N134" s="559">
        <f t="shared" si="34"/>
        <v>30221.373146927232</v>
      </c>
      <c r="O134" s="559">
        <f t="shared" si="34"/>
        <v>31279.121207069686</v>
      </c>
      <c r="P134" s="560">
        <f t="shared" si="34"/>
        <v>32373.890449317125</v>
      </c>
      <c r="Q134" s="519"/>
    </row>
    <row r="135" spans="2:17" x14ac:dyDescent="0.25">
      <c r="B135" s="520"/>
      <c r="C135" s="554" t="s">
        <v>452</v>
      </c>
      <c r="D135" s="556"/>
      <c r="E135" s="556"/>
      <c r="F135" s="556"/>
      <c r="G135" s="556"/>
      <c r="H135" s="556"/>
      <c r="I135" s="558">
        <f t="shared" si="32"/>
        <v>12722.792627665736</v>
      </c>
      <c r="J135" s="559">
        <f t="shared" si="34"/>
        <v>13168.090369634037</v>
      </c>
      <c r="K135" s="559">
        <f t="shared" si="34"/>
        <v>13628.973532571228</v>
      </c>
      <c r="L135" s="559">
        <f t="shared" si="34"/>
        <v>14105.987606211222</v>
      </c>
      <c r="M135" s="559">
        <f t="shared" si="34"/>
        <v>14599.697172428614</v>
      </c>
      <c r="N135" s="559">
        <f t="shared" si="34"/>
        <v>15110.686573463616</v>
      </c>
      <c r="O135" s="559">
        <f t="shared" si="34"/>
        <v>15639.560603534843</v>
      </c>
      <c r="P135" s="560">
        <f t="shared" si="34"/>
        <v>16186.945224658562</v>
      </c>
      <c r="Q135" s="519"/>
    </row>
    <row r="136" spans="2:17" x14ac:dyDescent="0.25">
      <c r="B136" s="520"/>
      <c r="C136" s="554" t="s">
        <v>453</v>
      </c>
      <c r="D136" s="556"/>
      <c r="E136" s="556"/>
      <c r="F136" s="556"/>
      <c r="G136" s="556"/>
      <c r="H136" s="556"/>
      <c r="I136" s="558">
        <f t="shared" si="32"/>
        <v>0</v>
      </c>
      <c r="J136" s="559">
        <f t="shared" si="34"/>
        <v>0</v>
      </c>
      <c r="K136" s="559">
        <f t="shared" si="34"/>
        <v>0</v>
      </c>
      <c r="L136" s="559">
        <f t="shared" si="34"/>
        <v>0</v>
      </c>
      <c r="M136" s="559">
        <f t="shared" si="34"/>
        <v>0</v>
      </c>
      <c r="N136" s="559">
        <f t="shared" si="34"/>
        <v>0</v>
      </c>
      <c r="O136" s="559">
        <f t="shared" si="34"/>
        <v>0</v>
      </c>
      <c r="P136" s="560">
        <f t="shared" si="34"/>
        <v>0</v>
      </c>
      <c r="Q136" s="519"/>
    </row>
    <row r="137" spans="2:17" x14ac:dyDescent="0.25">
      <c r="B137" s="520"/>
      <c r="C137" s="563" t="s">
        <v>249</v>
      </c>
      <c r="D137" s="564"/>
      <c r="E137" s="565"/>
      <c r="F137" s="587"/>
      <c r="G137" s="587"/>
      <c r="H137" s="565"/>
      <c r="I137" s="566">
        <f t="shared" si="32"/>
        <v>35206.511759276633</v>
      </c>
      <c r="J137" s="567">
        <f t="shared" si="34"/>
        <v>36438.739670851312</v>
      </c>
      <c r="K137" s="567">
        <f t="shared" si="34"/>
        <v>37714.095559331108</v>
      </c>
      <c r="L137" s="567">
        <f t="shared" si="34"/>
        <v>39034.088903907694</v>
      </c>
      <c r="M137" s="567">
        <f t="shared" si="34"/>
        <v>40400.282015544464</v>
      </c>
      <c r="N137" s="567">
        <f t="shared" si="34"/>
        <v>41814.291886088518</v>
      </c>
      <c r="O137" s="567">
        <f t="shared" si="34"/>
        <v>43277.792102101615</v>
      </c>
      <c r="P137" s="568">
        <f t="shared" si="34"/>
        <v>44792.514825675171</v>
      </c>
      <c r="Q137" s="519"/>
    </row>
    <row r="138" spans="2:17" x14ac:dyDescent="0.25">
      <c r="B138" s="520"/>
      <c r="C138" s="477" t="s">
        <v>454</v>
      </c>
      <c r="D138" s="535"/>
      <c r="E138" s="518"/>
      <c r="F138" s="536"/>
      <c r="G138" s="536"/>
      <c r="H138" s="518"/>
      <c r="I138" s="471">
        <f>SUM(I117:I137)</f>
        <v>885484.07655285159</v>
      </c>
      <c r="J138" s="472">
        <f t="shared" ref="J138:O138" si="35">SUM(J117:J137)</f>
        <v>916476.01923220139</v>
      </c>
      <c r="K138" s="472">
        <f t="shared" si="35"/>
        <v>948552.67990532843</v>
      </c>
      <c r="L138" s="472">
        <f t="shared" si="35"/>
        <v>981752.02370201505</v>
      </c>
      <c r="M138" s="472">
        <f t="shared" si="35"/>
        <v>1016113.3445315856</v>
      </c>
      <c r="N138" s="472">
        <f t="shared" si="35"/>
        <v>1051677.311590191</v>
      </c>
      <c r="O138" s="472">
        <f t="shared" si="35"/>
        <v>1088486.0174958478</v>
      </c>
      <c r="P138" s="510">
        <f>SUM(P117:P137)</f>
        <v>1126583.0281082024</v>
      </c>
      <c r="Q138" s="519"/>
    </row>
    <row r="139" spans="2:17" ht="7.5" customHeight="1" x14ac:dyDescent="0.25">
      <c r="B139" s="520"/>
      <c r="C139" s="477"/>
      <c r="D139" s="535"/>
      <c r="E139" s="518"/>
      <c r="F139" s="536"/>
      <c r="G139" s="536"/>
      <c r="H139" s="518"/>
      <c r="I139" s="474"/>
      <c r="J139" s="475"/>
      <c r="K139" s="475"/>
      <c r="L139" s="475"/>
      <c r="M139" s="475"/>
      <c r="N139" s="475"/>
      <c r="O139" s="475"/>
      <c r="P139" s="476"/>
      <c r="Q139" s="519"/>
    </row>
    <row r="140" spans="2:17" x14ac:dyDescent="0.25">
      <c r="B140" s="520"/>
      <c r="C140" s="588" t="s">
        <v>455</v>
      </c>
      <c r="D140" s="535"/>
      <c r="E140" s="518"/>
      <c r="F140" s="535"/>
      <c r="G140" s="535"/>
      <c r="H140" s="518"/>
      <c r="I140" s="558">
        <f>P59+($F59*P59)</f>
        <v>51209.240326354593</v>
      </c>
      <c r="J140" s="559">
        <f t="shared" ref="J140:P141" si="36">I140+(I140*$F59)</f>
        <v>53001.563737777004</v>
      </c>
      <c r="K140" s="559">
        <f t="shared" si="36"/>
        <v>54856.618468599198</v>
      </c>
      <c r="L140" s="559">
        <f t="shared" si="36"/>
        <v>56776.600115000168</v>
      </c>
      <c r="M140" s="559">
        <f t="shared" si="36"/>
        <v>58763.781119025174</v>
      </c>
      <c r="N140" s="559">
        <f t="shared" si="36"/>
        <v>60820.513458191053</v>
      </c>
      <c r="O140" s="559">
        <f t="shared" si="36"/>
        <v>62949.231429227744</v>
      </c>
      <c r="P140" s="560">
        <f t="shared" si="36"/>
        <v>65152.454529250717</v>
      </c>
      <c r="Q140" s="519"/>
    </row>
    <row r="141" spans="2:17" x14ac:dyDescent="0.25">
      <c r="B141" s="520"/>
      <c r="C141" s="572" t="s">
        <v>456</v>
      </c>
      <c r="D141" s="564"/>
      <c r="E141" s="565"/>
      <c r="F141" s="564"/>
      <c r="G141" s="564"/>
      <c r="H141" s="565"/>
      <c r="I141" s="566">
        <f>P60+($F60*P60)</f>
        <v>0</v>
      </c>
      <c r="J141" s="567">
        <f t="shared" si="36"/>
        <v>0</v>
      </c>
      <c r="K141" s="567">
        <f t="shared" si="36"/>
        <v>0</v>
      </c>
      <c r="L141" s="567">
        <f t="shared" si="36"/>
        <v>0</v>
      </c>
      <c r="M141" s="567">
        <f t="shared" si="36"/>
        <v>0</v>
      </c>
      <c r="N141" s="567">
        <f t="shared" si="36"/>
        <v>0</v>
      </c>
      <c r="O141" s="567">
        <f t="shared" si="36"/>
        <v>0</v>
      </c>
      <c r="P141" s="568">
        <f t="shared" si="36"/>
        <v>0</v>
      </c>
      <c r="Q141" s="519"/>
    </row>
    <row r="142" spans="2:17" x14ac:dyDescent="0.25">
      <c r="B142" s="520"/>
      <c r="C142" s="477" t="s">
        <v>457</v>
      </c>
      <c r="D142" s="535"/>
      <c r="E142" s="535"/>
      <c r="F142" s="535"/>
      <c r="G142" s="535"/>
      <c r="H142" s="518"/>
      <c r="I142" s="471">
        <f>SUM(I140:I141)</f>
        <v>51209.240326354593</v>
      </c>
      <c r="J142" s="472">
        <f t="shared" ref="J142:P142" si="37">SUM(J140:J141)</f>
        <v>53001.563737777004</v>
      </c>
      <c r="K142" s="472">
        <f t="shared" si="37"/>
        <v>54856.618468599198</v>
      </c>
      <c r="L142" s="472">
        <f t="shared" si="37"/>
        <v>56776.600115000168</v>
      </c>
      <c r="M142" s="472">
        <f t="shared" si="37"/>
        <v>58763.781119025174</v>
      </c>
      <c r="N142" s="472">
        <f t="shared" si="37"/>
        <v>60820.513458191053</v>
      </c>
      <c r="O142" s="472">
        <f t="shared" si="37"/>
        <v>62949.231429227744</v>
      </c>
      <c r="P142" s="473">
        <f t="shared" si="37"/>
        <v>65152.454529250717</v>
      </c>
      <c r="Q142" s="519"/>
    </row>
    <row r="143" spans="2:17" ht="7.5" customHeight="1" x14ac:dyDescent="0.25">
      <c r="B143" s="520"/>
      <c r="C143" s="477"/>
      <c r="D143" s="535"/>
      <c r="E143" s="535"/>
      <c r="F143" s="535"/>
      <c r="G143" s="535"/>
      <c r="H143" s="518"/>
      <c r="I143" s="474"/>
      <c r="J143" s="475"/>
      <c r="K143" s="475"/>
      <c r="L143" s="475"/>
      <c r="M143" s="475"/>
      <c r="N143" s="475"/>
      <c r="O143" s="475"/>
      <c r="P143" s="476"/>
      <c r="Q143" s="519"/>
    </row>
    <row r="144" spans="2:17" x14ac:dyDescent="0.25">
      <c r="B144" s="520"/>
      <c r="C144" s="477" t="s">
        <v>458</v>
      </c>
      <c r="D144" s="535"/>
      <c r="E144" s="340"/>
      <c r="F144" s="535"/>
      <c r="G144" s="535"/>
      <c r="H144" s="518"/>
      <c r="I144" s="589">
        <f t="shared" ref="I144" si="38">P63+($F63*P63)</f>
        <v>0</v>
      </c>
      <c r="J144" s="590">
        <f t="shared" ref="J144:P144" si="39">I144+(I144*$F63)</f>
        <v>0</v>
      </c>
      <c r="K144" s="590">
        <f t="shared" si="39"/>
        <v>0</v>
      </c>
      <c r="L144" s="590">
        <f t="shared" si="39"/>
        <v>0</v>
      </c>
      <c r="M144" s="590">
        <f t="shared" si="39"/>
        <v>0</v>
      </c>
      <c r="N144" s="590">
        <f t="shared" si="39"/>
        <v>0</v>
      </c>
      <c r="O144" s="590">
        <f t="shared" si="39"/>
        <v>0</v>
      </c>
      <c r="P144" s="591">
        <f t="shared" si="39"/>
        <v>0</v>
      </c>
      <c r="Q144" s="519"/>
    </row>
    <row r="145" spans="2:19" ht="7.5" customHeight="1" x14ac:dyDescent="0.25">
      <c r="B145" s="520"/>
      <c r="C145" s="477"/>
      <c r="D145" s="535"/>
      <c r="E145" s="340"/>
      <c r="F145" s="535"/>
      <c r="G145" s="535"/>
      <c r="H145" s="518"/>
      <c r="I145" s="474"/>
      <c r="J145" s="475"/>
      <c r="K145" s="475"/>
      <c r="L145" s="475"/>
      <c r="M145" s="475"/>
      <c r="N145" s="475"/>
      <c r="O145" s="475"/>
      <c r="P145" s="476"/>
      <c r="Q145" s="519"/>
    </row>
    <row r="146" spans="2:19" ht="15.75" thickBot="1" x14ac:dyDescent="0.3">
      <c r="B146" s="520"/>
      <c r="C146" s="576" t="s">
        <v>459</v>
      </c>
      <c r="D146" s="538"/>
      <c r="E146" s="538"/>
      <c r="F146" s="538"/>
      <c r="G146" s="538"/>
      <c r="H146" s="538"/>
      <c r="I146" s="1679">
        <f>P65+($F65*P65)</f>
        <v>0</v>
      </c>
      <c r="J146" s="1680">
        <f>I146+(I146*$F65)</f>
        <v>0</v>
      </c>
      <c r="K146" s="1680">
        <f t="shared" ref="K146:O146" si="40">J146+(J146*$F65)</f>
        <v>0</v>
      </c>
      <c r="L146" s="1680">
        <f t="shared" si="40"/>
        <v>0</v>
      </c>
      <c r="M146" s="1680">
        <f t="shared" si="40"/>
        <v>0</v>
      </c>
      <c r="N146" s="1680">
        <f t="shared" si="40"/>
        <v>0</v>
      </c>
      <c r="O146" s="1680">
        <f t="shared" si="40"/>
        <v>0</v>
      </c>
      <c r="P146" s="1681">
        <f>O146+(O146*$F65)</f>
        <v>0</v>
      </c>
      <c r="Q146" s="519"/>
    </row>
    <row r="147" spans="2:19" ht="16.5" thickTop="1" thickBot="1" x14ac:dyDescent="0.3">
      <c r="B147" s="520"/>
      <c r="C147" s="543" t="s">
        <v>460</v>
      </c>
      <c r="D147" s="535"/>
      <c r="E147" s="518"/>
      <c r="F147" s="535"/>
      <c r="G147" s="535"/>
      <c r="H147" s="578"/>
      <c r="I147" s="479">
        <f>I138+I142+I144+I146</f>
        <v>936693.31687920622</v>
      </c>
      <c r="J147" s="480">
        <f t="shared" ref="J147:P147" si="41">J138+J142+J144+J146</f>
        <v>969477.58296997845</v>
      </c>
      <c r="K147" s="480">
        <f t="shared" si="41"/>
        <v>1003409.2983739276</v>
      </c>
      <c r="L147" s="480">
        <f t="shared" si="41"/>
        <v>1038528.6238170152</v>
      </c>
      <c r="M147" s="480">
        <f t="shared" si="41"/>
        <v>1074877.1256506108</v>
      </c>
      <c r="N147" s="480">
        <f t="shared" si="41"/>
        <v>1112497.8250483819</v>
      </c>
      <c r="O147" s="480">
        <f t="shared" si="41"/>
        <v>1151435.2489250754</v>
      </c>
      <c r="P147" s="481">
        <f t="shared" si="41"/>
        <v>1191735.4826374531</v>
      </c>
      <c r="Q147" s="519"/>
      <c r="S147" s="1879"/>
    </row>
    <row r="148" spans="2:19" ht="7.5" customHeight="1" thickBot="1" x14ac:dyDescent="0.3">
      <c r="B148" s="520"/>
      <c r="C148" s="535"/>
      <c r="D148" s="535"/>
      <c r="E148" s="535"/>
      <c r="F148" s="535"/>
      <c r="G148" s="535"/>
      <c r="H148" s="535"/>
      <c r="I148" s="579"/>
      <c r="J148" s="579"/>
      <c r="K148" s="579"/>
      <c r="L148" s="579"/>
      <c r="M148" s="579"/>
      <c r="N148" s="579"/>
      <c r="O148" s="579"/>
      <c r="P148" s="579"/>
      <c r="Q148" s="519"/>
    </row>
    <row r="149" spans="2:19" ht="15.75" thickBot="1" x14ac:dyDescent="0.3">
      <c r="B149" s="520"/>
      <c r="C149" s="543" t="s">
        <v>461</v>
      </c>
      <c r="D149" s="535"/>
      <c r="E149" s="535"/>
      <c r="F149" s="535"/>
      <c r="G149" s="535"/>
      <c r="H149" s="535"/>
      <c r="I149" s="482">
        <f>I113-I147</f>
        <v>490666.5566605007</v>
      </c>
      <c r="J149" s="483">
        <f>J113-J147</f>
        <v>493490.99106270657</v>
      </c>
      <c r="K149" s="483">
        <f t="shared" ref="K149:P149" si="42">K113-K147</f>
        <v>496056.68773714988</v>
      </c>
      <c r="L149" s="483">
        <f t="shared" si="42"/>
        <v>498345.67362896609</v>
      </c>
      <c r="M149" s="483">
        <f t="shared" si="42"/>
        <v>500339.12414728967</v>
      </c>
      <c r="N149" s="483">
        <f t="shared" si="42"/>
        <v>502017.32780855033</v>
      </c>
      <c r="O149" s="483">
        <f t="shared" si="42"/>
        <v>503359.64950364688</v>
      </c>
      <c r="P149" s="484">
        <f t="shared" si="42"/>
        <v>504344.49233736098</v>
      </c>
      <c r="Q149" s="519"/>
      <c r="S149" s="1879"/>
    </row>
    <row r="150" spans="2:19" x14ac:dyDescent="0.25">
      <c r="B150" s="395"/>
      <c r="C150" s="355"/>
      <c r="D150" s="355"/>
      <c r="E150" s="355"/>
      <c r="F150" s="355"/>
      <c r="G150" s="355"/>
      <c r="H150" s="355"/>
      <c r="I150" s="355"/>
      <c r="J150" s="355"/>
      <c r="K150" s="355"/>
      <c r="L150" s="355"/>
      <c r="M150" s="355"/>
      <c r="N150" s="355"/>
      <c r="O150" s="355"/>
      <c r="P150" s="355"/>
      <c r="Q150" s="356"/>
    </row>
    <row r="151" spans="2:19" ht="15.75" thickBot="1" x14ac:dyDescent="0.3">
      <c r="B151" s="395"/>
      <c r="C151" s="2249" t="s">
        <v>462</v>
      </c>
      <c r="D151" s="2249"/>
      <c r="E151" s="2249"/>
      <c r="F151" s="485"/>
      <c r="G151" s="485"/>
      <c r="H151" s="485"/>
      <c r="I151" s="485"/>
      <c r="J151" s="485"/>
      <c r="K151" s="485"/>
      <c r="L151" s="485"/>
      <c r="M151" s="1356"/>
      <c r="N151" s="1356"/>
      <c r="O151" s="1356"/>
      <c r="P151" s="1356"/>
      <c r="Q151" s="356"/>
      <c r="S151" s="1878"/>
    </row>
    <row r="152" spans="2:19" ht="15.75" thickBot="1" x14ac:dyDescent="0.3">
      <c r="B152" s="395"/>
      <c r="C152" s="592" t="s">
        <v>463</v>
      </c>
      <c r="D152" s="527"/>
      <c r="E152" s="1213"/>
      <c r="F152" s="1213"/>
      <c r="G152" s="1213"/>
      <c r="H152" s="1213"/>
      <c r="I152" s="447" t="s">
        <v>473</v>
      </c>
      <c r="J152" s="511" t="s">
        <v>474</v>
      </c>
      <c r="K152" s="512" t="s">
        <v>475</v>
      </c>
      <c r="L152" s="512" t="s">
        <v>476</v>
      </c>
      <c r="M152" s="512" t="s">
        <v>477</v>
      </c>
      <c r="N152" s="512" t="s">
        <v>478</v>
      </c>
      <c r="O152" s="512" t="s">
        <v>479</v>
      </c>
      <c r="P152" s="513" t="s">
        <v>480</v>
      </c>
      <c r="Q152" s="356"/>
    </row>
    <row r="153" spans="2:19" x14ac:dyDescent="0.25">
      <c r="B153" s="395"/>
      <c r="C153" s="2250" t="str">
        <f>IF(C72="Lender 1","",C72)</f>
        <v>Senior Perm Debt</v>
      </c>
      <c r="D153" s="2251"/>
      <c r="E153" s="2251"/>
      <c r="F153" s="2251"/>
      <c r="G153" s="2251"/>
      <c r="H153" s="2252"/>
      <c r="I153" s="1682">
        <f>J72</f>
        <v>446574</v>
      </c>
      <c r="J153" s="1703">
        <f>I153</f>
        <v>446574</v>
      </c>
      <c r="K153" s="1703">
        <f t="shared" ref="K153:O153" si="43">J153</f>
        <v>446574</v>
      </c>
      <c r="L153" s="1703">
        <f t="shared" si="43"/>
        <v>446574</v>
      </c>
      <c r="M153" s="1703">
        <f t="shared" si="43"/>
        <v>446574</v>
      </c>
      <c r="N153" s="1703">
        <f t="shared" si="43"/>
        <v>446574</v>
      </c>
      <c r="O153" s="1703">
        <f t="shared" si="43"/>
        <v>446574</v>
      </c>
      <c r="P153" s="1704">
        <f>O153</f>
        <v>446574</v>
      </c>
      <c r="Q153" s="356"/>
    </row>
    <row r="154" spans="2:19" x14ac:dyDescent="0.25">
      <c r="B154" s="395"/>
      <c r="C154" s="2246" t="str">
        <f>IF(C73="Lender 2","",C73)</f>
        <v>Seattle OH</v>
      </c>
      <c r="D154" s="2247"/>
      <c r="E154" s="2247"/>
      <c r="F154" s="2247"/>
      <c r="G154" s="2247"/>
      <c r="H154" s="2248"/>
      <c r="I154" s="1685">
        <v>0</v>
      </c>
      <c r="J154" s="1705">
        <v>0</v>
      </c>
      <c r="K154" s="1705">
        <v>0</v>
      </c>
      <c r="L154" s="1705">
        <v>0</v>
      </c>
      <c r="M154" s="1705">
        <v>0</v>
      </c>
      <c r="N154" s="1705">
        <v>0</v>
      </c>
      <c r="O154" s="1705">
        <v>0</v>
      </c>
      <c r="P154" s="1706">
        <v>0</v>
      </c>
      <c r="Q154" s="356"/>
    </row>
    <row r="155" spans="2:19" ht="15.75" thickBot="1" x14ac:dyDescent="0.3">
      <c r="B155" s="395"/>
      <c r="C155" s="2243" t="s">
        <v>465</v>
      </c>
      <c r="D155" s="2244"/>
      <c r="E155" s="2244"/>
      <c r="F155" s="2244"/>
      <c r="G155" s="2244"/>
      <c r="H155" s="2245"/>
      <c r="I155" s="1688">
        <v>0</v>
      </c>
      <c r="J155" s="1707">
        <v>0</v>
      </c>
      <c r="K155" s="1707">
        <v>0</v>
      </c>
      <c r="L155" s="1707">
        <v>0</v>
      </c>
      <c r="M155" s="1707">
        <v>0</v>
      </c>
      <c r="N155" s="1707">
        <v>0</v>
      </c>
      <c r="O155" s="1707">
        <v>0</v>
      </c>
      <c r="P155" s="1708">
        <v>0</v>
      </c>
      <c r="Q155" s="356"/>
      <c r="S155" s="1878"/>
    </row>
    <row r="156" spans="2:19" ht="15.75" thickTop="1" x14ac:dyDescent="0.25">
      <c r="B156" s="395"/>
      <c r="C156" s="1213"/>
      <c r="D156" s="1213"/>
      <c r="E156" s="1357"/>
      <c r="F156" s="1358"/>
      <c r="G156" s="1358"/>
      <c r="H156" s="1359" t="s">
        <v>466</v>
      </c>
      <c r="I156" s="486">
        <f>SUM(I153:I155)</f>
        <v>446574</v>
      </c>
      <c r="J156" s="487">
        <f t="shared" ref="J156:P156" si="44">SUM(J153:J155)</f>
        <v>446574</v>
      </c>
      <c r="K156" s="487">
        <f t="shared" si="44"/>
        <v>446574</v>
      </c>
      <c r="L156" s="487">
        <f t="shared" si="44"/>
        <v>446574</v>
      </c>
      <c r="M156" s="487">
        <f t="shared" si="44"/>
        <v>446574</v>
      </c>
      <c r="N156" s="487">
        <f t="shared" si="44"/>
        <v>446574</v>
      </c>
      <c r="O156" s="487">
        <f t="shared" si="44"/>
        <v>446574</v>
      </c>
      <c r="P156" s="488">
        <f t="shared" si="44"/>
        <v>446574</v>
      </c>
      <c r="Q156" s="356"/>
    </row>
    <row r="157" spans="2:19" x14ac:dyDescent="0.25">
      <c r="B157" s="395"/>
      <c r="C157" s="1213"/>
      <c r="D157" s="1213"/>
      <c r="E157" s="1213"/>
      <c r="F157" s="793"/>
      <c r="G157" s="793"/>
      <c r="H157" s="793" t="s">
        <v>467</v>
      </c>
      <c r="I157" s="736">
        <f>IFERROR(I149/I156,"$0 ")</f>
        <v>1.0987351629528381</v>
      </c>
      <c r="J157" s="731">
        <f t="shared" ref="J157:O157" si="45">IFERROR(J149/J156,"$0 ")</f>
        <v>1.1050598356883889</v>
      </c>
      <c r="K157" s="731">
        <f t="shared" si="45"/>
        <v>1.1108051246538084</v>
      </c>
      <c r="L157" s="731">
        <f t="shared" si="45"/>
        <v>1.1159307833169108</v>
      </c>
      <c r="M157" s="731">
        <f t="shared" si="45"/>
        <v>1.1203946583260325</v>
      </c>
      <c r="N157" s="731">
        <f t="shared" si="45"/>
        <v>1.1241526103368094</v>
      </c>
      <c r="O157" s="731">
        <f t="shared" si="45"/>
        <v>1.1271584317574397</v>
      </c>
      <c r="P157" s="732">
        <f>IFERROR(P149/P156,"$0 ")</f>
        <v>1.1293637612968086</v>
      </c>
      <c r="Q157" s="356"/>
    </row>
    <row r="158" spans="2:19" ht="15.75" thickBot="1" x14ac:dyDescent="0.3">
      <c r="B158" s="395"/>
      <c r="C158" s="1213"/>
      <c r="D158" s="1213"/>
      <c r="E158" s="2234" t="s">
        <v>468</v>
      </c>
      <c r="F158" s="2234"/>
      <c r="G158" s="2234"/>
      <c r="H158" s="2239"/>
      <c r="I158" s="489">
        <f>I149-I156</f>
        <v>44092.556660500704</v>
      </c>
      <c r="J158" s="490">
        <f t="shared" ref="J158:P158" si="46">J149-J156</f>
        <v>46916.991062706569</v>
      </c>
      <c r="K158" s="490">
        <f t="shared" si="46"/>
        <v>49482.687737149885</v>
      </c>
      <c r="L158" s="490">
        <f t="shared" si="46"/>
        <v>51771.673628966091</v>
      </c>
      <c r="M158" s="490">
        <f t="shared" si="46"/>
        <v>53765.124147289665</v>
      </c>
      <c r="N158" s="490">
        <f t="shared" si="46"/>
        <v>55443.327808550326</v>
      </c>
      <c r="O158" s="490">
        <f t="shared" si="46"/>
        <v>56785.649503646884</v>
      </c>
      <c r="P158" s="491">
        <f t="shared" si="46"/>
        <v>57770.492337360978</v>
      </c>
      <c r="Q158" s="356"/>
    </row>
    <row r="159" spans="2:19" ht="15.75" thickBot="1" x14ac:dyDescent="0.3">
      <c r="B159" s="395"/>
      <c r="C159" s="1213"/>
      <c r="D159" s="1213"/>
      <c r="E159" s="1213"/>
      <c r="F159" s="1213"/>
      <c r="G159" s="1213"/>
      <c r="H159" s="1213"/>
      <c r="I159" s="1213"/>
      <c r="J159" s="1213"/>
      <c r="K159" s="1213"/>
      <c r="L159" s="1213"/>
      <c r="M159" s="1213"/>
      <c r="N159" s="1213"/>
      <c r="O159" s="1213"/>
      <c r="P159" s="1213"/>
      <c r="Q159" s="356"/>
    </row>
    <row r="160" spans="2:19" ht="15.75" thickBot="1" x14ac:dyDescent="0.3">
      <c r="B160" s="395"/>
      <c r="C160" s="592" t="s">
        <v>469</v>
      </c>
      <c r="D160" s="1213"/>
      <c r="E160" s="1213"/>
      <c r="F160" s="1213"/>
      <c r="G160" s="1213"/>
      <c r="H160" s="1213"/>
      <c r="I160" s="447" t="s">
        <v>473</v>
      </c>
      <c r="J160" s="511" t="s">
        <v>474</v>
      </c>
      <c r="K160" s="512" t="s">
        <v>475</v>
      </c>
      <c r="L160" s="512" t="s">
        <v>476</v>
      </c>
      <c r="M160" s="512" t="s">
        <v>477</v>
      </c>
      <c r="N160" s="512" t="s">
        <v>478</v>
      </c>
      <c r="O160" s="512" t="s">
        <v>479</v>
      </c>
      <c r="P160" s="513" t="s">
        <v>480</v>
      </c>
      <c r="Q160" s="356"/>
    </row>
    <row r="161" spans="2:19" x14ac:dyDescent="0.25">
      <c r="B161" s="395"/>
      <c r="C161" s="2255" t="str">
        <f>IF(C80="Lender 4","",C80)</f>
        <v>Deferred Fee</v>
      </c>
      <c r="D161" s="2256"/>
      <c r="E161" s="2256"/>
      <c r="F161" s="2256"/>
      <c r="G161" s="2256"/>
      <c r="H161" s="2257"/>
      <c r="I161" s="1709">
        <f>I158</f>
        <v>44092.556660500704</v>
      </c>
      <c r="J161" s="1710">
        <f>J158</f>
        <v>46916.991062706569</v>
      </c>
      <c r="K161" s="1710">
        <f t="shared" ref="K161:O161" si="47">K158</f>
        <v>49482.687737149885</v>
      </c>
      <c r="L161" s="1710">
        <f t="shared" si="47"/>
        <v>51771.673628966091</v>
      </c>
      <c r="M161" s="1710">
        <f t="shared" si="47"/>
        <v>53765.124147289665</v>
      </c>
      <c r="N161" s="1710">
        <f t="shared" si="47"/>
        <v>55443.327808550326</v>
      </c>
      <c r="O161" s="1710">
        <f t="shared" si="47"/>
        <v>56785.649503646884</v>
      </c>
      <c r="P161" s="1711">
        <f>P158</f>
        <v>57770.492337360978</v>
      </c>
      <c r="Q161" s="356"/>
      <c r="S161" s="1878"/>
    </row>
    <row r="162" spans="2:19" x14ac:dyDescent="0.25">
      <c r="B162" s="395"/>
      <c r="C162" s="2240">
        <f>IF(C81="Lender 5","",C81)</f>
        <v>0</v>
      </c>
      <c r="D162" s="2241"/>
      <c r="E162" s="2241"/>
      <c r="F162" s="2241"/>
      <c r="G162" s="2241"/>
      <c r="H162" s="2242"/>
      <c r="I162" s="1712">
        <v>0</v>
      </c>
      <c r="J162" s="1713">
        <v>0</v>
      </c>
      <c r="K162" s="1713">
        <v>0</v>
      </c>
      <c r="L162" s="1713">
        <v>0</v>
      </c>
      <c r="M162" s="1713">
        <v>0</v>
      </c>
      <c r="N162" s="1713">
        <v>0</v>
      </c>
      <c r="O162" s="1713">
        <v>0</v>
      </c>
      <c r="P162" s="1714">
        <v>0</v>
      </c>
      <c r="Q162" s="356"/>
    </row>
    <row r="163" spans="2:19" x14ac:dyDescent="0.25">
      <c r="B163" s="395"/>
      <c r="C163" s="2240">
        <f>IF(C82="Lender 6","",C82)</f>
        <v>0</v>
      </c>
      <c r="D163" s="2241"/>
      <c r="E163" s="2241"/>
      <c r="F163" s="2241"/>
      <c r="G163" s="2241"/>
      <c r="H163" s="2242"/>
      <c r="I163" s="1712">
        <v>0</v>
      </c>
      <c r="J163" s="1713">
        <v>0</v>
      </c>
      <c r="K163" s="1713">
        <v>0</v>
      </c>
      <c r="L163" s="1713">
        <v>0</v>
      </c>
      <c r="M163" s="1713">
        <v>0</v>
      </c>
      <c r="N163" s="1713">
        <v>0</v>
      </c>
      <c r="O163" s="1713">
        <v>0</v>
      </c>
      <c r="P163" s="1714">
        <v>0</v>
      </c>
      <c r="Q163" s="356"/>
    </row>
    <row r="164" spans="2:19" ht="15.75" thickBot="1" x14ac:dyDescent="0.3">
      <c r="B164" s="395"/>
      <c r="C164" s="2243" t="s">
        <v>465</v>
      </c>
      <c r="D164" s="2244"/>
      <c r="E164" s="2244"/>
      <c r="F164" s="2244"/>
      <c r="G164" s="2244"/>
      <c r="H164" s="2245"/>
      <c r="I164" s="1715">
        <v>0</v>
      </c>
      <c r="J164" s="1716">
        <v>0</v>
      </c>
      <c r="K164" s="1716">
        <v>0</v>
      </c>
      <c r="L164" s="1716">
        <v>0</v>
      </c>
      <c r="M164" s="1716">
        <v>0</v>
      </c>
      <c r="N164" s="1716">
        <v>0</v>
      </c>
      <c r="O164" s="1716">
        <v>0</v>
      </c>
      <c r="P164" s="1717">
        <v>0</v>
      </c>
      <c r="Q164" s="356"/>
    </row>
    <row r="165" spans="2:19" ht="16.5" thickTop="1" thickBot="1" x14ac:dyDescent="0.3">
      <c r="B165" s="395"/>
      <c r="C165" s="1371"/>
      <c r="D165" s="593"/>
      <c r="E165" s="2234" t="s">
        <v>470</v>
      </c>
      <c r="F165" s="2237"/>
      <c r="G165" s="2237"/>
      <c r="H165" s="2238"/>
      <c r="I165" s="492">
        <f>SUM(I161:I164)</f>
        <v>44092.556660500704</v>
      </c>
      <c r="J165" s="493">
        <f t="shared" ref="J165:P165" si="48">SUM(J161:J164)</f>
        <v>46916.991062706569</v>
      </c>
      <c r="K165" s="493">
        <f t="shared" si="48"/>
        <v>49482.687737149885</v>
      </c>
      <c r="L165" s="493">
        <f t="shared" si="48"/>
        <v>51771.673628966091</v>
      </c>
      <c r="M165" s="493">
        <f t="shared" si="48"/>
        <v>53765.124147289665</v>
      </c>
      <c r="N165" s="493">
        <f t="shared" si="48"/>
        <v>55443.327808550326</v>
      </c>
      <c r="O165" s="493">
        <f t="shared" si="48"/>
        <v>56785.649503646884</v>
      </c>
      <c r="P165" s="494">
        <f t="shared" si="48"/>
        <v>57770.492337360978</v>
      </c>
      <c r="Q165" s="356"/>
    </row>
    <row r="166" spans="2:19" ht="7.5" customHeight="1" thickBot="1" x14ac:dyDescent="0.3">
      <c r="B166" s="395"/>
      <c r="C166" s="355"/>
      <c r="D166" s="793"/>
      <c r="E166" s="1213"/>
      <c r="F166" s="1213"/>
      <c r="G166" s="1213"/>
      <c r="H166" s="1213"/>
      <c r="I166" s="1213"/>
      <c r="J166" s="1213"/>
      <c r="K166" s="1213"/>
      <c r="L166" s="1213"/>
      <c r="M166" s="1213"/>
      <c r="N166" s="1213"/>
      <c r="O166" s="1213"/>
      <c r="P166" s="1213"/>
      <c r="Q166" s="356"/>
    </row>
    <row r="167" spans="2:19" x14ac:dyDescent="0.25">
      <c r="B167" s="395"/>
      <c r="C167" s="355"/>
      <c r="D167" s="793"/>
      <c r="E167" s="2234" t="s">
        <v>471</v>
      </c>
      <c r="F167" s="2234"/>
      <c r="G167" s="2234"/>
      <c r="H167" s="2239"/>
      <c r="I167" s="733">
        <f>IFERROR(I149/(I156+I165),"$0 ")</f>
        <v>1</v>
      </c>
      <c r="J167" s="734">
        <f t="shared" ref="J167:P167" si="49">IFERROR(J149/(J156+J165),"$0 ")</f>
        <v>1</v>
      </c>
      <c r="K167" s="734">
        <f t="shared" si="49"/>
        <v>1</v>
      </c>
      <c r="L167" s="734">
        <f t="shared" si="49"/>
        <v>1</v>
      </c>
      <c r="M167" s="734">
        <f t="shared" si="49"/>
        <v>1</v>
      </c>
      <c r="N167" s="734">
        <f t="shared" si="49"/>
        <v>1</v>
      </c>
      <c r="O167" s="734">
        <f t="shared" si="49"/>
        <v>1</v>
      </c>
      <c r="P167" s="735">
        <f t="shared" si="49"/>
        <v>1</v>
      </c>
      <c r="Q167" s="356"/>
    </row>
    <row r="168" spans="2:19" ht="15.75" thickBot="1" x14ac:dyDescent="0.3">
      <c r="B168" s="395"/>
      <c r="C168" s="810"/>
      <c r="D168" s="793"/>
      <c r="E168" s="2234" t="s">
        <v>472</v>
      </c>
      <c r="F168" s="2235"/>
      <c r="G168" s="2235"/>
      <c r="H168" s="2236"/>
      <c r="I168" s="1361">
        <f>I158-I165</f>
        <v>0</v>
      </c>
      <c r="J168" s="1363">
        <f t="shared" ref="J168:O168" si="50">J158-J165</f>
        <v>0</v>
      </c>
      <c r="K168" s="1363">
        <f t="shared" si="50"/>
        <v>0</v>
      </c>
      <c r="L168" s="1363">
        <f t="shared" si="50"/>
        <v>0</v>
      </c>
      <c r="M168" s="1363">
        <f t="shared" si="50"/>
        <v>0</v>
      </c>
      <c r="N168" s="1363">
        <f t="shared" si="50"/>
        <v>0</v>
      </c>
      <c r="O168" s="1363">
        <f t="shared" si="50"/>
        <v>0</v>
      </c>
      <c r="P168" s="1364">
        <f>P158-P165</f>
        <v>0</v>
      </c>
      <c r="Q168" s="356"/>
    </row>
    <row r="169" spans="2:19" ht="9" customHeight="1" thickBot="1" x14ac:dyDescent="0.3">
      <c r="B169" s="1372"/>
      <c r="C169" s="697"/>
      <c r="D169" s="697"/>
      <c r="E169" s="697"/>
      <c r="F169" s="697"/>
      <c r="G169" s="697"/>
      <c r="H169" s="697"/>
      <c r="I169" s="697"/>
      <c r="J169" s="697"/>
      <c r="K169" s="697"/>
      <c r="L169" s="697"/>
      <c r="M169" s="697"/>
      <c r="N169" s="697"/>
      <c r="O169" s="697"/>
      <c r="P169" s="697"/>
      <c r="Q169" s="1373"/>
    </row>
  </sheetData>
  <sheetProtection password="9F6B" sheet="1" objects="1" scenarios="1" formatCells="0" formatColumns="0" formatRows="0"/>
  <mergeCells count="39">
    <mergeCell ref="E165:H165"/>
    <mergeCell ref="C81:G81"/>
    <mergeCell ref="H81:I81"/>
    <mergeCell ref="C82:G82"/>
    <mergeCell ref="H82:I82"/>
    <mergeCell ref="C83:G83"/>
    <mergeCell ref="H83:I83"/>
    <mergeCell ref="E167:H167"/>
    <mergeCell ref="E168:H168"/>
    <mergeCell ref="C162:H162"/>
    <mergeCell ref="F84:I84"/>
    <mergeCell ref="F86:I86"/>
    <mergeCell ref="F87:I87"/>
    <mergeCell ref="D102:F102"/>
    <mergeCell ref="D103:F103"/>
    <mergeCell ref="C151:E151"/>
    <mergeCell ref="C153:H153"/>
    <mergeCell ref="C154:H154"/>
    <mergeCell ref="C155:H155"/>
    <mergeCell ref="E158:H158"/>
    <mergeCell ref="C161:H161"/>
    <mergeCell ref="C163:H163"/>
    <mergeCell ref="C164:H164"/>
    <mergeCell ref="C9:P9"/>
    <mergeCell ref="C90:P90"/>
    <mergeCell ref="H80:I80"/>
    <mergeCell ref="C70:E70"/>
    <mergeCell ref="H71:I71"/>
    <mergeCell ref="C72:G72"/>
    <mergeCell ref="H72:I72"/>
    <mergeCell ref="C73:G73"/>
    <mergeCell ref="H73:I73"/>
    <mergeCell ref="D21:F21"/>
    <mergeCell ref="D22:F22"/>
    <mergeCell ref="C74:G74"/>
    <mergeCell ref="H74:I74"/>
    <mergeCell ref="F77:I77"/>
    <mergeCell ref="H79:I79"/>
    <mergeCell ref="C80:G80"/>
  </mergeCells>
  <pageMargins left="0.7" right="0.7" top="0.75" bottom="0.75" header="0.3" footer="0.3"/>
  <pageSetup scale="59" fitToHeight="2" orientation="portrait" r:id="rId1"/>
  <headerFooter>
    <oddFooter>&amp;LForm 8E(2)
Operating Pro Forma (Alternate without Subsidy)&amp;CCFA Forms&amp;REdition: 2015
Version: 1.1</oddFooter>
  </headerFooter>
  <rowBreaks count="1" manualBreakCount="1">
    <brk id="88" min="1" max="16"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6:K51"/>
  <sheetViews>
    <sheetView showGridLines="0" zoomScaleNormal="100" workbookViewId="0">
      <selection activeCell="C14" sqref="C14:E17"/>
    </sheetView>
  </sheetViews>
  <sheetFormatPr defaultRowHeight="15" x14ac:dyDescent="0.25"/>
  <cols>
    <col min="1" max="2" width="1.7109375" style="849" customWidth="1"/>
    <col min="3" max="3" width="14.28515625" style="849" customWidth="1"/>
    <col min="4" max="4" width="10" style="849" customWidth="1"/>
    <col min="5" max="5" width="74.28515625" style="849" customWidth="1"/>
    <col min="6" max="6" width="1.7109375" style="849" customWidth="1"/>
    <col min="7" max="16384" width="9.140625" style="849"/>
  </cols>
  <sheetData>
    <row r="6" spans="2:6" ht="15.75" thickBot="1" x14ac:dyDescent="0.3"/>
    <row r="7" spans="2:6" ht="9" customHeight="1" x14ac:dyDescent="0.25">
      <c r="B7" s="1384"/>
      <c r="C7" s="1385"/>
      <c r="D7" s="1385"/>
      <c r="E7" s="1386"/>
      <c r="F7" s="1387"/>
    </row>
    <row r="8" spans="2:6" ht="18.75" x14ac:dyDescent="0.3">
      <c r="B8" s="1388"/>
      <c r="C8" s="2030" t="s">
        <v>1270</v>
      </c>
      <c r="D8" s="2030"/>
      <c r="E8" s="2030"/>
      <c r="F8" s="1389"/>
    </row>
    <row r="9" spans="2:6" x14ac:dyDescent="0.25">
      <c r="B9" s="1388"/>
      <c r="C9" s="402"/>
      <c r="D9" s="402"/>
      <c r="E9" s="434"/>
      <c r="F9" s="1389"/>
    </row>
    <row r="10" spans="2:6" x14ac:dyDescent="0.25">
      <c r="B10" s="1388"/>
      <c r="C10" s="1390" t="s">
        <v>1</v>
      </c>
      <c r="D10" s="1956" t="str">
        <f>IF('1A'!G5="","Enter Project Name on Form 1A",'1A'!G5)</f>
        <v>Liberty Bank Building</v>
      </c>
      <c r="E10" s="1956"/>
      <c r="F10" s="1389"/>
    </row>
    <row r="11" spans="2:6" ht="22.5" customHeight="1" x14ac:dyDescent="0.25">
      <c r="B11" s="1388"/>
      <c r="C11" s="588"/>
      <c r="D11" s="588"/>
      <c r="E11" s="355"/>
      <c r="F11" s="1389"/>
    </row>
    <row r="12" spans="2:6" x14ac:dyDescent="0.25">
      <c r="B12" s="1388"/>
      <c r="C12" s="1391" t="s">
        <v>484</v>
      </c>
      <c r="D12" s="1391"/>
      <c r="E12" s="434"/>
      <c r="F12" s="1389"/>
    </row>
    <row r="13" spans="2:6" ht="15.75" thickBot="1" x14ac:dyDescent="0.3">
      <c r="B13" s="1388"/>
      <c r="C13" s="212" t="s">
        <v>485</v>
      </c>
      <c r="D13" s="212"/>
      <c r="E13" s="1392"/>
      <c r="F13" s="1389"/>
    </row>
    <row r="14" spans="2:6" x14ac:dyDescent="0.25">
      <c r="B14" s="1388"/>
      <c r="C14" s="2285" t="s">
        <v>1594</v>
      </c>
      <c r="D14" s="2286"/>
      <c r="E14" s="2287"/>
      <c r="F14" s="1389"/>
    </row>
    <row r="15" spans="2:6" x14ac:dyDescent="0.25">
      <c r="B15" s="1388"/>
      <c r="C15" s="2288"/>
      <c r="D15" s="2289"/>
      <c r="E15" s="2290"/>
      <c r="F15" s="1389"/>
    </row>
    <row r="16" spans="2:6" x14ac:dyDescent="0.25">
      <c r="B16" s="1388"/>
      <c r="C16" s="2288"/>
      <c r="D16" s="2289"/>
      <c r="E16" s="2290"/>
      <c r="F16" s="1389"/>
    </row>
    <row r="17" spans="1:11" ht="15.75" thickBot="1" x14ac:dyDescent="0.3">
      <c r="B17" s="1388"/>
      <c r="C17" s="2291"/>
      <c r="D17" s="2292"/>
      <c r="E17" s="2293"/>
      <c r="F17" s="1389"/>
    </row>
    <row r="18" spans="1:11" x14ac:dyDescent="0.25">
      <c r="B18" s="1388"/>
      <c r="C18" s="217"/>
      <c r="D18" s="217"/>
      <c r="E18" s="1392"/>
      <c r="F18" s="1389"/>
    </row>
    <row r="19" spans="1:11" x14ac:dyDescent="0.25">
      <c r="A19" s="844"/>
      <c r="B19" s="1388"/>
      <c r="C19" s="1391" t="s">
        <v>486</v>
      </c>
      <c r="D19" s="1391"/>
      <c r="E19" s="698"/>
      <c r="F19" s="1393"/>
      <c r="G19" s="844"/>
      <c r="H19" s="844"/>
      <c r="I19" s="844"/>
      <c r="J19" s="844"/>
      <c r="K19" s="844"/>
    </row>
    <row r="20" spans="1:11" ht="7.5" customHeight="1" x14ac:dyDescent="0.25">
      <c r="A20" s="844"/>
      <c r="B20" s="1388"/>
      <c r="C20" s="1394"/>
      <c r="D20" s="1394"/>
      <c r="E20" s="698"/>
      <c r="F20" s="1393"/>
      <c r="G20" s="844"/>
      <c r="H20" s="844"/>
      <c r="I20" s="844"/>
      <c r="J20" s="844"/>
      <c r="K20" s="844"/>
    </row>
    <row r="21" spans="1:11" ht="15.75" thickBot="1" x14ac:dyDescent="0.3">
      <c r="A21" s="844"/>
      <c r="B21" s="1388"/>
      <c r="C21" s="527" t="s">
        <v>432</v>
      </c>
      <c r="D21" s="527"/>
      <c r="E21" s="1213"/>
      <c r="F21" s="1393"/>
      <c r="G21" s="844"/>
      <c r="H21" s="844"/>
      <c r="I21" s="844"/>
      <c r="J21" s="844"/>
      <c r="K21" s="844"/>
    </row>
    <row r="22" spans="1:11" x14ac:dyDescent="0.25">
      <c r="A22" s="844"/>
      <c r="B22" s="1388"/>
      <c r="C22" s="581" t="s">
        <v>434</v>
      </c>
      <c r="D22" s="581"/>
      <c r="E22" s="601" t="s">
        <v>1451</v>
      </c>
      <c r="F22" s="1393"/>
      <c r="G22" s="844"/>
      <c r="H22" s="844"/>
      <c r="I22" s="844"/>
      <c r="J22" s="844"/>
      <c r="K22" s="844"/>
    </row>
    <row r="23" spans="1:11" x14ac:dyDescent="0.25">
      <c r="A23" s="844"/>
      <c r="B23" s="1388"/>
      <c r="C23" s="581" t="s">
        <v>435</v>
      </c>
      <c r="D23" s="581"/>
      <c r="E23" s="602" t="s">
        <v>1452</v>
      </c>
      <c r="F23" s="1393"/>
      <c r="G23" s="844"/>
      <c r="H23" s="844"/>
      <c r="I23" s="844"/>
      <c r="J23" s="844"/>
      <c r="K23" s="844"/>
    </row>
    <row r="24" spans="1:11" x14ac:dyDescent="0.25">
      <c r="A24" s="844"/>
      <c r="B24" s="1388"/>
      <c r="C24" s="581" t="s">
        <v>436</v>
      </c>
      <c r="D24" s="581"/>
      <c r="E24" s="602" t="s">
        <v>1453</v>
      </c>
      <c r="F24" s="1393"/>
      <c r="G24" s="844"/>
      <c r="H24" s="844"/>
      <c r="I24" s="844"/>
      <c r="J24" s="844"/>
      <c r="K24" s="844"/>
    </row>
    <row r="25" spans="1:11" x14ac:dyDescent="0.25">
      <c r="A25" s="844"/>
      <c r="B25" s="1388"/>
      <c r="C25" s="581" t="s">
        <v>437</v>
      </c>
      <c r="D25" s="581"/>
      <c r="E25" s="602" t="s">
        <v>1454</v>
      </c>
      <c r="F25" s="1393"/>
      <c r="G25" s="844"/>
      <c r="H25" s="844"/>
      <c r="I25" s="844"/>
      <c r="J25" s="844"/>
      <c r="K25" s="844"/>
    </row>
    <row r="26" spans="1:11" x14ac:dyDescent="0.25">
      <c r="A26" s="844"/>
      <c r="B26" s="1388"/>
      <c r="C26" s="581" t="s">
        <v>438</v>
      </c>
      <c r="D26" s="581"/>
      <c r="E26" s="602" t="s">
        <v>1455</v>
      </c>
      <c r="F26" s="1393"/>
      <c r="G26" s="844"/>
      <c r="H26" s="844"/>
      <c r="I26" s="844"/>
      <c r="J26" s="844"/>
      <c r="K26" s="844"/>
    </row>
    <row r="27" spans="1:11" x14ac:dyDescent="0.25">
      <c r="A27" s="844"/>
      <c r="B27" s="1388"/>
      <c r="C27" s="581" t="s">
        <v>439</v>
      </c>
      <c r="D27" s="581"/>
      <c r="E27" s="602" t="s">
        <v>1456</v>
      </c>
      <c r="F27" s="1393"/>
      <c r="G27" s="844"/>
      <c r="H27" s="844"/>
      <c r="I27" s="844"/>
      <c r="J27" s="844"/>
      <c r="K27" s="844"/>
    </row>
    <row r="28" spans="1:11" x14ac:dyDescent="0.25">
      <c r="A28" s="844"/>
      <c r="B28" s="1388"/>
      <c r="C28" s="581" t="s">
        <v>440</v>
      </c>
      <c r="D28" s="581"/>
      <c r="E28" s="602" t="s">
        <v>1449</v>
      </c>
      <c r="F28" s="1393"/>
      <c r="G28" s="844"/>
      <c r="H28" s="844"/>
      <c r="I28" s="844"/>
      <c r="J28" s="844"/>
      <c r="K28" s="844"/>
    </row>
    <row r="29" spans="1:11" x14ac:dyDescent="0.25">
      <c r="A29" s="844"/>
      <c r="B29" s="1388"/>
      <c r="C29" s="581" t="s">
        <v>441</v>
      </c>
      <c r="D29" s="581"/>
      <c r="E29" s="602"/>
      <c r="F29" s="1393"/>
      <c r="G29" s="844"/>
      <c r="H29" s="844"/>
      <c r="I29" s="844"/>
      <c r="J29" s="844"/>
      <c r="K29" s="844"/>
    </row>
    <row r="30" spans="1:11" x14ac:dyDescent="0.25">
      <c r="A30" s="844"/>
      <c r="B30" s="1388"/>
      <c r="C30" s="581" t="s">
        <v>442</v>
      </c>
      <c r="D30" s="581"/>
      <c r="E30" s="602" t="s">
        <v>1455</v>
      </c>
      <c r="F30" s="1393"/>
      <c r="G30" s="844"/>
      <c r="H30" s="844"/>
      <c r="I30" s="844"/>
      <c r="J30" s="844"/>
      <c r="K30" s="844"/>
    </row>
    <row r="31" spans="1:11" x14ac:dyDescent="0.25">
      <c r="A31" s="844"/>
      <c r="B31" s="1388"/>
      <c r="C31" s="581" t="s">
        <v>443</v>
      </c>
      <c r="D31" s="581"/>
      <c r="E31" s="602" t="s">
        <v>1455</v>
      </c>
      <c r="F31" s="1393"/>
      <c r="G31" s="844"/>
      <c r="H31" s="844"/>
      <c r="I31" s="844"/>
      <c r="J31" s="844"/>
      <c r="K31" s="844"/>
    </row>
    <row r="32" spans="1:11" x14ac:dyDescent="0.25">
      <c r="A32" s="844"/>
      <c r="B32" s="1388"/>
      <c r="C32" s="581" t="s">
        <v>444</v>
      </c>
      <c r="D32" s="581"/>
      <c r="E32" s="602" t="s">
        <v>1455</v>
      </c>
      <c r="F32" s="1393"/>
      <c r="G32" s="844"/>
      <c r="H32" s="844"/>
      <c r="I32" s="844"/>
      <c r="J32" s="844"/>
      <c r="K32" s="844"/>
    </row>
    <row r="33" spans="1:11" x14ac:dyDescent="0.25">
      <c r="A33" s="844"/>
      <c r="B33" s="1388"/>
      <c r="C33" s="581" t="s">
        <v>445</v>
      </c>
      <c r="D33" s="581"/>
      <c r="E33" s="602" t="s">
        <v>1455</v>
      </c>
      <c r="F33" s="1393"/>
      <c r="G33" s="844"/>
      <c r="H33" s="844"/>
      <c r="I33" s="844"/>
      <c r="J33" s="844"/>
      <c r="K33" s="844"/>
    </row>
    <row r="34" spans="1:11" x14ac:dyDescent="0.25">
      <c r="A34" s="844"/>
      <c r="B34" s="1388"/>
      <c r="C34" s="581" t="s">
        <v>446</v>
      </c>
      <c r="D34" s="581"/>
      <c r="E34" s="602" t="s">
        <v>1455</v>
      </c>
      <c r="F34" s="1393"/>
      <c r="G34" s="844"/>
      <c r="H34" s="844"/>
      <c r="I34" s="844"/>
      <c r="J34" s="844"/>
      <c r="K34" s="844"/>
    </row>
    <row r="35" spans="1:11" x14ac:dyDescent="0.25">
      <c r="A35" s="844"/>
      <c r="B35" s="1388"/>
      <c r="C35" s="581" t="s">
        <v>447</v>
      </c>
      <c r="D35" s="581"/>
      <c r="E35" s="602" t="s">
        <v>1455</v>
      </c>
      <c r="F35" s="1393"/>
      <c r="G35" s="844"/>
      <c r="H35" s="844"/>
      <c r="I35" s="844"/>
      <c r="J35" s="844"/>
      <c r="K35" s="844"/>
    </row>
    <row r="36" spans="1:11" x14ac:dyDescent="0.25">
      <c r="A36" s="844"/>
      <c r="B36" s="1388"/>
      <c r="C36" s="581" t="s">
        <v>448</v>
      </c>
      <c r="D36" s="581"/>
      <c r="E36" s="602" t="s">
        <v>1455</v>
      </c>
      <c r="F36" s="1393"/>
      <c r="G36" s="844"/>
      <c r="H36" s="844"/>
      <c r="I36" s="844"/>
      <c r="J36" s="844"/>
      <c r="K36" s="844"/>
    </row>
    <row r="37" spans="1:11" x14ac:dyDescent="0.25">
      <c r="A37" s="844"/>
      <c r="B37" s="1388"/>
      <c r="C37" s="581" t="s">
        <v>449</v>
      </c>
      <c r="D37" s="581"/>
      <c r="E37" s="602" t="s">
        <v>1455</v>
      </c>
      <c r="F37" s="1393"/>
      <c r="G37" s="844"/>
      <c r="H37" s="844"/>
      <c r="I37" s="844"/>
      <c r="J37" s="844"/>
      <c r="K37" s="844"/>
    </row>
    <row r="38" spans="1:11" x14ac:dyDescent="0.25">
      <c r="A38" s="844"/>
      <c r="B38" s="1388"/>
      <c r="C38" s="581" t="s">
        <v>450</v>
      </c>
      <c r="D38" s="581"/>
      <c r="E38" s="602" t="s">
        <v>1455</v>
      </c>
      <c r="F38" s="1393"/>
      <c r="G38" s="844"/>
      <c r="H38" s="844"/>
      <c r="I38" s="844"/>
      <c r="J38" s="844"/>
      <c r="K38" s="844"/>
    </row>
    <row r="39" spans="1:11" x14ac:dyDescent="0.25">
      <c r="A39" s="844"/>
      <c r="B39" s="1388"/>
      <c r="C39" s="581" t="s">
        <v>451</v>
      </c>
      <c r="D39" s="581"/>
      <c r="E39" s="602" t="s">
        <v>1455</v>
      </c>
      <c r="F39" s="1393"/>
      <c r="G39" s="844"/>
      <c r="H39" s="844"/>
      <c r="I39" s="844"/>
      <c r="J39" s="844"/>
      <c r="K39" s="844"/>
    </row>
    <row r="40" spans="1:11" x14ac:dyDescent="0.25">
      <c r="A40" s="844"/>
      <c r="B40" s="1388"/>
      <c r="C40" s="581" t="s">
        <v>452</v>
      </c>
      <c r="D40" s="581"/>
      <c r="E40" s="602" t="s">
        <v>1455</v>
      </c>
      <c r="F40" s="1393"/>
      <c r="G40" s="844"/>
      <c r="H40" s="844"/>
      <c r="I40" s="844"/>
      <c r="J40" s="844"/>
      <c r="K40" s="844"/>
    </row>
    <row r="41" spans="1:11" x14ac:dyDescent="0.25">
      <c r="A41" s="844"/>
      <c r="B41" s="1388"/>
      <c r="C41" s="581" t="s">
        <v>453</v>
      </c>
      <c r="D41" s="581"/>
      <c r="E41" s="602" t="s">
        <v>1455</v>
      </c>
      <c r="F41" s="1393"/>
      <c r="G41" s="844"/>
      <c r="H41" s="844"/>
      <c r="I41" s="844"/>
      <c r="J41" s="844"/>
      <c r="K41" s="844"/>
    </row>
    <row r="42" spans="1:11" x14ac:dyDescent="0.25">
      <c r="A42" s="844"/>
      <c r="B42" s="1388"/>
      <c r="C42" s="581" t="s">
        <v>487</v>
      </c>
      <c r="D42" s="581"/>
      <c r="E42" s="602" t="s">
        <v>1457</v>
      </c>
      <c r="F42" s="1393"/>
      <c r="G42" s="844"/>
      <c r="H42" s="844"/>
      <c r="I42" s="844"/>
      <c r="J42" s="844"/>
      <c r="K42" s="844"/>
    </row>
    <row r="43" spans="1:11" ht="30" customHeight="1" x14ac:dyDescent="0.25">
      <c r="A43" s="844"/>
      <c r="B43" s="1388"/>
      <c r="C43" s="2281" t="s">
        <v>667</v>
      </c>
      <c r="D43" s="2282"/>
      <c r="E43" s="2283" t="s">
        <v>1450</v>
      </c>
      <c r="F43" s="1393"/>
      <c r="G43" s="844"/>
      <c r="H43" s="844"/>
      <c r="I43" s="844"/>
      <c r="J43" s="844"/>
      <c r="K43" s="844"/>
    </row>
    <row r="44" spans="1:11" ht="15.75" thickBot="1" x14ac:dyDescent="0.3">
      <c r="A44" s="844"/>
      <c r="B44" s="1388"/>
      <c r="C44" s="603"/>
      <c r="D44" s="604"/>
      <c r="E44" s="2284"/>
      <c r="F44" s="1393"/>
      <c r="G44" s="844"/>
      <c r="H44" s="844"/>
      <c r="I44" s="844"/>
      <c r="J44" s="844"/>
      <c r="K44" s="844"/>
    </row>
    <row r="45" spans="1:11" ht="15.75" thickBot="1" x14ac:dyDescent="0.3">
      <c r="A45" s="844"/>
      <c r="B45" s="1388"/>
      <c r="C45" s="527" t="s">
        <v>488</v>
      </c>
      <c r="D45" s="527"/>
      <c r="E45" s="605"/>
      <c r="F45" s="1393"/>
      <c r="G45" s="844"/>
      <c r="H45" s="844"/>
      <c r="I45" s="844"/>
      <c r="J45" s="844"/>
      <c r="K45" s="844"/>
    </row>
    <row r="46" spans="1:11" x14ac:dyDescent="0.25">
      <c r="A46" s="844"/>
      <c r="B46" s="1388"/>
      <c r="C46" s="600" t="s">
        <v>455</v>
      </c>
      <c r="D46" s="600"/>
      <c r="E46" s="601" t="s">
        <v>1458</v>
      </c>
      <c r="F46" s="1393"/>
      <c r="G46" s="844"/>
      <c r="H46" s="844"/>
      <c r="I46" s="844"/>
      <c r="J46" s="844"/>
      <c r="K46" s="844"/>
    </row>
    <row r="47" spans="1:11" ht="15.75" thickBot="1" x14ac:dyDescent="0.3">
      <c r="A47" s="844"/>
      <c r="B47" s="1388"/>
      <c r="C47" s="600" t="s">
        <v>456</v>
      </c>
      <c r="D47" s="600"/>
      <c r="E47" s="606"/>
      <c r="F47" s="1393"/>
      <c r="G47" s="844"/>
      <c r="H47" s="844"/>
      <c r="I47" s="844"/>
      <c r="J47" s="844"/>
      <c r="K47" s="844"/>
    </row>
    <row r="48" spans="1:11" ht="15.75" thickBot="1" x14ac:dyDescent="0.3">
      <c r="A48" s="844"/>
      <c r="B48" s="1395"/>
      <c r="C48" s="1396"/>
      <c r="D48" s="1396"/>
      <c r="E48" s="1397"/>
      <c r="F48" s="1398"/>
      <c r="G48" s="844"/>
      <c r="H48" s="844"/>
      <c r="I48" s="844"/>
      <c r="J48" s="844"/>
      <c r="K48" s="844"/>
    </row>
    <row r="49" spans="1:11" x14ac:dyDescent="0.25">
      <c r="A49" s="844"/>
      <c r="B49" s="844"/>
      <c r="C49" s="844"/>
      <c r="D49" s="844"/>
      <c r="E49" s="844"/>
      <c r="F49" s="844"/>
      <c r="G49" s="844"/>
      <c r="H49" s="844"/>
      <c r="I49" s="844"/>
      <c r="J49" s="844"/>
      <c r="K49" s="844"/>
    </row>
    <row r="50" spans="1:11" x14ac:dyDescent="0.25">
      <c r="A50" s="844"/>
      <c r="B50" s="844"/>
      <c r="C50" s="844"/>
      <c r="D50" s="844"/>
      <c r="E50" s="844"/>
      <c r="F50" s="844"/>
      <c r="G50" s="844"/>
      <c r="H50" s="844"/>
      <c r="I50" s="844"/>
      <c r="J50" s="844"/>
      <c r="K50" s="844"/>
    </row>
    <row r="51" spans="1:11" x14ac:dyDescent="0.25">
      <c r="A51" s="844"/>
      <c r="B51" s="844"/>
      <c r="C51" s="844"/>
      <c r="D51" s="844"/>
      <c r="E51" s="844"/>
      <c r="F51" s="844"/>
      <c r="G51" s="844"/>
      <c r="H51" s="844"/>
      <c r="I51" s="844"/>
      <c r="J51" s="844"/>
      <c r="K51" s="844"/>
    </row>
  </sheetData>
  <sheetProtection password="9F6B" sheet="1" objects="1" scenarios="1" formatCells="0" formatColumns="0" formatRows="0"/>
  <mergeCells count="5">
    <mergeCell ref="C43:D43"/>
    <mergeCell ref="D10:E10"/>
    <mergeCell ref="E43:E44"/>
    <mergeCell ref="C14:E17"/>
    <mergeCell ref="C8:E8"/>
  </mergeCells>
  <pageMargins left="0.7" right="0.7" top="0.75" bottom="0.75" header="0.3" footer="0.3"/>
  <pageSetup scale="88" orientation="portrait" r:id="rId1"/>
  <headerFooter>
    <oddFooter>&amp;LForm 8F
Operating Pro Forma Details&amp;CCFA Forms&amp;REdition: 2015
Version: 1.1</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I81"/>
  <sheetViews>
    <sheetView showGridLines="0" topLeftCell="A49" zoomScaleNormal="100" workbookViewId="0">
      <selection activeCell="D65" sqref="D65"/>
    </sheetView>
  </sheetViews>
  <sheetFormatPr defaultRowHeight="15" x14ac:dyDescent="0.25"/>
  <cols>
    <col min="1" max="2" width="1.7109375" style="849" customWidth="1"/>
    <col min="3" max="4" width="22.85546875" style="849" customWidth="1"/>
    <col min="5" max="6" width="5.7109375" style="849" customWidth="1"/>
    <col min="7" max="7" width="9.140625" style="849"/>
    <col min="8" max="8" width="22.85546875" style="849" customWidth="1"/>
    <col min="9" max="9" width="1.7109375" style="849" customWidth="1"/>
    <col min="10" max="16384" width="9.140625" style="849"/>
  </cols>
  <sheetData>
    <row r="1" spans="2:9" s="844" customFormat="1" ht="15.75" thickBot="1" x14ac:dyDescent="0.3"/>
    <row r="2" spans="2:9" s="844" customFormat="1" ht="9" customHeight="1" x14ac:dyDescent="0.25">
      <c r="B2" s="1399"/>
      <c r="C2" s="1400"/>
      <c r="D2" s="1400"/>
      <c r="E2" s="1400"/>
      <c r="F2" s="1400"/>
      <c r="G2" s="1400"/>
      <c r="H2" s="1400"/>
      <c r="I2" s="1401"/>
    </row>
    <row r="3" spans="2:9" s="844" customFormat="1" ht="18.75" x14ac:dyDescent="0.3">
      <c r="B3" s="1402"/>
      <c r="C3" s="2030" t="s">
        <v>489</v>
      </c>
      <c r="D3" s="2030"/>
      <c r="E3" s="2030"/>
      <c r="F3" s="2030"/>
      <c r="G3" s="2030"/>
      <c r="H3" s="2030"/>
      <c r="I3" s="1403"/>
    </row>
    <row r="4" spans="2:9" s="844" customFormat="1" ht="15" customHeight="1" x14ac:dyDescent="0.25">
      <c r="B4" s="1402"/>
      <c r="C4" s="1128"/>
      <c r="D4" s="355"/>
      <c r="E4" s="355"/>
      <c r="F4" s="355"/>
      <c r="G4" s="355"/>
      <c r="H4" s="355"/>
      <c r="I4" s="1403"/>
    </row>
    <row r="5" spans="2:9" s="844" customFormat="1" x14ac:dyDescent="0.25">
      <c r="B5" s="1404"/>
      <c r="C5" s="820" t="s">
        <v>1</v>
      </c>
      <c r="D5" s="1956" t="str">
        <f>IF('1A'!G5="","Enter Project Name on Form 1A",'1A'!G5)</f>
        <v>Liberty Bank Building</v>
      </c>
      <c r="E5" s="1956"/>
      <c r="F5" s="1956"/>
      <c r="G5" s="1956"/>
      <c r="H5" s="1956"/>
      <c r="I5" s="1405"/>
    </row>
    <row r="6" spans="2:9" s="844" customFormat="1" ht="15" customHeight="1" thickBot="1" x14ac:dyDescent="0.3">
      <c r="B6" s="1402"/>
      <c r="C6" s="355"/>
      <c r="D6" s="355"/>
      <c r="E6" s="355"/>
      <c r="F6" s="355"/>
      <c r="G6" s="355"/>
      <c r="H6" s="355"/>
      <c r="I6" s="1403"/>
    </row>
    <row r="7" spans="2:9" s="844" customFormat="1" x14ac:dyDescent="0.25">
      <c r="B7" s="1402"/>
      <c r="C7" s="2298" t="s">
        <v>490</v>
      </c>
      <c r="D7" s="2299"/>
      <c r="E7" s="2299"/>
      <c r="F7" s="2299"/>
      <c r="G7" s="2299"/>
      <c r="H7" s="2300"/>
      <c r="I7" s="1403"/>
    </row>
    <row r="8" spans="2:9" s="844" customFormat="1" x14ac:dyDescent="0.25">
      <c r="B8" s="1402"/>
      <c r="C8" s="689" t="s">
        <v>491</v>
      </c>
      <c r="D8" s="1956" t="str">
        <f>IF('1A'!G8="","Enter Organization Name on Form 1A",'1A'!G8)</f>
        <v>Capitol Hill Housing</v>
      </c>
      <c r="E8" s="1956"/>
      <c r="F8" s="1956"/>
      <c r="G8" s="1956"/>
      <c r="H8" s="2313"/>
      <c r="I8" s="1403"/>
    </row>
    <row r="9" spans="2:9" s="844" customFormat="1" x14ac:dyDescent="0.25">
      <c r="B9" s="1402"/>
      <c r="C9" s="689" t="s">
        <v>492</v>
      </c>
      <c r="D9" s="2294" t="s">
        <v>1463</v>
      </c>
      <c r="E9" s="2294"/>
      <c r="F9" s="2294"/>
      <c r="G9" s="2294"/>
      <c r="H9" s="2295"/>
      <c r="I9" s="1403"/>
    </row>
    <row r="10" spans="2:9" s="844" customFormat="1" x14ac:dyDescent="0.25">
      <c r="B10" s="1402"/>
      <c r="C10" s="689" t="s">
        <v>14</v>
      </c>
      <c r="D10" s="795" t="s">
        <v>1383</v>
      </c>
      <c r="E10" s="355" t="s">
        <v>493</v>
      </c>
      <c r="F10" s="796" t="s">
        <v>1387</v>
      </c>
      <c r="G10" s="355" t="s">
        <v>494</v>
      </c>
      <c r="H10" s="690">
        <v>98122</v>
      </c>
      <c r="I10" s="1403"/>
    </row>
    <row r="11" spans="2:9" s="844" customFormat="1" x14ac:dyDescent="0.25">
      <c r="B11" s="1402"/>
      <c r="C11" s="689" t="s">
        <v>495</v>
      </c>
      <c r="D11" s="2296" t="s">
        <v>1464</v>
      </c>
      <c r="E11" s="2296"/>
      <c r="F11" s="2296"/>
      <c r="G11" s="2296"/>
      <c r="H11" s="2297"/>
      <c r="I11" s="1403"/>
    </row>
    <row r="12" spans="2:9" s="844" customFormat="1" x14ac:dyDescent="0.25">
      <c r="B12" s="1402"/>
      <c r="C12" s="699" t="s">
        <v>496</v>
      </c>
      <c r="D12" s="2301"/>
      <c r="E12" s="2301"/>
      <c r="F12" s="2301"/>
      <c r="G12" s="2301"/>
      <c r="H12" s="2302"/>
      <c r="I12" s="1403"/>
    </row>
    <row r="13" spans="2:9" x14ac:dyDescent="0.25">
      <c r="B13" s="1406"/>
      <c r="C13" s="607"/>
      <c r="D13" s="608"/>
      <c r="E13" s="609"/>
      <c r="F13" s="609"/>
      <c r="G13" s="609"/>
      <c r="H13" s="610"/>
      <c r="I13" s="1407"/>
    </row>
    <row r="14" spans="2:9" s="844" customFormat="1" ht="26.25" x14ac:dyDescent="0.25">
      <c r="B14" s="1402"/>
      <c r="C14" s="688" t="s">
        <v>497</v>
      </c>
      <c r="D14" s="2296" t="s">
        <v>1404</v>
      </c>
      <c r="E14" s="2296"/>
      <c r="F14" s="2296"/>
      <c r="G14" s="2296"/>
      <c r="H14" s="2297"/>
      <c r="I14" s="1403"/>
    </row>
    <row r="15" spans="2:9" s="844" customFormat="1" x14ac:dyDescent="0.25">
      <c r="B15" s="1402"/>
      <c r="C15" s="689" t="s">
        <v>5</v>
      </c>
      <c r="D15" s="2306" t="s">
        <v>1406</v>
      </c>
      <c r="E15" s="2306"/>
      <c r="F15" s="2306"/>
      <c r="G15" s="396" t="s">
        <v>498</v>
      </c>
      <c r="H15" s="1823" t="s">
        <v>1407</v>
      </c>
      <c r="I15" s="1403"/>
    </row>
    <row r="16" spans="2:9" s="844" customFormat="1" x14ac:dyDescent="0.25">
      <c r="B16" s="1402"/>
      <c r="C16" s="689" t="s">
        <v>6</v>
      </c>
      <c r="D16" s="2296" t="s">
        <v>1405</v>
      </c>
      <c r="E16" s="2296"/>
      <c r="F16" s="2296"/>
      <c r="G16" s="2296"/>
      <c r="H16" s="2297"/>
      <c r="I16" s="1403"/>
    </row>
    <row r="17" spans="2:9" s="844" customFormat="1" x14ac:dyDescent="0.25">
      <c r="B17" s="1402"/>
      <c r="C17" s="691" t="s">
        <v>499</v>
      </c>
      <c r="D17" s="2308" t="str">
        <f>IF('1A'!G10="","Enter Contact Name on Form 1A",'1A'!G10)</f>
        <v>Katie Porter</v>
      </c>
      <c r="E17" s="2308"/>
      <c r="F17" s="2308"/>
      <c r="G17" s="2308"/>
      <c r="H17" s="2309"/>
      <c r="I17" s="1403"/>
    </row>
    <row r="18" spans="2:9" s="844" customFormat="1" x14ac:dyDescent="0.25">
      <c r="B18" s="1402"/>
      <c r="C18" s="689" t="s">
        <v>5</v>
      </c>
      <c r="D18" s="2312" t="str">
        <f>IF('1A'!G12="","Enter Phone Number on Form 1A",'1A'!G12)</f>
        <v>206.307.8314</v>
      </c>
      <c r="E18" s="2312"/>
      <c r="F18" s="2312"/>
      <c r="G18" s="396" t="s">
        <v>498</v>
      </c>
      <c r="H18" s="1823" t="s">
        <v>1407</v>
      </c>
      <c r="I18" s="1403"/>
    </row>
    <row r="19" spans="2:9" s="844" customFormat="1" x14ac:dyDescent="0.25">
      <c r="B19" s="1402"/>
      <c r="C19" s="689" t="s">
        <v>6</v>
      </c>
      <c r="D19" s="2310" t="str">
        <f>IF('1A'!J12="","Enter Email on Form 1A",'1A'!J12)</f>
        <v>kporter@capitolhillhousing.org</v>
      </c>
      <c r="E19" s="2310"/>
      <c r="F19" s="2310"/>
      <c r="G19" s="2310"/>
      <c r="H19" s="2311"/>
      <c r="I19" s="1403"/>
    </row>
    <row r="20" spans="2:9" s="844" customFormat="1" ht="15.75" thickBot="1" x14ac:dyDescent="0.3">
      <c r="B20" s="1402"/>
      <c r="C20" s="692"/>
      <c r="D20" s="695"/>
      <c r="E20" s="695"/>
      <c r="F20" s="695"/>
      <c r="G20" s="695"/>
      <c r="H20" s="696"/>
      <c r="I20" s="1403"/>
    </row>
    <row r="21" spans="2:9" s="844" customFormat="1" ht="7.5" customHeight="1" thickBot="1" x14ac:dyDescent="0.3">
      <c r="B21" s="1402"/>
      <c r="C21" s="355"/>
      <c r="D21" s="355"/>
      <c r="E21" s="355"/>
      <c r="F21" s="355"/>
      <c r="G21" s="355"/>
      <c r="H21" s="355"/>
      <c r="I21" s="1403"/>
    </row>
    <row r="22" spans="2:9" s="844" customFormat="1" x14ac:dyDescent="0.25">
      <c r="B22" s="1402"/>
      <c r="C22" s="2298" t="s">
        <v>500</v>
      </c>
      <c r="D22" s="2299"/>
      <c r="E22" s="2299"/>
      <c r="F22" s="2299"/>
      <c r="G22" s="2299"/>
      <c r="H22" s="2300"/>
      <c r="I22" s="1403"/>
    </row>
    <row r="23" spans="2:9" s="844" customFormat="1" x14ac:dyDescent="0.25">
      <c r="B23" s="1402"/>
      <c r="C23" s="689" t="s">
        <v>491</v>
      </c>
      <c r="D23" s="2310" t="str">
        <f>IF('1A'!G15="","Enter Firm Name on Form 1A, if applicable",'1A'!G15)</f>
        <v>N/A</v>
      </c>
      <c r="E23" s="2310"/>
      <c r="F23" s="2310"/>
      <c r="G23" s="2310"/>
      <c r="H23" s="2311"/>
      <c r="I23" s="1403"/>
    </row>
    <row r="24" spans="2:9" s="844" customFormat="1" x14ac:dyDescent="0.25">
      <c r="B24" s="1402"/>
      <c r="C24" s="691" t="s">
        <v>499</v>
      </c>
      <c r="D24" s="2308" t="str">
        <f>IF('1A'!G17="","Enter Contact Name on Form 1A",'1A'!G17)</f>
        <v>Enter Contact Name on Form 1A</v>
      </c>
      <c r="E24" s="2308"/>
      <c r="F24" s="2308"/>
      <c r="G24" s="2308"/>
      <c r="H24" s="2309"/>
      <c r="I24" s="1403"/>
    </row>
    <row r="25" spans="2:9" s="844" customFormat="1" x14ac:dyDescent="0.25">
      <c r="B25" s="1402"/>
      <c r="C25" s="689" t="s">
        <v>492</v>
      </c>
      <c r="D25" s="2294"/>
      <c r="E25" s="2294"/>
      <c r="F25" s="2294"/>
      <c r="G25" s="2294"/>
      <c r="H25" s="2295"/>
      <c r="I25" s="1403"/>
    </row>
    <row r="26" spans="2:9" s="844" customFormat="1" x14ac:dyDescent="0.25">
      <c r="B26" s="1402"/>
      <c r="C26" s="689" t="s">
        <v>14</v>
      </c>
      <c r="D26" s="795"/>
      <c r="E26" s="355" t="s">
        <v>493</v>
      </c>
      <c r="F26" s="796"/>
      <c r="G26" s="355" t="s">
        <v>494</v>
      </c>
      <c r="H26" s="693"/>
      <c r="I26" s="1403"/>
    </row>
    <row r="27" spans="2:9" s="844" customFormat="1" x14ac:dyDescent="0.25">
      <c r="B27" s="1402"/>
      <c r="C27" s="689" t="s">
        <v>5</v>
      </c>
      <c r="D27" s="2310" t="str">
        <f>IF('1A'!G19="","Enter Phone Number on Form 1A",'1A'!G19)</f>
        <v>Enter Phone Number on Form 1A</v>
      </c>
      <c r="E27" s="2310"/>
      <c r="F27" s="396" t="s">
        <v>498</v>
      </c>
      <c r="G27" s="1932"/>
      <c r="H27" s="2307"/>
      <c r="I27" s="1403"/>
    </row>
    <row r="28" spans="2:9" s="844" customFormat="1" x14ac:dyDescent="0.25">
      <c r="B28" s="1402"/>
      <c r="C28" s="689" t="s">
        <v>6</v>
      </c>
      <c r="D28" s="2310" t="str">
        <f>IF('1A'!J19="","Enter Email on Form 1A",'1A'!J19)</f>
        <v>Enter Email on Form 1A</v>
      </c>
      <c r="E28" s="2310"/>
      <c r="F28" s="2310"/>
      <c r="G28" s="2310"/>
      <c r="H28" s="2311"/>
      <c r="I28" s="1403"/>
    </row>
    <row r="29" spans="2:9" s="844" customFormat="1" ht="15.75" thickBot="1" x14ac:dyDescent="0.3">
      <c r="B29" s="1402"/>
      <c r="C29" s="692"/>
      <c r="D29" s="695"/>
      <c r="E29" s="695"/>
      <c r="F29" s="695"/>
      <c r="G29" s="695"/>
      <c r="H29" s="696"/>
      <c r="I29" s="1403"/>
    </row>
    <row r="30" spans="2:9" s="844" customFormat="1" ht="7.5" customHeight="1" thickBot="1" x14ac:dyDescent="0.3">
      <c r="B30" s="1402"/>
      <c r="C30" s="694"/>
      <c r="D30" s="355"/>
      <c r="E30" s="355"/>
      <c r="F30" s="355"/>
      <c r="G30" s="355"/>
      <c r="H30" s="355"/>
      <c r="I30" s="1403"/>
    </row>
    <row r="31" spans="2:9" s="844" customFormat="1" x14ac:dyDescent="0.25">
      <c r="B31" s="1402"/>
      <c r="C31" s="2298" t="s">
        <v>196</v>
      </c>
      <c r="D31" s="2299"/>
      <c r="E31" s="2299"/>
      <c r="F31" s="2299"/>
      <c r="G31" s="2299"/>
      <c r="H31" s="2300"/>
      <c r="I31" s="1403"/>
    </row>
    <row r="32" spans="2:9" s="844" customFormat="1" x14ac:dyDescent="0.25">
      <c r="B32" s="1402"/>
      <c r="C32" s="689" t="s">
        <v>491</v>
      </c>
      <c r="D32" s="2296" t="s">
        <v>1408</v>
      </c>
      <c r="E32" s="2296"/>
      <c r="F32" s="2296"/>
      <c r="G32" s="2296"/>
      <c r="H32" s="2297"/>
      <c r="I32" s="1403"/>
    </row>
    <row r="33" spans="2:9" s="844" customFormat="1" x14ac:dyDescent="0.25">
      <c r="B33" s="1402"/>
      <c r="C33" s="691" t="s">
        <v>499</v>
      </c>
      <c r="D33" s="2294"/>
      <c r="E33" s="2294"/>
      <c r="F33" s="2294"/>
      <c r="G33" s="2294"/>
      <c r="H33" s="2295"/>
      <c r="I33" s="1403"/>
    </row>
    <row r="34" spans="2:9" s="844" customFormat="1" x14ac:dyDescent="0.25">
      <c r="B34" s="1402"/>
      <c r="C34" s="689" t="s">
        <v>5</v>
      </c>
      <c r="D34" s="1836"/>
      <c r="E34" s="947" t="s">
        <v>6</v>
      </c>
      <c r="F34" s="2296"/>
      <c r="G34" s="2296"/>
      <c r="H34" s="2297"/>
      <c r="I34" s="1403"/>
    </row>
    <row r="35" spans="2:9" s="844" customFormat="1" ht="15.75" thickBot="1" x14ac:dyDescent="0.3">
      <c r="B35" s="1402"/>
      <c r="C35" s="692"/>
      <c r="D35" s="695"/>
      <c r="E35" s="695"/>
      <c r="F35" s="695"/>
      <c r="G35" s="695"/>
      <c r="H35" s="696"/>
      <c r="I35" s="1403"/>
    </row>
    <row r="36" spans="2:9" s="844" customFormat="1" ht="7.5" customHeight="1" thickBot="1" x14ac:dyDescent="0.3">
      <c r="B36" s="1402"/>
      <c r="C36" s="947"/>
      <c r="D36" s="947"/>
      <c r="E36" s="947"/>
      <c r="F36" s="947"/>
      <c r="G36" s="947"/>
      <c r="H36" s="947"/>
      <c r="I36" s="1403"/>
    </row>
    <row r="37" spans="2:9" s="844" customFormat="1" x14ac:dyDescent="0.25">
      <c r="B37" s="1402"/>
      <c r="C37" s="2298" t="s">
        <v>501</v>
      </c>
      <c r="D37" s="2299"/>
      <c r="E37" s="2299"/>
      <c r="F37" s="2299"/>
      <c r="G37" s="2299"/>
      <c r="H37" s="2300"/>
      <c r="I37" s="1403"/>
    </row>
    <row r="38" spans="2:9" s="844" customFormat="1" x14ac:dyDescent="0.25">
      <c r="B38" s="1402"/>
      <c r="C38" s="689" t="s">
        <v>491</v>
      </c>
      <c r="D38" s="2296" t="s">
        <v>1408</v>
      </c>
      <c r="E38" s="2296"/>
      <c r="F38" s="2296"/>
      <c r="G38" s="2296"/>
      <c r="H38" s="2297"/>
      <c r="I38" s="1403"/>
    </row>
    <row r="39" spans="2:9" s="844" customFormat="1" x14ac:dyDescent="0.25">
      <c r="B39" s="1402"/>
      <c r="C39" s="691" t="s">
        <v>499</v>
      </c>
      <c r="D39" s="2294"/>
      <c r="E39" s="2294"/>
      <c r="F39" s="2294"/>
      <c r="G39" s="2294"/>
      <c r="H39" s="2295"/>
      <c r="I39" s="1403"/>
    </row>
    <row r="40" spans="2:9" s="844" customFormat="1" x14ac:dyDescent="0.25">
      <c r="B40" s="1402"/>
      <c r="C40" s="689" t="s">
        <v>5</v>
      </c>
      <c r="D40" s="794"/>
      <c r="E40" s="355" t="s">
        <v>6</v>
      </c>
      <c r="F40" s="2296"/>
      <c r="G40" s="2296"/>
      <c r="H40" s="2297"/>
      <c r="I40" s="1403"/>
    </row>
    <row r="41" spans="2:9" s="844" customFormat="1" ht="15.75" thickBot="1" x14ac:dyDescent="0.3">
      <c r="B41" s="1402"/>
      <c r="C41" s="692"/>
      <c r="D41" s="695"/>
      <c r="E41" s="695"/>
      <c r="F41" s="695"/>
      <c r="G41" s="695"/>
      <c r="H41" s="696"/>
      <c r="I41" s="1403"/>
    </row>
    <row r="42" spans="2:9" s="844" customFormat="1" ht="9" customHeight="1" thickBot="1" x14ac:dyDescent="0.3">
      <c r="B42" s="1402"/>
      <c r="C42" s="697"/>
      <c r="D42" s="697"/>
      <c r="E42" s="697"/>
      <c r="F42" s="697"/>
      <c r="G42" s="697"/>
      <c r="H42" s="697"/>
      <c r="I42" s="1403"/>
    </row>
    <row r="43" spans="2:9" s="844" customFormat="1" x14ac:dyDescent="0.25">
      <c r="B43" s="1402"/>
      <c r="C43" s="2298" t="s">
        <v>502</v>
      </c>
      <c r="D43" s="2305"/>
      <c r="E43" s="2305"/>
      <c r="F43" s="2305"/>
      <c r="G43" s="2305"/>
      <c r="H43" s="2300"/>
      <c r="I43" s="1403"/>
    </row>
    <row r="44" spans="2:9" s="844" customFormat="1" x14ac:dyDescent="0.25">
      <c r="B44" s="1402"/>
      <c r="C44" s="689" t="s">
        <v>491</v>
      </c>
      <c r="D44" s="2296" t="s">
        <v>1409</v>
      </c>
      <c r="E44" s="2296"/>
      <c r="F44" s="2296"/>
      <c r="G44" s="2296"/>
      <c r="H44" s="2297"/>
      <c r="I44" s="1403"/>
    </row>
    <row r="45" spans="2:9" s="844" customFormat="1" x14ac:dyDescent="0.25">
      <c r="B45" s="1402"/>
      <c r="C45" s="691" t="s">
        <v>499</v>
      </c>
      <c r="D45" s="2303" t="s">
        <v>1460</v>
      </c>
      <c r="E45" s="2303"/>
      <c r="F45" s="2303"/>
      <c r="G45" s="2303"/>
      <c r="H45" s="2304"/>
      <c r="I45" s="1403"/>
    </row>
    <row r="46" spans="2:9" s="844" customFormat="1" x14ac:dyDescent="0.25">
      <c r="B46" s="1402"/>
      <c r="C46" s="689" t="s">
        <v>5</v>
      </c>
      <c r="D46" s="1840" t="s">
        <v>1461</v>
      </c>
      <c r="E46" s="947" t="s">
        <v>6</v>
      </c>
      <c r="F46" s="2296" t="s">
        <v>1462</v>
      </c>
      <c r="G46" s="2296"/>
      <c r="H46" s="2297"/>
      <c r="I46" s="1403"/>
    </row>
    <row r="47" spans="2:9" s="844" customFormat="1" ht="15.75" thickBot="1" x14ac:dyDescent="0.3">
      <c r="B47" s="1402"/>
      <c r="C47" s="692"/>
      <c r="D47" s="762"/>
      <c r="E47" s="762"/>
      <c r="F47" s="762"/>
      <c r="G47" s="762"/>
      <c r="H47" s="763"/>
      <c r="I47" s="1403"/>
    </row>
    <row r="48" spans="2:9" s="844" customFormat="1" ht="7.5" customHeight="1" thickBot="1" x14ac:dyDescent="0.3">
      <c r="B48" s="1372"/>
      <c r="C48" s="697"/>
      <c r="D48" s="697"/>
      <c r="E48" s="697"/>
      <c r="F48" s="697"/>
      <c r="G48" s="697"/>
      <c r="H48" s="697"/>
      <c r="I48" s="1373"/>
    </row>
    <row r="49" spans="2:9" s="844" customFormat="1" ht="9" customHeight="1" x14ac:dyDescent="0.25">
      <c r="B49" s="1399"/>
      <c r="C49" s="1400"/>
      <c r="D49" s="1400"/>
      <c r="E49" s="1400"/>
      <c r="F49" s="1400"/>
      <c r="G49" s="1400"/>
      <c r="H49" s="1400"/>
      <c r="I49" s="1401"/>
    </row>
    <row r="50" spans="2:9" s="844" customFormat="1" ht="18.75" x14ac:dyDescent="0.3">
      <c r="B50" s="1402"/>
      <c r="C50" s="2030" t="s">
        <v>1077</v>
      </c>
      <c r="D50" s="2030"/>
      <c r="E50" s="2030"/>
      <c r="F50" s="2030"/>
      <c r="G50" s="2030"/>
      <c r="H50" s="2030"/>
      <c r="I50" s="1403"/>
    </row>
    <row r="51" spans="2:9" s="844" customFormat="1" ht="15" customHeight="1" x14ac:dyDescent="0.25">
      <c r="B51" s="1402"/>
      <c r="C51" s="1128"/>
      <c r="D51" s="355"/>
      <c r="E51" s="355"/>
      <c r="F51" s="355"/>
      <c r="G51" s="355"/>
      <c r="H51" s="355"/>
      <c r="I51" s="1403"/>
    </row>
    <row r="52" spans="2:9" s="844" customFormat="1" x14ac:dyDescent="0.25">
      <c r="B52" s="1404"/>
      <c r="C52" s="820" t="s">
        <v>1</v>
      </c>
      <c r="D52" s="1956" t="str">
        <f>IF('1A'!G5="","Enter Project Name on Form 1A",'1A'!G5)</f>
        <v>Liberty Bank Building</v>
      </c>
      <c r="E52" s="1956"/>
      <c r="F52" s="1956"/>
      <c r="G52" s="1956"/>
      <c r="H52" s="1956"/>
      <c r="I52" s="1405"/>
    </row>
    <row r="53" spans="2:9" s="844" customFormat="1" ht="15" customHeight="1" thickBot="1" x14ac:dyDescent="0.3">
      <c r="B53" s="1402"/>
      <c r="C53" s="355"/>
      <c r="D53" s="355"/>
      <c r="E53" s="355"/>
      <c r="F53" s="355"/>
      <c r="G53" s="355"/>
      <c r="H53" s="355"/>
      <c r="I53" s="1403"/>
    </row>
    <row r="54" spans="2:9" s="844" customFormat="1" x14ac:dyDescent="0.25">
      <c r="B54" s="1402"/>
      <c r="C54" s="2298" t="s">
        <v>503</v>
      </c>
      <c r="D54" s="2299"/>
      <c r="E54" s="2299"/>
      <c r="F54" s="2299"/>
      <c r="G54" s="2299"/>
      <c r="H54" s="2300"/>
      <c r="I54" s="1403"/>
    </row>
    <row r="55" spans="2:9" s="844" customFormat="1" x14ac:dyDescent="0.25">
      <c r="B55" s="1402"/>
      <c r="C55" s="689" t="s">
        <v>491</v>
      </c>
      <c r="D55" s="2296" t="s">
        <v>1379</v>
      </c>
      <c r="E55" s="2296"/>
      <c r="F55" s="2296"/>
      <c r="G55" s="2296"/>
      <c r="H55" s="2297"/>
      <c r="I55" s="1403"/>
    </row>
    <row r="56" spans="2:9" s="844" customFormat="1" x14ac:dyDescent="0.25">
      <c r="B56" s="1402"/>
      <c r="C56" s="691" t="s">
        <v>499</v>
      </c>
      <c r="D56" s="2294" t="s">
        <v>1385</v>
      </c>
      <c r="E56" s="2294"/>
      <c r="F56" s="2294"/>
      <c r="G56" s="2294"/>
      <c r="H56" s="2295"/>
      <c r="I56" s="1403"/>
    </row>
    <row r="57" spans="2:9" s="844" customFormat="1" x14ac:dyDescent="0.25">
      <c r="B57" s="1402"/>
      <c r="C57" s="689" t="s">
        <v>492</v>
      </c>
      <c r="D57" s="2294" t="s">
        <v>1386</v>
      </c>
      <c r="E57" s="2294"/>
      <c r="F57" s="2294"/>
      <c r="G57" s="2294"/>
      <c r="H57" s="2295"/>
      <c r="I57" s="1403"/>
    </row>
    <row r="58" spans="2:9" s="844" customFormat="1" x14ac:dyDescent="0.25">
      <c r="B58" s="1402"/>
      <c r="C58" s="689" t="s">
        <v>14</v>
      </c>
      <c r="D58" s="795" t="s">
        <v>1383</v>
      </c>
      <c r="E58" s="355" t="s">
        <v>493</v>
      </c>
      <c r="F58" s="796" t="s">
        <v>1387</v>
      </c>
      <c r="G58" s="355" t="s">
        <v>494</v>
      </c>
      <c r="H58" s="690">
        <v>98122</v>
      </c>
      <c r="I58" s="1403"/>
    </row>
    <row r="59" spans="2:9" s="844" customFormat="1" x14ac:dyDescent="0.25">
      <c r="B59" s="1402"/>
      <c r="C59" s="689" t="s">
        <v>5</v>
      </c>
      <c r="D59" s="794" t="s">
        <v>1388</v>
      </c>
      <c r="E59" s="355" t="s">
        <v>6</v>
      </c>
      <c r="F59" s="2296" t="s">
        <v>1389</v>
      </c>
      <c r="G59" s="2296"/>
      <c r="H59" s="2297"/>
      <c r="I59" s="1403"/>
    </row>
    <row r="60" spans="2:9" s="844" customFormat="1" ht="15.75" thickBot="1" x14ac:dyDescent="0.3">
      <c r="B60" s="1404"/>
      <c r="C60" s="692"/>
      <c r="D60" s="695"/>
      <c r="E60" s="695"/>
      <c r="F60" s="695"/>
      <c r="G60" s="695"/>
      <c r="H60" s="696"/>
      <c r="I60" s="1405"/>
    </row>
    <row r="61" spans="2:9" s="844" customFormat="1" ht="7.5" customHeight="1" thickBot="1" x14ac:dyDescent="0.3">
      <c r="B61" s="1402"/>
      <c r="C61" s="698"/>
      <c r="D61" s="402"/>
      <c r="E61" s="402"/>
      <c r="F61" s="402"/>
      <c r="G61" s="402"/>
      <c r="H61" s="698"/>
      <c r="I61" s="1403"/>
    </row>
    <row r="62" spans="2:9" s="844" customFormat="1" x14ac:dyDescent="0.25">
      <c r="B62" s="1402"/>
      <c r="C62" s="2298" t="s">
        <v>504</v>
      </c>
      <c r="D62" s="2299"/>
      <c r="E62" s="2299"/>
      <c r="F62" s="2299"/>
      <c r="G62" s="2299"/>
      <c r="H62" s="2300"/>
      <c r="I62" s="1403"/>
    </row>
    <row r="63" spans="2:9" s="844" customFormat="1" x14ac:dyDescent="0.25">
      <c r="B63" s="1402"/>
      <c r="C63" s="689" t="s">
        <v>491</v>
      </c>
      <c r="D63" s="2296" t="s">
        <v>1408</v>
      </c>
      <c r="E63" s="2296"/>
      <c r="F63" s="2296"/>
      <c r="G63" s="2296"/>
      <c r="H63" s="2297"/>
      <c r="I63" s="1403"/>
    </row>
    <row r="64" spans="2:9" s="844" customFormat="1" x14ac:dyDescent="0.25">
      <c r="B64" s="1402"/>
      <c r="C64" s="691" t="s">
        <v>499</v>
      </c>
      <c r="D64" s="2294"/>
      <c r="E64" s="2294"/>
      <c r="F64" s="2294"/>
      <c r="G64" s="2294"/>
      <c r="H64" s="2295"/>
      <c r="I64" s="1403"/>
    </row>
    <row r="65" spans="2:9" s="844" customFormat="1" x14ac:dyDescent="0.25">
      <c r="B65" s="1402"/>
      <c r="C65" s="689" t="s">
        <v>5</v>
      </c>
      <c r="D65" s="794"/>
      <c r="E65" s="355" t="s">
        <v>6</v>
      </c>
      <c r="F65" s="2296"/>
      <c r="G65" s="2296"/>
      <c r="H65" s="2297"/>
      <c r="I65" s="1403"/>
    </row>
    <row r="66" spans="2:9" s="844" customFormat="1" ht="15.75" thickBot="1" x14ac:dyDescent="0.3">
      <c r="B66" s="1402"/>
      <c r="C66" s="692"/>
      <c r="D66" s="695"/>
      <c r="E66" s="695"/>
      <c r="F66" s="695"/>
      <c r="G66" s="695"/>
      <c r="H66" s="696"/>
      <c r="I66" s="1403"/>
    </row>
    <row r="67" spans="2:9" s="844" customFormat="1" ht="7.5" customHeight="1" thickBot="1" x14ac:dyDescent="0.3">
      <c r="B67" s="1402"/>
      <c r="C67" s="355"/>
      <c r="D67" s="355"/>
      <c r="E67" s="355"/>
      <c r="F67" s="355"/>
      <c r="G67" s="355"/>
      <c r="H67" s="355"/>
      <c r="I67" s="1403"/>
    </row>
    <row r="68" spans="2:9" s="844" customFormat="1" x14ac:dyDescent="0.25">
      <c r="B68" s="1402"/>
      <c r="C68" s="2298" t="s">
        <v>505</v>
      </c>
      <c r="D68" s="2299"/>
      <c r="E68" s="2299"/>
      <c r="F68" s="2299"/>
      <c r="G68" s="2299"/>
      <c r="H68" s="2300"/>
      <c r="I68" s="1403"/>
    </row>
    <row r="69" spans="2:9" s="844" customFormat="1" x14ac:dyDescent="0.25">
      <c r="B69" s="1402"/>
      <c r="C69" s="689" t="s">
        <v>491</v>
      </c>
      <c r="D69" s="2296"/>
      <c r="E69" s="2296"/>
      <c r="F69" s="2296"/>
      <c r="G69" s="2296"/>
      <c r="H69" s="2297"/>
      <c r="I69" s="1403"/>
    </row>
    <row r="70" spans="2:9" s="844" customFormat="1" x14ac:dyDescent="0.25">
      <c r="B70" s="1402"/>
      <c r="C70" s="691" t="s">
        <v>499</v>
      </c>
      <c r="D70" s="2294"/>
      <c r="E70" s="2294"/>
      <c r="F70" s="2294"/>
      <c r="G70" s="2294"/>
      <c r="H70" s="2295"/>
      <c r="I70" s="1403"/>
    </row>
    <row r="71" spans="2:9" s="844" customFormat="1" x14ac:dyDescent="0.25">
      <c r="B71" s="1402"/>
      <c r="C71" s="689" t="s">
        <v>5</v>
      </c>
      <c r="D71" s="794"/>
      <c r="E71" s="355" t="s">
        <v>6</v>
      </c>
      <c r="F71" s="2296"/>
      <c r="G71" s="2296"/>
      <c r="H71" s="2297"/>
      <c r="I71" s="1403"/>
    </row>
    <row r="72" spans="2:9" s="844" customFormat="1" ht="15.75" thickBot="1" x14ac:dyDescent="0.3">
      <c r="B72" s="1402"/>
      <c r="C72" s="692"/>
      <c r="D72" s="695"/>
      <c r="E72" s="695"/>
      <c r="F72" s="695"/>
      <c r="G72" s="695"/>
      <c r="H72" s="696"/>
      <c r="I72" s="1403"/>
    </row>
    <row r="73" spans="2:9" s="844" customFormat="1" ht="7.5" customHeight="1" thickBot="1" x14ac:dyDescent="0.3">
      <c r="B73" s="1402"/>
      <c r="C73" s="355"/>
      <c r="D73" s="355"/>
      <c r="E73" s="355"/>
      <c r="F73" s="355"/>
      <c r="G73" s="355"/>
      <c r="H73" s="355"/>
      <c r="I73" s="1403"/>
    </row>
    <row r="74" spans="2:9" s="844" customFormat="1" x14ac:dyDescent="0.25">
      <c r="B74" s="1402"/>
      <c r="C74" s="2298" t="s">
        <v>506</v>
      </c>
      <c r="D74" s="2299"/>
      <c r="E74" s="2299"/>
      <c r="F74" s="2299"/>
      <c r="G74" s="2299"/>
      <c r="H74" s="2300"/>
      <c r="I74" s="1403"/>
    </row>
    <row r="75" spans="2:9" s="844" customFormat="1" x14ac:dyDescent="0.25">
      <c r="B75" s="1402"/>
      <c r="C75" s="689" t="s">
        <v>491</v>
      </c>
      <c r="D75" s="2296" t="s">
        <v>1396</v>
      </c>
      <c r="E75" s="2296"/>
      <c r="F75" s="2296"/>
      <c r="G75" s="2296"/>
      <c r="H75" s="2297"/>
      <c r="I75" s="1403"/>
    </row>
    <row r="76" spans="2:9" s="844" customFormat="1" x14ac:dyDescent="0.25">
      <c r="B76" s="1402"/>
      <c r="C76" s="691" t="s">
        <v>499</v>
      </c>
      <c r="D76" s="2294" t="s">
        <v>1397</v>
      </c>
      <c r="E76" s="2294"/>
      <c r="F76" s="2294"/>
      <c r="G76" s="2294"/>
      <c r="H76" s="2295"/>
      <c r="I76" s="1403"/>
    </row>
    <row r="77" spans="2:9" s="844" customFormat="1" x14ac:dyDescent="0.25">
      <c r="B77" s="1402"/>
      <c r="C77" s="689" t="s">
        <v>492</v>
      </c>
      <c r="D77" s="2294" t="s">
        <v>1398</v>
      </c>
      <c r="E77" s="2294"/>
      <c r="F77" s="2294"/>
      <c r="G77" s="2294"/>
      <c r="H77" s="2295"/>
      <c r="I77" s="1403"/>
    </row>
    <row r="78" spans="2:9" s="844" customFormat="1" x14ac:dyDescent="0.25">
      <c r="B78" s="1402"/>
      <c r="C78" s="689" t="s">
        <v>14</v>
      </c>
      <c r="D78" s="795" t="s">
        <v>1399</v>
      </c>
      <c r="E78" s="355" t="s">
        <v>493</v>
      </c>
      <c r="F78" s="796" t="s">
        <v>1400</v>
      </c>
      <c r="G78" s="355" t="s">
        <v>494</v>
      </c>
      <c r="H78" s="690">
        <v>44113</v>
      </c>
      <c r="I78" s="1403"/>
    </row>
    <row r="79" spans="2:9" s="844" customFormat="1" x14ac:dyDescent="0.25">
      <c r="B79" s="1402"/>
      <c r="C79" s="689" t="s">
        <v>5</v>
      </c>
      <c r="D79" s="794" t="s">
        <v>1401</v>
      </c>
      <c r="E79" s="355" t="s">
        <v>6</v>
      </c>
      <c r="F79" s="2296" t="s">
        <v>1402</v>
      </c>
      <c r="G79" s="2296"/>
      <c r="H79" s="2297"/>
      <c r="I79" s="1403"/>
    </row>
    <row r="80" spans="2:9" s="844" customFormat="1" ht="15.75" thickBot="1" x14ac:dyDescent="0.3">
      <c r="B80" s="1402"/>
      <c r="C80" s="692"/>
      <c r="D80" s="695"/>
      <c r="E80" s="695"/>
      <c r="F80" s="695"/>
      <c r="G80" s="695"/>
      <c r="H80" s="696"/>
      <c r="I80" s="1403"/>
    </row>
    <row r="81" spans="2:9" s="844" customFormat="1" ht="9" customHeight="1" thickBot="1" x14ac:dyDescent="0.3">
      <c r="B81" s="1372"/>
      <c r="C81" s="697"/>
      <c r="D81" s="697"/>
      <c r="E81" s="697"/>
      <c r="F81" s="697"/>
      <c r="G81" s="697"/>
      <c r="H81" s="697"/>
      <c r="I81" s="1373"/>
    </row>
  </sheetData>
  <sheetProtection password="9F6B" sheet="1" objects="1" scenarios="1" formatCells="0" formatColumns="0" formatRows="0"/>
  <mergeCells count="52">
    <mergeCell ref="D5:H5"/>
    <mergeCell ref="D17:H17"/>
    <mergeCell ref="D18:F18"/>
    <mergeCell ref="D19:H19"/>
    <mergeCell ref="D23:H23"/>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2015
Version: 1.1</oddFooter>
  </headerFooter>
  <rowBreaks count="1" manualBreakCount="1">
    <brk id="48" min="1"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6:Y41"/>
  <sheetViews>
    <sheetView showGridLines="0" topLeftCell="A10" zoomScaleNormal="100" workbookViewId="0">
      <selection activeCell="Z30" sqref="Z30"/>
    </sheetView>
  </sheetViews>
  <sheetFormatPr defaultRowHeight="15" x14ac:dyDescent="0.25"/>
  <cols>
    <col min="1" max="1" width="1.7109375" style="849" customWidth="1"/>
    <col min="2" max="2" width="1.7109375" style="844" customWidth="1"/>
    <col min="3" max="3" width="14.28515625" style="849" customWidth="1"/>
    <col min="4" max="4" width="30" style="849" customWidth="1"/>
    <col min="5" max="24" width="3.5703125" style="849" customWidth="1"/>
    <col min="25" max="25" width="1.7109375" style="844" customWidth="1"/>
    <col min="26" max="16384" width="9.140625" style="849"/>
  </cols>
  <sheetData>
    <row r="6" spans="2:25" ht="15.75" thickBot="1" x14ac:dyDescent="0.3"/>
    <row r="7" spans="2:25" s="844" customFormat="1" ht="9" customHeight="1" x14ac:dyDescent="0.3">
      <c r="B7" s="387"/>
      <c r="C7" s="2314"/>
      <c r="D7" s="2314"/>
      <c r="E7" s="2315"/>
      <c r="F7" s="2315"/>
      <c r="G7" s="2315"/>
      <c r="H7" s="2315"/>
      <c r="I7" s="2315"/>
      <c r="J7" s="2315"/>
      <c r="K7" s="2315"/>
      <c r="L7" s="2315"/>
      <c r="M7" s="2315"/>
      <c r="N7" s="2315"/>
      <c r="O7" s="2315"/>
      <c r="P7" s="2315"/>
      <c r="Q7" s="2315"/>
      <c r="R7" s="2315"/>
      <c r="S7" s="2315"/>
      <c r="T7" s="2315"/>
      <c r="U7" s="2315"/>
      <c r="V7" s="2315"/>
      <c r="W7" s="2315"/>
      <c r="X7" s="2315"/>
      <c r="Y7" s="2316"/>
    </row>
    <row r="8" spans="2:25" s="844" customFormat="1" ht="18.75" x14ac:dyDescent="0.3">
      <c r="B8" s="395"/>
      <c r="C8" s="1653" t="s">
        <v>507</v>
      </c>
      <c r="D8" s="1733"/>
      <c r="E8" s="1734"/>
      <c r="F8" s="1734"/>
      <c r="G8" s="1734"/>
      <c r="H8" s="1734"/>
      <c r="I8" s="1734"/>
      <c r="J8" s="1734"/>
      <c r="K8" s="1734"/>
      <c r="L8" s="1734"/>
      <c r="M8" s="1734"/>
      <c r="N8" s="1734"/>
      <c r="O8" s="1734"/>
      <c r="P8" s="1734"/>
      <c r="Q8" s="1734"/>
      <c r="R8" s="1734"/>
      <c r="S8" s="1734"/>
      <c r="T8" s="1734"/>
      <c r="U8" s="1734"/>
      <c r="V8" s="1734"/>
      <c r="W8" s="1734"/>
      <c r="X8" s="1734"/>
      <c r="Y8" s="1409"/>
    </row>
    <row r="9" spans="2:25" s="844" customFormat="1" ht="18.75" x14ac:dyDescent="0.3">
      <c r="B9" s="395"/>
      <c r="C9" s="1410"/>
      <c r="D9" s="1410"/>
      <c r="E9" s="1411"/>
      <c r="F9" s="1411"/>
      <c r="G9" s="1411"/>
      <c r="H9" s="1411"/>
      <c r="I9" s="1411"/>
      <c r="J9" s="1411"/>
      <c r="K9" s="1411"/>
      <c r="L9" s="1411"/>
      <c r="M9" s="1411"/>
      <c r="N9" s="1411"/>
      <c r="O9" s="1411"/>
      <c r="P9" s="1411"/>
      <c r="Q9" s="1411"/>
      <c r="R9" s="1411"/>
      <c r="S9" s="1411"/>
      <c r="T9" s="1411"/>
      <c r="U9" s="1411"/>
      <c r="V9" s="1411"/>
      <c r="W9" s="1411"/>
      <c r="X9" s="1411"/>
      <c r="Y9" s="1409"/>
    </row>
    <row r="10" spans="2:25" s="844" customFormat="1" x14ac:dyDescent="0.25">
      <c r="B10" s="395"/>
      <c r="C10" s="1128" t="s">
        <v>1</v>
      </c>
      <c r="D10" s="1127" t="str">
        <f>IF('1A'!G5="","Enter Project Name on Form 1A",'1A'!G5)</f>
        <v>Liberty Bank Building</v>
      </c>
      <c r="E10" s="1127"/>
      <c r="F10" s="1127"/>
      <c r="G10" s="1127"/>
      <c r="H10" s="1127"/>
      <c r="I10" s="1127"/>
      <c r="J10" s="1127"/>
      <c r="K10" s="1127"/>
      <c r="L10" s="1127"/>
      <c r="M10" s="1127"/>
      <c r="N10" s="1127"/>
      <c r="O10" s="1127"/>
      <c r="P10" s="355"/>
      <c r="Q10" s="355"/>
      <c r="R10" s="355"/>
      <c r="S10" s="355"/>
      <c r="T10" s="355"/>
      <c r="U10" s="355"/>
      <c r="V10" s="355"/>
      <c r="W10" s="355"/>
      <c r="X10" s="355"/>
      <c r="Y10" s="356"/>
    </row>
    <row r="11" spans="2:25" s="844" customFormat="1" ht="7.5" customHeight="1" x14ac:dyDescent="0.25">
      <c r="B11" s="395"/>
      <c r="C11" s="1128"/>
      <c r="D11" s="1128"/>
      <c r="E11" s="1128"/>
      <c r="F11" s="1128"/>
      <c r="G11" s="1128"/>
      <c r="H11" s="1128"/>
      <c r="I11" s="1128"/>
      <c r="J11" s="1128"/>
      <c r="K11" s="1128"/>
      <c r="L11" s="1128"/>
      <c r="M11" s="1128"/>
      <c r="N11" s="1128"/>
      <c r="O11" s="1128"/>
      <c r="P11" s="355"/>
      <c r="Q11" s="355"/>
      <c r="R11" s="355"/>
      <c r="S11" s="355"/>
      <c r="T11" s="355"/>
      <c r="U11" s="355"/>
      <c r="V11" s="355"/>
      <c r="W11" s="355"/>
      <c r="X11" s="355"/>
      <c r="Y11" s="356"/>
    </row>
    <row r="12" spans="2:25" ht="117.75" customHeight="1" x14ac:dyDescent="0.25">
      <c r="B12" s="395"/>
      <c r="C12" s="2323"/>
      <c r="D12" s="2324"/>
      <c r="E12" s="1721" t="s">
        <v>508</v>
      </c>
      <c r="F12" s="2317" t="s">
        <v>509</v>
      </c>
      <c r="G12" s="2317" t="s">
        <v>510</v>
      </c>
      <c r="H12" s="2317" t="s">
        <v>511</v>
      </c>
      <c r="I12" s="2317" t="s">
        <v>512</v>
      </c>
      <c r="J12" s="2320" t="s">
        <v>513</v>
      </c>
      <c r="K12" s="2317" t="s">
        <v>514</v>
      </c>
      <c r="L12" s="2317" t="s">
        <v>515</v>
      </c>
      <c r="M12" s="2317" t="s">
        <v>516</v>
      </c>
      <c r="N12" s="2317" t="s">
        <v>517</v>
      </c>
      <c r="O12" s="2317" t="s">
        <v>518</v>
      </c>
      <c r="P12" s="2317" t="s">
        <v>519</v>
      </c>
      <c r="Q12" s="2317" t="s">
        <v>520</v>
      </c>
      <c r="R12" s="2317" t="s">
        <v>521</v>
      </c>
      <c r="S12" s="2317" t="s">
        <v>522</v>
      </c>
      <c r="T12" s="2317" t="s">
        <v>523</v>
      </c>
      <c r="U12" s="2317" t="s">
        <v>524</v>
      </c>
      <c r="V12" s="2317" t="s">
        <v>525</v>
      </c>
      <c r="W12" s="2317" t="s">
        <v>526</v>
      </c>
      <c r="X12" s="2327"/>
      <c r="Y12" s="356"/>
    </row>
    <row r="13" spans="2:25" x14ac:dyDescent="0.25">
      <c r="B13" s="395"/>
      <c r="C13" s="1726" t="s">
        <v>527</v>
      </c>
      <c r="D13" s="1727"/>
      <c r="E13" s="1722" t="s">
        <v>1384</v>
      </c>
      <c r="F13" s="2318"/>
      <c r="G13" s="2319"/>
      <c r="H13" s="2319"/>
      <c r="I13" s="2319"/>
      <c r="J13" s="2321"/>
      <c r="K13" s="2319"/>
      <c r="L13" s="2319"/>
      <c r="M13" s="2319"/>
      <c r="N13" s="2319"/>
      <c r="O13" s="2319"/>
      <c r="P13" s="2319"/>
      <c r="Q13" s="2319"/>
      <c r="R13" s="2319"/>
      <c r="S13" s="2319"/>
      <c r="T13" s="2319"/>
      <c r="U13" s="2319"/>
      <c r="V13" s="2319"/>
      <c r="W13" s="2319"/>
      <c r="X13" s="2328"/>
      <c r="Y13" s="356"/>
    </row>
    <row r="14" spans="2:25" x14ac:dyDescent="0.25">
      <c r="B14" s="395"/>
      <c r="C14" s="1728" t="s">
        <v>510</v>
      </c>
      <c r="D14" s="1729"/>
      <c r="E14" s="1722" t="s">
        <v>1384</v>
      </c>
      <c r="F14" s="1722" t="s">
        <v>1384</v>
      </c>
      <c r="G14" s="2318"/>
      <c r="H14" s="2319"/>
      <c r="I14" s="2319"/>
      <c r="J14" s="2321"/>
      <c r="K14" s="2319"/>
      <c r="L14" s="2319"/>
      <c r="M14" s="2319"/>
      <c r="N14" s="2319"/>
      <c r="O14" s="2319"/>
      <c r="P14" s="2319"/>
      <c r="Q14" s="2319"/>
      <c r="R14" s="2319"/>
      <c r="S14" s="2319"/>
      <c r="T14" s="2319"/>
      <c r="U14" s="2319"/>
      <c r="V14" s="2319"/>
      <c r="W14" s="2319"/>
      <c r="X14" s="2328"/>
      <c r="Y14" s="356"/>
    </row>
    <row r="15" spans="2:25" x14ac:dyDescent="0.25">
      <c r="B15" s="395"/>
      <c r="C15" s="1728" t="s">
        <v>511</v>
      </c>
      <c r="D15" s="1729"/>
      <c r="E15" s="1722"/>
      <c r="F15" s="1722"/>
      <c r="G15" s="1722"/>
      <c r="H15" s="2318"/>
      <c r="I15" s="2319"/>
      <c r="J15" s="2321"/>
      <c r="K15" s="2319"/>
      <c r="L15" s="2319"/>
      <c r="M15" s="2319"/>
      <c r="N15" s="2319"/>
      <c r="O15" s="2319"/>
      <c r="P15" s="2319"/>
      <c r="Q15" s="2319"/>
      <c r="R15" s="2319"/>
      <c r="S15" s="2319"/>
      <c r="T15" s="2319"/>
      <c r="U15" s="2319"/>
      <c r="V15" s="2319"/>
      <c r="W15" s="2319"/>
      <c r="X15" s="2328"/>
      <c r="Y15" s="356"/>
    </row>
    <row r="16" spans="2:25" x14ac:dyDescent="0.25">
      <c r="B16" s="395"/>
      <c r="C16" s="1728" t="s">
        <v>512</v>
      </c>
      <c r="D16" s="1729"/>
      <c r="E16" s="1722" t="s">
        <v>1384</v>
      </c>
      <c r="F16" s="1722" t="s">
        <v>1384</v>
      </c>
      <c r="G16" s="1722" t="s">
        <v>1384</v>
      </c>
      <c r="H16" s="1722"/>
      <c r="I16" s="2318"/>
      <c r="J16" s="2321"/>
      <c r="K16" s="2319"/>
      <c r="L16" s="2319"/>
      <c r="M16" s="2319"/>
      <c r="N16" s="2319"/>
      <c r="O16" s="2319"/>
      <c r="P16" s="2319"/>
      <c r="Q16" s="2319"/>
      <c r="R16" s="2319"/>
      <c r="S16" s="2319"/>
      <c r="T16" s="2319"/>
      <c r="U16" s="2319"/>
      <c r="V16" s="2319"/>
      <c r="W16" s="2319"/>
      <c r="X16" s="2328"/>
      <c r="Y16" s="356"/>
    </row>
    <row r="17" spans="2:25" x14ac:dyDescent="0.25">
      <c r="B17" s="395"/>
      <c r="C17" s="1728" t="s">
        <v>528</v>
      </c>
      <c r="D17" s="1729"/>
      <c r="E17" s="1722"/>
      <c r="F17" s="1722"/>
      <c r="G17" s="1722"/>
      <c r="H17" s="1722"/>
      <c r="I17" s="1722"/>
      <c r="J17" s="2322"/>
      <c r="K17" s="2319"/>
      <c r="L17" s="2319"/>
      <c r="M17" s="2319"/>
      <c r="N17" s="2319"/>
      <c r="O17" s="2319"/>
      <c r="P17" s="2319"/>
      <c r="Q17" s="2319"/>
      <c r="R17" s="2319"/>
      <c r="S17" s="2319"/>
      <c r="T17" s="2319"/>
      <c r="U17" s="2319"/>
      <c r="V17" s="2319"/>
      <c r="W17" s="2319"/>
      <c r="X17" s="2328"/>
      <c r="Y17" s="356"/>
    </row>
    <row r="18" spans="2:25" x14ac:dyDescent="0.25">
      <c r="B18" s="395"/>
      <c r="C18" s="1728" t="s">
        <v>529</v>
      </c>
      <c r="D18" s="1729"/>
      <c r="E18" s="1722"/>
      <c r="F18" s="1722"/>
      <c r="G18" s="1722"/>
      <c r="H18" s="1722"/>
      <c r="I18" s="1722"/>
      <c r="J18" s="1722"/>
      <c r="K18" s="2318"/>
      <c r="L18" s="2319"/>
      <c r="M18" s="2319"/>
      <c r="N18" s="2319"/>
      <c r="O18" s="2319"/>
      <c r="P18" s="2319"/>
      <c r="Q18" s="2319"/>
      <c r="R18" s="2319"/>
      <c r="S18" s="2319"/>
      <c r="T18" s="2319"/>
      <c r="U18" s="2319"/>
      <c r="V18" s="2319"/>
      <c r="W18" s="2319"/>
      <c r="X18" s="2328"/>
      <c r="Y18" s="356"/>
    </row>
    <row r="19" spans="2:25" x14ac:dyDescent="0.25">
      <c r="B19" s="395"/>
      <c r="C19" s="1728" t="s">
        <v>530</v>
      </c>
      <c r="D19" s="1729"/>
      <c r="E19" s="1722"/>
      <c r="F19" s="1722"/>
      <c r="G19" s="1722"/>
      <c r="H19" s="1722"/>
      <c r="I19" s="1722"/>
      <c r="J19" s="1722"/>
      <c r="K19" s="1722"/>
      <c r="L19" s="2318"/>
      <c r="M19" s="2319"/>
      <c r="N19" s="2319"/>
      <c r="O19" s="2319"/>
      <c r="P19" s="2319"/>
      <c r="Q19" s="2319"/>
      <c r="R19" s="2319"/>
      <c r="S19" s="2319"/>
      <c r="T19" s="2319"/>
      <c r="U19" s="2319"/>
      <c r="V19" s="2319"/>
      <c r="W19" s="2319"/>
      <c r="X19" s="2328"/>
      <c r="Y19" s="356"/>
    </row>
    <row r="20" spans="2:25" x14ac:dyDescent="0.25">
      <c r="B20" s="395"/>
      <c r="C20" s="1728" t="s">
        <v>531</v>
      </c>
      <c r="D20" s="1729"/>
      <c r="E20" s="1722"/>
      <c r="F20" s="1722"/>
      <c r="G20" s="1722"/>
      <c r="H20" s="1722"/>
      <c r="I20" s="1722"/>
      <c r="J20" s="1722"/>
      <c r="K20" s="1722"/>
      <c r="L20" s="1722"/>
      <c r="M20" s="2318"/>
      <c r="N20" s="2319"/>
      <c r="O20" s="2319"/>
      <c r="P20" s="2319"/>
      <c r="Q20" s="2319"/>
      <c r="R20" s="2319"/>
      <c r="S20" s="2319"/>
      <c r="T20" s="2319"/>
      <c r="U20" s="2319"/>
      <c r="V20" s="2319"/>
      <c r="W20" s="2319"/>
      <c r="X20" s="2328"/>
      <c r="Y20" s="356"/>
    </row>
    <row r="21" spans="2:25" x14ac:dyDescent="0.25">
      <c r="B21" s="395"/>
      <c r="C21" s="1728" t="s">
        <v>532</v>
      </c>
      <c r="D21" s="1729"/>
      <c r="E21" s="1722"/>
      <c r="F21" s="1722"/>
      <c r="G21" s="1722"/>
      <c r="H21" s="1722"/>
      <c r="I21" s="1722"/>
      <c r="J21" s="1722"/>
      <c r="K21" s="1722"/>
      <c r="L21" s="1722"/>
      <c r="M21" s="1722"/>
      <c r="N21" s="2319"/>
      <c r="O21" s="2319"/>
      <c r="P21" s="2319"/>
      <c r="Q21" s="2319"/>
      <c r="R21" s="2319"/>
      <c r="S21" s="2319"/>
      <c r="T21" s="2319"/>
      <c r="U21" s="2319"/>
      <c r="V21" s="2319"/>
      <c r="W21" s="2319"/>
      <c r="X21" s="2328"/>
      <c r="Y21" s="356"/>
    </row>
    <row r="22" spans="2:25" x14ac:dyDescent="0.25">
      <c r="B22" s="395"/>
      <c r="C22" s="1728" t="s">
        <v>518</v>
      </c>
      <c r="D22" s="1729"/>
      <c r="E22" s="1722"/>
      <c r="F22" s="1722"/>
      <c r="G22" s="1722"/>
      <c r="H22" s="1722"/>
      <c r="I22" s="1722"/>
      <c r="J22" s="1722"/>
      <c r="K22" s="1722"/>
      <c r="L22" s="1722"/>
      <c r="M22" s="1722"/>
      <c r="N22" s="1722"/>
      <c r="O22" s="2319"/>
      <c r="P22" s="2319"/>
      <c r="Q22" s="2319"/>
      <c r="R22" s="2319"/>
      <c r="S22" s="2319"/>
      <c r="T22" s="2319"/>
      <c r="U22" s="2319"/>
      <c r="V22" s="2319"/>
      <c r="W22" s="2319"/>
      <c r="X22" s="2328"/>
      <c r="Y22" s="356"/>
    </row>
    <row r="23" spans="2:25" x14ac:dyDescent="0.25">
      <c r="B23" s="395"/>
      <c r="C23" s="1728" t="s">
        <v>519</v>
      </c>
      <c r="D23" s="1729"/>
      <c r="E23" s="1722"/>
      <c r="F23" s="1722"/>
      <c r="G23" s="1722"/>
      <c r="H23" s="1722"/>
      <c r="I23" s="1722"/>
      <c r="J23" s="1722"/>
      <c r="K23" s="1722"/>
      <c r="L23" s="1722"/>
      <c r="M23" s="1722"/>
      <c r="N23" s="1722"/>
      <c r="O23" s="1722"/>
      <c r="P23" s="2319"/>
      <c r="Q23" s="2319"/>
      <c r="R23" s="2319"/>
      <c r="S23" s="2319"/>
      <c r="T23" s="2319"/>
      <c r="U23" s="2319"/>
      <c r="V23" s="2319"/>
      <c r="W23" s="2319"/>
      <c r="X23" s="2328"/>
      <c r="Y23" s="356"/>
    </row>
    <row r="24" spans="2:25" x14ac:dyDescent="0.25">
      <c r="B24" s="395"/>
      <c r="C24" s="1728" t="s">
        <v>533</v>
      </c>
      <c r="D24" s="1729"/>
      <c r="E24" s="1722"/>
      <c r="F24" s="1722"/>
      <c r="G24" s="1722"/>
      <c r="H24" s="1722"/>
      <c r="I24" s="1722"/>
      <c r="J24" s="1722"/>
      <c r="K24" s="1722"/>
      <c r="L24" s="1722"/>
      <c r="M24" s="1722"/>
      <c r="N24" s="1722"/>
      <c r="O24" s="1722"/>
      <c r="P24" s="1722"/>
      <c r="Q24" s="2319"/>
      <c r="R24" s="2319"/>
      <c r="S24" s="2319"/>
      <c r="T24" s="2319"/>
      <c r="U24" s="2319"/>
      <c r="V24" s="2319"/>
      <c r="W24" s="2319"/>
      <c r="X24" s="2328"/>
      <c r="Y24" s="356"/>
    </row>
    <row r="25" spans="2:25" x14ac:dyDescent="0.25">
      <c r="B25" s="395"/>
      <c r="C25" s="1728" t="s">
        <v>521</v>
      </c>
      <c r="D25" s="1729"/>
      <c r="E25" s="1722"/>
      <c r="F25" s="1722"/>
      <c r="G25" s="1722"/>
      <c r="H25" s="1722"/>
      <c r="I25" s="1722"/>
      <c r="J25" s="1722"/>
      <c r="K25" s="1722"/>
      <c r="L25" s="1722"/>
      <c r="M25" s="1722"/>
      <c r="N25" s="1722"/>
      <c r="O25" s="1722"/>
      <c r="P25" s="1722"/>
      <c r="Q25" s="1722"/>
      <c r="R25" s="2319"/>
      <c r="S25" s="2319"/>
      <c r="T25" s="2319"/>
      <c r="U25" s="2319"/>
      <c r="V25" s="2319"/>
      <c r="W25" s="2319"/>
      <c r="X25" s="2328"/>
      <c r="Y25" s="356"/>
    </row>
    <row r="26" spans="2:25" x14ac:dyDescent="0.25">
      <c r="B26" s="395"/>
      <c r="C26" s="1728" t="s">
        <v>522</v>
      </c>
      <c r="D26" s="1729"/>
      <c r="E26" s="1722"/>
      <c r="F26" s="1722"/>
      <c r="G26" s="1722"/>
      <c r="H26" s="1722"/>
      <c r="I26" s="1722"/>
      <c r="J26" s="1722"/>
      <c r="K26" s="1722"/>
      <c r="L26" s="1722"/>
      <c r="M26" s="1722"/>
      <c r="N26" s="1722"/>
      <c r="O26" s="1722"/>
      <c r="P26" s="1722"/>
      <c r="Q26" s="1722"/>
      <c r="R26" s="1722"/>
      <c r="S26" s="2319"/>
      <c r="T26" s="2319"/>
      <c r="U26" s="2319"/>
      <c r="V26" s="2319"/>
      <c r="W26" s="2319"/>
      <c r="X26" s="2328"/>
      <c r="Y26" s="356"/>
    </row>
    <row r="27" spans="2:25" x14ac:dyDescent="0.25">
      <c r="B27" s="395"/>
      <c r="C27" s="1728" t="s">
        <v>523</v>
      </c>
      <c r="D27" s="1729"/>
      <c r="E27" s="1722"/>
      <c r="F27" s="1722"/>
      <c r="G27" s="1722"/>
      <c r="H27" s="1722"/>
      <c r="I27" s="1722"/>
      <c r="J27" s="1722"/>
      <c r="K27" s="1722"/>
      <c r="L27" s="1722"/>
      <c r="M27" s="1722"/>
      <c r="N27" s="1722"/>
      <c r="O27" s="1722"/>
      <c r="P27" s="1722"/>
      <c r="Q27" s="1722"/>
      <c r="R27" s="1722"/>
      <c r="S27" s="1722"/>
      <c r="T27" s="2319"/>
      <c r="U27" s="2319"/>
      <c r="V27" s="2319"/>
      <c r="W27" s="2319"/>
      <c r="X27" s="2328"/>
      <c r="Y27" s="356"/>
    </row>
    <row r="28" spans="2:25" x14ac:dyDescent="0.25">
      <c r="B28" s="395"/>
      <c r="C28" s="1728" t="s">
        <v>534</v>
      </c>
      <c r="D28" s="1729"/>
      <c r="E28" s="1722" t="s">
        <v>1384</v>
      </c>
      <c r="F28" s="1722" t="s">
        <v>1384</v>
      </c>
      <c r="G28" s="1722" t="s">
        <v>1384</v>
      </c>
      <c r="H28" s="1722"/>
      <c r="I28" s="1722" t="s">
        <v>1384</v>
      </c>
      <c r="J28" s="1722" t="s">
        <v>1384</v>
      </c>
      <c r="K28" s="1722"/>
      <c r="L28" s="1722"/>
      <c r="M28" s="1722"/>
      <c r="N28" s="1722"/>
      <c r="O28" s="1722"/>
      <c r="P28" s="1722"/>
      <c r="Q28" s="1722"/>
      <c r="R28" s="1722"/>
      <c r="S28" s="1722"/>
      <c r="T28" s="1722"/>
      <c r="U28" s="2319"/>
      <c r="V28" s="2319"/>
      <c r="W28" s="2319"/>
      <c r="X28" s="2328"/>
      <c r="Y28" s="356"/>
    </row>
    <row r="29" spans="2:25" x14ac:dyDescent="0.25">
      <c r="B29" s="395"/>
      <c r="C29" s="1728" t="s">
        <v>525</v>
      </c>
      <c r="D29" s="1729"/>
      <c r="E29" s="1722"/>
      <c r="F29" s="1722"/>
      <c r="G29" s="1722"/>
      <c r="H29" s="1722"/>
      <c r="I29" s="1722"/>
      <c r="J29" s="1722"/>
      <c r="K29" s="1722"/>
      <c r="L29" s="1722"/>
      <c r="M29" s="1722"/>
      <c r="N29" s="1722"/>
      <c r="O29" s="1722"/>
      <c r="P29" s="1722"/>
      <c r="Q29" s="1722"/>
      <c r="R29" s="1722"/>
      <c r="S29" s="1722"/>
      <c r="T29" s="1722"/>
      <c r="U29" s="1722"/>
      <c r="V29" s="2319"/>
      <c r="W29" s="2319"/>
      <c r="X29" s="2329"/>
      <c r="Y29" s="356"/>
    </row>
    <row r="30" spans="2:25" x14ac:dyDescent="0.25">
      <c r="B30" s="395"/>
      <c r="C30" s="1730" t="s">
        <v>526</v>
      </c>
      <c r="D30" s="1731"/>
      <c r="E30" s="1722"/>
      <c r="F30" s="1722"/>
      <c r="G30" s="1722"/>
      <c r="H30" s="1722"/>
      <c r="I30" s="1722"/>
      <c r="J30" s="1722"/>
      <c r="K30" s="1722"/>
      <c r="L30" s="1722"/>
      <c r="M30" s="1722"/>
      <c r="N30" s="1722"/>
      <c r="O30" s="1722"/>
      <c r="P30" s="1722"/>
      <c r="Q30" s="1722"/>
      <c r="R30" s="1722"/>
      <c r="S30" s="1722"/>
      <c r="T30" s="1722"/>
      <c r="U30" s="1722"/>
      <c r="V30" s="1722"/>
      <c r="W30" s="2319"/>
      <c r="X30" s="2325" t="s">
        <v>481</v>
      </c>
      <c r="Y30" s="356"/>
    </row>
    <row r="31" spans="2:25" x14ac:dyDescent="0.25">
      <c r="B31" s="395"/>
      <c r="C31" s="1725" t="s">
        <v>481</v>
      </c>
      <c r="D31" s="1732"/>
      <c r="E31" s="1723"/>
      <c r="F31" s="1724"/>
      <c r="G31" s="1724"/>
      <c r="H31" s="1724"/>
      <c r="I31" s="1724"/>
      <c r="J31" s="1724"/>
      <c r="K31" s="1724"/>
      <c r="L31" s="1724"/>
      <c r="M31" s="1724"/>
      <c r="N31" s="1724"/>
      <c r="O31" s="1724"/>
      <c r="P31" s="1724"/>
      <c r="Q31" s="1724"/>
      <c r="R31" s="1724"/>
      <c r="S31" s="1724"/>
      <c r="T31" s="1724"/>
      <c r="U31" s="1724"/>
      <c r="V31" s="1724"/>
      <c r="W31" s="1724"/>
      <c r="X31" s="2326"/>
      <c r="Y31" s="356"/>
    </row>
    <row r="32" spans="2:25" x14ac:dyDescent="0.25">
      <c r="B32" s="395"/>
      <c r="C32" s="1412" t="s">
        <v>481</v>
      </c>
      <c r="D32" s="1732"/>
      <c r="E32" s="611"/>
      <c r="F32" s="612"/>
      <c r="G32" s="612"/>
      <c r="H32" s="612"/>
      <c r="I32" s="612"/>
      <c r="J32" s="612"/>
      <c r="K32" s="612"/>
      <c r="L32" s="612"/>
      <c r="M32" s="612"/>
      <c r="N32" s="612"/>
      <c r="O32" s="612"/>
      <c r="P32" s="612"/>
      <c r="Q32" s="612"/>
      <c r="R32" s="612"/>
      <c r="S32" s="612"/>
      <c r="T32" s="612"/>
      <c r="U32" s="612"/>
      <c r="V32" s="612"/>
      <c r="W32" s="612"/>
      <c r="X32" s="613"/>
      <c r="Y32" s="356"/>
    </row>
    <row r="33" spans="2:25" s="844" customFormat="1" ht="7.5" customHeight="1" x14ac:dyDescent="0.25">
      <c r="B33" s="395"/>
      <c r="C33" s="1247"/>
      <c r="D33" s="826"/>
      <c r="E33" s="826"/>
      <c r="F33" s="826"/>
      <c r="G33" s="826"/>
      <c r="H33" s="826"/>
      <c r="I33" s="826"/>
      <c r="J33" s="826"/>
      <c r="K33" s="826"/>
      <c r="L33" s="826"/>
      <c r="M33" s="826"/>
      <c r="N33" s="826"/>
      <c r="O33" s="826"/>
      <c r="P33" s="826"/>
      <c r="Q33" s="826"/>
      <c r="R33" s="826"/>
      <c r="S33" s="826"/>
      <c r="T33" s="826"/>
      <c r="U33" s="826"/>
      <c r="V33" s="826"/>
      <c r="W33" s="826"/>
      <c r="X33" s="826"/>
      <c r="Y33" s="356"/>
    </row>
    <row r="34" spans="2:25" s="844" customFormat="1" x14ac:dyDescent="0.25">
      <c r="B34" s="395"/>
      <c r="C34" s="811" t="s">
        <v>535</v>
      </c>
      <c r="D34" s="811"/>
      <c r="E34" s="811"/>
      <c r="F34" s="811"/>
      <c r="G34" s="811"/>
      <c r="H34" s="811"/>
      <c r="I34" s="811"/>
      <c r="J34" s="811"/>
      <c r="K34" s="811"/>
      <c r="L34" s="811"/>
      <c r="M34" s="811"/>
      <c r="N34" s="811"/>
      <c r="O34" s="811"/>
      <c r="P34" s="811"/>
      <c r="Q34" s="811"/>
      <c r="R34" s="811"/>
      <c r="S34" s="811"/>
      <c r="T34" s="811"/>
      <c r="U34" s="811"/>
      <c r="V34" s="811"/>
      <c r="W34" s="811"/>
      <c r="X34" s="811"/>
      <c r="Y34" s="356"/>
    </row>
    <row r="35" spans="2:25" s="844" customFormat="1" ht="45" customHeight="1" x14ac:dyDescent="0.25">
      <c r="B35" s="395"/>
      <c r="C35" s="1926" t="s">
        <v>1403</v>
      </c>
      <c r="D35" s="1927"/>
      <c r="E35" s="1927"/>
      <c r="F35" s="1927"/>
      <c r="G35" s="1927"/>
      <c r="H35" s="1927"/>
      <c r="I35" s="1927"/>
      <c r="J35" s="1927"/>
      <c r="K35" s="1927"/>
      <c r="L35" s="1927"/>
      <c r="M35" s="1927"/>
      <c r="N35" s="1927"/>
      <c r="O35" s="1927"/>
      <c r="P35" s="1927"/>
      <c r="Q35" s="1927"/>
      <c r="R35" s="1927"/>
      <c r="S35" s="1927"/>
      <c r="T35" s="1927"/>
      <c r="U35" s="1927"/>
      <c r="V35" s="1927"/>
      <c r="W35" s="1927"/>
      <c r="X35" s="1928"/>
      <c r="Y35" s="356"/>
    </row>
    <row r="36" spans="2:25" s="844" customFormat="1" ht="9" customHeight="1" thickBot="1" x14ac:dyDescent="0.3">
      <c r="B36" s="1311"/>
      <c r="C36" s="361"/>
      <c r="D36" s="361"/>
      <c r="E36" s="361"/>
      <c r="F36" s="361"/>
      <c r="G36" s="361"/>
      <c r="H36" s="361"/>
      <c r="I36" s="361"/>
      <c r="J36" s="361"/>
      <c r="K36" s="361"/>
      <c r="L36" s="361"/>
      <c r="M36" s="361"/>
      <c r="N36" s="361"/>
      <c r="O36" s="361"/>
      <c r="P36" s="361"/>
      <c r="Q36" s="361"/>
      <c r="R36" s="361"/>
      <c r="S36" s="361"/>
      <c r="T36" s="361"/>
      <c r="U36" s="361"/>
      <c r="V36" s="361"/>
      <c r="W36" s="361"/>
      <c r="X36" s="361"/>
      <c r="Y36" s="362"/>
    </row>
    <row r="37" spans="2:25" s="844" customFormat="1" x14ac:dyDescent="0.25"/>
    <row r="38" spans="2:25" s="844" customFormat="1" x14ac:dyDescent="0.25"/>
    <row r="39" spans="2:25" s="844" customFormat="1" x14ac:dyDescent="0.25"/>
    <row r="40" spans="2:25" s="844" customFormat="1" x14ac:dyDescent="0.25"/>
    <row r="41" spans="2:25" s="844" customFormat="1" x14ac:dyDescent="0.25"/>
  </sheetData>
  <sheetProtection password="9F6B" sheet="1" objects="1" scenarios="1" formatCells="0" formatColumns="0" formatRows="0"/>
  <mergeCells count="23">
    <mergeCell ref="C35:X35"/>
    <mergeCell ref="S12:S26"/>
    <mergeCell ref="T12:T27"/>
    <mergeCell ref="U12:U28"/>
    <mergeCell ref="V12:V29"/>
    <mergeCell ref="M12:M20"/>
    <mergeCell ref="N12:N21"/>
    <mergeCell ref="X30:X31"/>
    <mergeCell ref="X12:X29"/>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s>
  <conditionalFormatting sqref="E12:X32">
    <cfRule type="cellIs" dxfId="1" priority="1" operator="equal">
      <formula>"X"</formula>
    </cfRule>
  </conditionalFormatting>
  <dataValidations count="1">
    <dataValidation type="list" allowBlank="1" showInputMessage="1" showErrorMessage="1" sqref="E13:E32 F14:F32 G15:G32 H16:H32 I17:I32 J18:J33 K19:K33 L20:L32 M21:M32 N22:N32 O23:O32 P24:P32 Q25:Q32 R26:R32 S27:S32 T28:T32 U29:U32 V30:V32 W31:W32 X32">
      <formula1>"X"</formula1>
    </dataValidation>
  </dataValidations>
  <pageMargins left="0.7" right="0.7" top="0.75" bottom="0.75" header="0.3" footer="0.3"/>
  <pageSetup scale="92" orientation="landscape" r:id="rId1"/>
  <headerFooter>
    <oddFooter>&amp;LForm 9B
Identity of Interest Matrix&amp;CCFA Forms&amp;REdition: 2015
Version: 1.1</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1:M42"/>
  <sheetViews>
    <sheetView showGridLines="0" topLeftCell="A13" zoomScaleNormal="100" workbookViewId="0">
      <selection activeCell="G22" sqref="G22"/>
    </sheetView>
  </sheetViews>
  <sheetFormatPr defaultRowHeight="15" x14ac:dyDescent="0.25"/>
  <cols>
    <col min="1" max="2" width="1.7109375" style="849" customWidth="1"/>
    <col min="3" max="3" width="14.28515625" style="849" customWidth="1"/>
    <col min="4" max="4" width="12.85546875" style="849" customWidth="1"/>
    <col min="5" max="6" width="9.140625" style="849"/>
    <col min="7" max="7" width="15.28515625" style="849" customWidth="1"/>
    <col min="8" max="8" width="13.140625" style="849" customWidth="1"/>
    <col min="9" max="9" width="9.140625" style="849"/>
    <col min="10" max="10" width="14.5703125" style="849" bestFit="1" customWidth="1"/>
    <col min="11" max="11" width="11" style="849" customWidth="1"/>
    <col min="12" max="12" width="14.85546875" style="849" customWidth="1"/>
    <col min="13" max="13" width="1.7109375" style="849" customWidth="1"/>
    <col min="14" max="16384" width="9.140625" style="849"/>
  </cols>
  <sheetData>
    <row r="11" spans="2:13" ht="7.5" customHeight="1" thickBot="1" x14ac:dyDescent="0.3">
      <c r="B11" s="1413"/>
      <c r="C11" s="1413"/>
      <c r="D11" s="1413"/>
      <c r="E11" s="1413"/>
      <c r="F11" s="1413"/>
      <c r="G11" s="1413"/>
      <c r="H11" s="1413"/>
      <c r="I11" s="1413"/>
      <c r="J11" s="1413"/>
      <c r="K11" s="1413"/>
      <c r="L11" s="1413"/>
      <c r="M11" s="1414"/>
    </row>
    <row r="12" spans="2:13" ht="9" customHeight="1" x14ac:dyDescent="0.3">
      <c r="B12" s="615"/>
      <c r="C12" s="616"/>
      <c r="D12" s="617"/>
      <c r="E12" s="617"/>
      <c r="F12" s="616"/>
      <c r="G12" s="616"/>
      <c r="H12" s="616"/>
      <c r="I12" s="616"/>
      <c r="J12" s="616"/>
      <c r="K12" s="616"/>
      <c r="L12" s="616"/>
      <c r="M12" s="618"/>
    </row>
    <row r="13" spans="2:13" ht="18.75" x14ac:dyDescent="0.3">
      <c r="B13" s="619"/>
      <c r="C13" s="2030" t="s">
        <v>536</v>
      </c>
      <c r="D13" s="2030"/>
      <c r="E13" s="2030"/>
      <c r="F13" s="2030"/>
      <c r="G13" s="2030"/>
      <c r="H13" s="2030"/>
      <c r="I13" s="2030"/>
      <c r="J13" s="2030"/>
      <c r="K13" s="2030"/>
      <c r="L13" s="2030"/>
      <c r="M13" s="620"/>
    </row>
    <row r="14" spans="2:13" ht="15" customHeight="1" x14ac:dyDescent="0.3">
      <c r="B14" s="619"/>
      <c r="C14" s="621"/>
      <c r="D14" s="621"/>
      <c r="E14" s="621"/>
      <c r="F14" s="621"/>
      <c r="G14" s="621"/>
      <c r="H14" s="621"/>
      <c r="I14" s="621"/>
      <c r="J14" s="621"/>
      <c r="K14" s="621"/>
      <c r="L14" s="621"/>
      <c r="M14" s="620"/>
    </row>
    <row r="15" spans="2:13" x14ac:dyDescent="0.25">
      <c r="B15" s="622"/>
      <c r="C15" s="402" t="s">
        <v>1</v>
      </c>
      <c r="D15" s="1956" t="str">
        <f>IF('1A'!G5="","Enter Project Name on Form 1A",'1A'!G5)</f>
        <v>Liberty Bank Building</v>
      </c>
      <c r="E15" s="1956"/>
      <c r="F15" s="1956"/>
      <c r="G15" s="1956"/>
      <c r="H15" s="623"/>
      <c r="I15" s="623"/>
      <c r="J15" s="1126"/>
      <c r="K15" s="212"/>
      <c r="L15" s="212"/>
      <c r="M15" s="624"/>
    </row>
    <row r="16" spans="2:13" ht="22.5" customHeight="1" x14ac:dyDescent="0.25">
      <c r="B16" s="622"/>
      <c r="C16" s="625"/>
      <c r="D16" s="625"/>
      <c r="E16" s="623"/>
      <c r="F16" s="623"/>
      <c r="G16" s="623"/>
      <c r="H16" s="623"/>
      <c r="I16" s="623"/>
      <c r="J16" s="1415"/>
      <c r="K16" s="1415"/>
      <c r="L16" s="1415"/>
      <c r="M16" s="624"/>
    </row>
    <row r="17" spans="2:13" ht="16.5" thickBot="1" x14ac:dyDescent="0.3">
      <c r="B17" s="622"/>
      <c r="C17" s="657" t="s">
        <v>537</v>
      </c>
      <c r="D17" s="657"/>
      <c r="E17" s="626"/>
      <c r="F17" s="627"/>
      <c r="G17" s="625"/>
      <c r="H17" s="625"/>
      <c r="I17" s="625"/>
      <c r="J17" s="625"/>
      <c r="K17" s="625"/>
      <c r="L17" s="625"/>
      <c r="M17" s="624"/>
    </row>
    <row r="18" spans="2:13" ht="24.75" thickBot="1" x14ac:dyDescent="0.3">
      <c r="B18" s="628"/>
      <c r="C18" s="2330" t="s">
        <v>538</v>
      </c>
      <c r="D18" s="2331"/>
      <c r="E18" s="629" t="s">
        <v>539</v>
      </c>
      <c r="F18" s="629" t="s">
        <v>540</v>
      </c>
      <c r="G18" s="630" t="s">
        <v>541</v>
      </c>
      <c r="H18" s="630" t="s">
        <v>542</v>
      </c>
      <c r="I18" s="630" t="s">
        <v>668</v>
      </c>
      <c r="J18" s="630" t="s">
        <v>543</v>
      </c>
      <c r="K18" s="630" t="s">
        <v>544</v>
      </c>
      <c r="L18" s="631" t="s">
        <v>545</v>
      </c>
      <c r="M18" s="620"/>
    </row>
    <row r="19" spans="2:13" ht="90" x14ac:dyDescent="0.25">
      <c r="B19" s="632"/>
      <c r="C19" s="2332" t="s">
        <v>1410</v>
      </c>
      <c r="D19" s="2333"/>
      <c r="E19" s="1824" t="s">
        <v>1347</v>
      </c>
      <c r="F19" s="1825" t="s">
        <v>1411</v>
      </c>
      <c r="G19" s="1826" t="s">
        <v>1412</v>
      </c>
      <c r="H19" s="1827" t="s">
        <v>1413</v>
      </c>
      <c r="I19" s="1828" t="s">
        <v>1414</v>
      </c>
      <c r="J19" s="1828" t="s">
        <v>1415</v>
      </c>
      <c r="K19" s="1828" t="s">
        <v>1416</v>
      </c>
      <c r="L19" s="1839" t="s">
        <v>1417</v>
      </c>
      <c r="M19" s="620"/>
    </row>
    <row r="20" spans="2:13" ht="77.25" x14ac:dyDescent="0.25">
      <c r="B20" s="628"/>
      <c r="C20" s="2334" t="s">
        <v>1418</v>
      </c>
      <c r="D20" s="2335"/>
      <c r="E20" s="1830" t="s">
        <v>1347</v>
      </c>
      <c r="F20" s="1831" t="s">
        <v>1411</v>
      </c>
      <c r="G20" s="1832" t="s">
        <v>1412</v>
      </c>
      <c r="H20" s="1833" t="s">
        <v>1413</v>
      </c>
      <c r="I20" s="1834" t="s">
        <v>1419</v>
      </c>
      <c r="J20" s="1834" t="s">
        <v>1420</v>
      </c>
      <c r="K20" s="1834" t="s">
        <v>1421</v>
      </c>
      <c r="L20" s="1838" t="s">
        <v>1422</v>
      </c>
      <c r="M20" s="620"/>
    </row>
    <row r="21" spans="2:13" ht="51.75" x14ac:dyDescent="0.25">
      <c r="B21" s="628"/>
      <c r="C21" s="2334" t="s">
        <v>1423</v>
      </c>
      <c r="D21" s="2335"/>
      <c r="E21" s="1830" t="s">
        <v>1347</v>
      </c>
      <c r="F21" s="1831" t="s">
        <v>1411</v>
      </c>
      <c r="G21" s="1835" t="s">
        <v>1412</v>
      </c>
      <c r="H21" s="1833" t="s">
        <v>1424</v>
      </c>
      <c r="I21" s="1834" t="s">
        <v>1425</v>
      </c>
      <c r="J21" s="1834" t="s">
        <v>1426</v>
      </c>
      <c r="K21" s="1834" t="s">
        <v>1427</v>
      </c>
      <c r="L21" s="1829" t="s">
        <v>1428</v>
      </c>
      <c r="M21" s="620"/>
    </row>
    <row r="22" spans="2:13" ht="64.5" x14ac:dyDescent="0.25">
      <c r="B22" s="628"/>
      <c r="C22" s="2334" t="s">
        <v>1429</v>
      </c>
      <c r="D22" s="2335"/>
      <c r="E22" s="1830" t="s">
        <v>1347</v>
      </c>
      <c r="F22" s="1831" t="s">
        <v>1430</v>
      </c>
      <c r="G22" s="1835" t="s">
        <v>1412</v>
      </c>
      <c r="H22" s="1833" t="s">
        <v>1413</v>
      </c>
      <c r="I22" s="1834" t="s">
        <v>1425</v>
      </c>
      <c r="J22" s="1834" t="s">
        <v>1431</v>
      </c>
      <c r="K22" s="1834" t="s">
        <v>1432</v>
      </c>
      <c r="L22" s="1829" t="s">
        <v>1433</v>
      </c>
      <c r="M22" s="620"/>
    </row>
    <row r="23" spans="2:13" x14ac:dyDescent="0.25">
      <c r="B23" s="628"/>
      <c r="C23" s="2336"/>
      <c r="D23" s="2337"/>
      <c r="E23" s="638"/>
      <c r="F23" s="639"/>
      <c r="G23" s="643"/>
      <c r="H23" s="640"/>
      <c r="I23" s="641"/>
      <c r="J23" s="641"/>
      <c r="K23" s="641"/>
      <c r="L23" s="642"/>
      <c r="M23" s="620"/>
    </row>
    <row r="24" spans="2:13" x14ac:dyDescent="0.25">
      <c r="B24" s="644"/>
      <c r="C24" s="2336"/>
      <c r="D24" s="2337"/>
      <c r="E24" s="638"/>
      <c r="F24" s="639"/>
      <c r="G24" s="643"/>
      <c r="H24" s="640"/>
      <c r="I24" s="641"/>
      <c r="J24" s="641"/>
      <c r="K24" s="641"/>
      <c r="L24" s="642"/>
      <c r="M24" s="620"/>
    </row>
    <row r="25" spans="2:13" x14ac:dyDescent="0.25">
      <c r="B25" s="644"/>
      <c r="C25" s="2336"/>
      <c r="D25" s="2337"/>
      <c r="E25" s="638"/>
      <c r="F25" s="639"/>
      <c r="G25" s="643"/>
      <c r="H25" s="640"/>
      <c r="I25" s="641"/>
      <c r="J25" s="641"/>
      <c r="K25" s="641"/>
      <c r="L25" s="642"/>
      <c r="M25" s="620"/>
    </row>
    <row r="26" spans="2:13" x14ac:dyDescent="0.25">
      <c r="B26" s="644"/>
      <c r="C26" s="2336"/>
      <c r="D26" s="2337"/>
      <c r="E26" s="638"/>
      <c r="F26" s="639"/>
      <c r="G26" s="643"/>
      <c r="H26" s="640"/>
      <c r="I26" s="641"/>
      <c r="J26" s="641"/>
      <c r="K26" s="641"/>
      <c r="L26" s="642"/>
      <c r="M26" s="620"/>
    </row>
    <row r="27" spans="2:13" x14ac:dyDescent="0.25">
      <c r="B27" s="628"/>
      <c r="C27" s="2336"/>
      <c r="D27" s="2337"/>
      <c r="E27" s="638"/>
      <c r="F27" s="639"/>
      <c r="G27" s="643"/>
      <c r="H27" s="640"/>
      <c r="I27" s="641"/>
      <c r="J27" s="641"/>
      <c r="K27" s="641"/>
      <c r="L27" s="642"/>
      <c r="M27" s="620"/>
    </row>
    <row r="28" spans="2:13" x14ac:dyDescent="0.25">
      <c r="B28" s="628"/>
      <c r="C28" s="2336"/>
      <c r="D28" s="2337"/>
      <c r="E28" s="638"/>
      <c r="F28" s="639"/>
      <c r="G28" s="643"/>
      <c r="H28" s="640"/>
      <c r="I28" s="641"/>
      <c r="J28" s="641"/>
      <c r="K28" s="641"/>
      <c r="L28" s="642"/>
      <c r="M28" s="620"/>
    </row>
    <row r="29" spans="2:13" x14ac:dyDescent="0.25">
      <c r="B29" s="628"/>
      <c r="C29" s="2336"/>
      <c r="D29" s="2337"/>
      <c r="E29" s="638"/>
      <c r="F29" s="639"/>
      <c r="G29" s="643"/>
      <c r="H29" s="640"/>
      <c r="I29" s="641"/>
      <c r="J29" s="641"/>
      <c r="K29" s="641"/>
      <c r="L29" s="642"/>
      <c r="M29" s="620"/>
    </row>
    <row r="30" spans="2:13" ht="15.75" thickBot="1" x14ac:dyDescent="0.3">
      <c r="B30" s="628"/>
      <c r="C30" s="2342"/>
      <c r="D30" s="2343"/>
      <c r="E30" s="645"/>
      <c r="F30" s="646"/>
      <c r="G30" s="647"/>
      <c r="H30" s="648"/>
      <c r="I30" s="649"/>
      <c r="J30" s="649"/>
      <c r="K30" s="649"/>
      <c r="L30" s="650"/>
      <c r="M30" s="620"/>
    </row>
    <row r="31" spans="2:13" ht="7.5" customHeight="1" x14ac:dyDescent="0.25">
      <c r="B31" s="628"/>
      <c r="C31" s="679"/>
      <c r="D31" s="679"/>
      <c r="E31" s="679"/>
      <c r="F31" s="679"/>
      <c r="G31" s="1416"/>
      <c r="H31" s="679"/>
      <c r="I31" s="1417"/>
      <c r="J31" s="1417"/>
      <c r="K31" s="1417"/>
      <c r="L31" s="1417"/>
      <c r="M31" s="620"/>
    </row>
    <row r="32" spans="2:13" ht="16.5" thickBot="1" x14ac:dyDescent="0.3">
      <c r="B32" s="622"/>
      <c r="C32" s="657" t="s">
        <v>546</v>
      </c>
      <c r="D32" s="657"/>
      <c r="E32" s="626"/>
      <c r="F32" s="627"/>
      <c r="G32" s="625"/>
      <c r="H32" s="625"/>
      <c r="I32" s="625"/>
      <c r="J32" s="625"/>
      <c r="K32" s="625"/>
      <c r="L32" s="625"/>
      <c r="M32" s="624"/>
    </row>
    <row r="33" spans="2:13" ht="24.75" thickBot="1" x14ac:dyDescent="0.3">
      <c r="B33" s="628"/>
      <c r="C33" s="2330" t="s">
        <v>547</v>
      </c>
      <c r="D33" s="2331"/>
      <c r="E33" s="629" t="s">
        <v>539</v>
      </c>
      <c r="F33" s="629" t="s">
        <v>540</v>
      </c>
      <c r="G33" s="630" t="s">
        <v>541</v>
      </c>
      <c r="H33" s="630" t="s">
        <v>542</v>
      </c>
      <c r="I33" s="630" t="s">
        <v>668</v>
      </c>
      <c r="J33" s="630" t="s">
        <v>543</v>
      </c>
      <c r="K33" s="630" t="s">
        <v>671</v>
      </c>
      <c r="L33" s="631" t="s">
        <v>545</v>
      </c>
      <c r="M33" s="620"/>
    </row>
    <row r="34" spans="2:13" ht="51.75" x14ac:dyDescent="0.25">
      <c r="B34" s="632"/>
      <c r="C34" s="2344" t="s">
        <v>1435</v>
      </c>
      <c r="D34" s="2345"/>
      <c r="E34" s="1824" t="s">
        <v>1347</v>
      </c>
      <c r="F34" s="1825" t="s">
        <v>1411</v>
      </c>
      <c r="G34" s="1835" t="s">
        <v>1412</v>
      </c>
      <c r="H34" s="1833" t="s">
        <v>1413</v>
      </c>
      <c r="I34" s="1828" t="s">
        <v>1465</v>
      </c>
      <c r="J34" s="1828" t="s">
        <v>1434</v>
      </c>
      <c r="K34" s="1828" t="s">
        <v>1466</v>
      </c>
      <c r="L34" s="1829" t="s">
        <v>1459</v>
      </c>
      <c r="M34" s="620"/>
    </row>
    <row r="35" spans="2:13" ht="51" x14ac:dyDescent="0.25">
      <c r="B35" s="628"/>
      <c r="C35" s="2346" t="s">
        <v>1378</v>
      </c>
      <c r="D35" s="2347"/>
      <c r="E35" s="1906" t="s">
        <v>1347</v>
      </c>
      <c r="F35" s="1907" t="s">
        <v>1411</v>
      </c>
      <c r="G35" s="1910" t="s">
        <v>1412</v>
      </c>
      <c r="H35" s="1908" t="s">
        <v>1413</v>
      </c>
      <c r="I35" s="1909" t="s">
        <v>1584</v>
      </c>
      <c r="J35" s="1909" t="s">
        <v>1585</v>
      </c>
      <c r="K35" s="1909" t="s">
        <v>1586</v>
      </c>
      <c r="L35" s="1829" t="s">
        <v>1459</v>
      </c>
      <c r="M35" s="620"/>
    </row>
    <row r="36" spans="2:13" x14ac:dyDescent="0.25">
      <c r="B36" s="628"/>
      <c r="C36" s="2340"/>
      <c r="D36" s="2341"/>
      <c r="E36" s="638"/>
      <c r="F36" s="639"/>
      <c r="G36" s="653"/>
      <c r="H36" s="640"/>
      <c r="I36" s="641"/>
      <c r="J36" s="641"/>
      <c r="K36" s="641"/>
      <c r="L36" s="642"/>
      <c r="M36" s="620"/>
    </row>
    <row r="37" spans="2:13" x14ac:dyDescent="0.25">
      <c r="B37" s="644"/>
      <c r="C37" s="2340"/>
      <c r="D37" s="2341"/>
      <c r="E37" s="638"/>
      <c r="F37" s="639"/>
      <c r="G37" s="653"/>
      <c r="H37" s="640"/>
      <c r="I37" s="641"/>
      <c r="J37" s="641"/>
      <c r="K37" s="641"/>
      <c r="L37" s="642"/>
      <c r="M37" s="620"/>
    </row>
    <row r="38" spans="2:13" x14ac:dyDescent="0.25">
      <c r="B38" s="628"/>
      <c r="C38" s="2340"/>
      <c r="D38" s="2341"/>
      <c r="E38" s="638"/>
      <c r="F38" s="639"/>
      <c r="G38" s="653"/>
      <c r="H38" s="640"/>
      <c r="I38" s="641"/>
      <c r="J38" s="641"/>
      <c r="K38" s="641"/>
      <c r="L38" s="642"/>
      <c r="M38" s="620"/>
    </row>
    <row r="39" spans="2:13" x14ac:dyDescent="0.25">
      <c r="B39" s="628"/>
      <c r="C39" s="2340"/>
      <c r="D39" s="2341"/>
      <c r="E39" s="638"/>
      <c r="F39" s="639"/>
      <c r="G39" s="653"/>
      <c r="H39" s="640"/>
      <c r="I39" s="641"/>
      <c r="J39" s="641"/>
      <c r="K39" s="641"/>
      <c r="L39" s="642"/>
      <c r="M39" s="620"/>
    </row>
    <row r="40" spans="2:13" x14ac:dyDescent="0.25">
      <c r="B40" s="628"/>
      <c r="C40" s="2340"/>
      <c r="D40" s="2341"/>
      <c r="E40" s="638"/>
      <c r="F40" s="639"/>
      <c r="G40" s="653"/>
      <c r="H40" s="640"/>
      <c r="I40" s="641"/>
      <c r="J40" s="641"/>
      <c r="K40" s="641"/>
      <c r="L40" s="642"/>
      <c r="M40" s="620"/>
    </row>
    <row r="41" spans="2:13" ht="15.75" thickBot="1" x14ac:dyDescent="0.3">
      <c r="B41" s="628"/>
      <c r="C41" s="2338"/>
      <c r="D41" s="2339"/>
      <c r="E41" s="645"/>
      <c r="F41" s="646"/>
      <c r="G41" s="648"/>
      <c r="H41" s="648"/>
      <c r="I41" s="649"/>
      <c r="J41" s="649"/>
      <c r="K41" s="649"/>
      <c r="L41" s="650"/>
      <c r="M41" s="620"/>
    </row>
    <row r="42" spans="2:13" ht="9" customHeight="1" thickBot="1" x14ac:dyDescent="0.3">
      <c r="B42" s="654"/>
      <c r="C42" s="655"/>
      <c r="D42" s="655"/>
      <c r="E42" s="655"/>
      <c r="F42" s="655"/>
      <c r="G42" s="655"/>
      <c r="H42" s="655"/>
      <c r="I42" s="655"/>
      <c r="J42" s="655"/>
      <c r="K42" s="655"/>
      <c r="L42" s="655"/>
      <c r="M42" s="656"/>
    </row>
  </sheetData>
  <sheetProtection password="9F6B" sheet="1" objects="1" scenarios="1" formatCells="0" formatColumns="0" formatRows="0" insertRows="0"/>
  <mergeCells count="24">
    <mergeCell ref="C41:D41"/>
    <mergeCell ref="C37:D37"/>
    <mergeCell ref="C38:D38"/>
    <mergeCell ref="C39:D39"/>
    <mergeCell ref="C30:D30"/>
    <mergeCell ref="C34:D34"/>
    <mergeCell ref="C35:D35"/>
    <mergeCell ref="C36:D36"/>
    <mergeCell ref="C40:D40"/>
    <mergeCell ref="D15:G15"/>
    <mergeCell ref="C18:D18"/>
    <mergeCell ref="C33:D33"/>
    <mergeCell ref="C13:L13"/>
    <mergeCell ref="C19:D19"/>
    <mergeCell ref="C20:D20"/>
    <mergeCell ref="C21:D21"/>
    <mergeCell ref="C22:D22"/>
    <mergeCell ref="C23:D23"/>
    <mergeCell ref="C24:D24"/>
    <mergeCell ref="C25:D25"/>
    <mergeCell ref="C26:D26"/>
    <mergeCell ref="C27:D27"/>
    <mergeCell ref="C28:D28"/>
    <mergeCell ref="C29:D29"/>
  </mergeCells>
  <dataValidations count="2">
    <dataValidation type="list" allowBlank="1" showInputMessage="1" showErrorMessage="1" sqref="E19:E30 E34:E41">
      <formula1>"MF,SF"</formula1>
    </dataValidation>
    <dataValidation type="list" allowBlank="1" showInputMessage="1" showErrorMessage="1" sqref="F19:F30 F34:F41">
      <formula1>"NC,R,A"</formula1>
    </dataValidation>
  </dataValidations>
  <pageMargins left="0.7" right="0.7" top="0.75" bottom="0.75" header="0.3" footer="0.3"/>
  <pageSetup scale="67" orientation="landscape" r:id="rId1"/>
  <headerFooter>
    <oddFooter>&amp;LForm 9C
Project Sponsor Experience&amp;CCFA Forms&amp;REdition: 2015
Version: 1.1</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4:L47"/>
  <sheetViews>
    <sheetView showGridLines="0" topLeftCell="A13" zoomScaleNormal="100" workbookViewId="0">
      <selection activeCell="N26" sqref="N26"/>
    </sheetView>
  </sheetViews>
  <sheetFormatPr defaultRowHeight="15" x14ac:dyDescent="0.25"/>
  <cols>
    <col min="1" max="2" width="1.7109375" style="849" customWidth="1"/>
    <col min="3" max="3" width="14.28515625" style="849" customWidth="1"/>
    <col min="4" max="4" width="12.85546875" style="849" customWidth="1"/>
    <col min="5" max="6" width="9.140625" style="849"/>
    <col min="7" max="7" width="15.28515625" style="849" customWidth="1"/>
    <col min="8" max="8" width="14.28515625" style="849" customWidth="1"/>
    <col min="9" max="9" width="16.5703125" style="849" customWidth="1"/>
    <col min="10" max="10" width="14.85546875" style="849" customWidth="1"/>
    <col min="11" max="11" width="17.140625" style="849" customWidth="1"/>
    <col min="12" max="12" width="1.7109375" style="849" customWidth="1"/>
    <col min="13" max="16384" width="9.140625" style="849"/>
  </cols>
  <sheetData>
    <row r="14" spans="2:12" ht="7.5" customHeight="1" thickBot="1" x14ac:dyDescent="0.3">
      <c r="B14" s="1414"/>
      <c r="C14" s="1414"/>
      <c r="D14" s="1414"/>
      <c r="E14" s="1414"/>
      <c r="F14" s="1414"/>
      <c r="G14" s="1414"/>
      <c r="H14" s="1414"/>
      <c r="I14" s="1414"/>
      <c r="J14" s="1414"/>
      <c r="K14" s="1414"/>
      <c r="L14" s="1414"/>
    </row>
    <row r="15" spans="2:12" ht="9" customHeight="1" x14ac:dyDescent="0.3">
      <c r="B15" s="615"/>
      <c r="C15" s="658"/>
      <c r="D15" s="658"/>
      <c r="E15" s="616"/>
      <c r="F15" s="616"/>
      <c r="G15" s="616"/>
      <c r="H15" s="616"/>
      <c r="I15" s="616"/>
      <c r="J15" s="616"/>
      <c r="K15" s="616"/>
      <c r="L15" s="618"/>
    </row>
    <row r="16" spans="2:12" ht="18.75" x14ac:dyDescent="0.3">
      <c r="B16" s="619"/>
      <c r="C16" s="1653" t="s">
        <v>1355</v>
      </c>
      <c r="D16" s="1735"/>
      <c r="E16" s="1735"/>
      <c r="F16" s="1735"/>
      <c r="G16" s="1735"/>
      <c r="H16" s="1735"/>
      <c r="I16" s="1735"/>
      <c r="J16" s="1735"/>
      <c r="K16" s="1735"/>
      <c r="L16" s="620"/>
    </row>
    <row r="17" spans="2:12" ht="15" customHeight="1" x14ac:dyDescent="0.3">
      <c r="B17" s="619"/>
      <c r="C17" s="402"/>
      <c r="D17" s="402"/>
      <c r="E17" s="621"/>
      <c r="F17" s="621"/>
      <c r="G17" s="621"/>
      <c r="H17" s="621"/>
      <c r="I17" s="621"/>
      <c r="J17" s="621"/>
      <c r="K17" s="621"/>
      <c r="L17" s="620"/>
    </row>
    <row r="18" spans="2:12" x14ac:dyDescent="0.25">
      <c r="B18" s="622"/>
      <c r="C18" s="402" t="s">
        <v>1</v>
      </c>
      <c r="D18" s="1956" t="str">
        <f>IF('1A'!G5="","Enter Project Name on Form 1A",'1A'!G5)</f>
        <v>Liberty Bank Building</v>
      </c>
      <c r="E18" s="1956"/>
      <c r="F18" s="1956"/>
      <c r="G18" s="1956"/>
      <c r="H18" s="1956"/>
      <c r="I18" s="1956"/>
      <c r="J18" s="623"/>
      <c r="K18" s="1126"/>
      <c r="L18" s="624"/>
    </row>
    <row r="19" spans="2:12" ht="22.5" customHeight="1" x14ac:dyDescent="0.25">
      <c r="B19" s="622"/>
      <c r="C19" s="322"/>
      <c r="D19" s="322"/>
      <c r="E19" s="623"/>
      <c r="F19" s="623"/>
      <c r="G19" s="623"/>
      <c r="H19" s="623"/>
      <c r="I19" s="623"/>
      <c r="J19" s="623"/>
      <c r="K19" s="625"/>
      <c r="L19" s="624"/>
    </row>
    <row r="20" spans="2:12" ht="15.75" customHeight="1" x14ac:dyDescent="0.25">
      <c r="B20" s="622"/>
      <c r="C20" s="665" t="s">
        <v>549</v>
      </c>
      <c r="D20" s="665"/>
      <c r="E20" s="665"/>
      <c r="F20" s="665"/>
      <c r="G20" s="665"/>
      <c r="H20" s="665"/>
      <c r="I20" s="625"/>
      <c r="J20" s="625"/>
      <c r="K20" s="625"/>
      <c r="L20" s="624"/>
    </row>
    <row r="21" spans="2:12" x14ac:dyDescent="0.25">
      <c r="B21" s="628"/>
      <c r="C21" s="2348" t="s">
        <v>550</v>
      </c>
      <c r="D21" s="2349"/>
      <c r="E21" s="670" t="str">
        <f>IF('1A'!G15="","Enter Development Consultant Firm Name on Form 1A",'1A'!G15)</f>
        <v>N/A</v>
      </c>
      <c r="F21" s="671"/>
      <c r="G21" s="671"/>
      <c r="H21" s="671"/>
      <c r="I21" s="671"/>
      <c r="J21" s="672"/>
      <c r="K21" s="1415"/>
      <c r="L21" s="659"/>
    </row>
    <row r="22" spans="2:12" ht="3.75" customHeight="1" thickBot="1" x14ac:dyDescent="0.3">
      <c r="B22" s="628"/>
      <c r="C22" s="660"/>
      <c r="D22" s="660"/>
      <c r="E22" s="1415"/>
      <c r="F22" s="1415"/>
      <c r="G22" s="1415"/>
      <c r="H22" s="1415"/>
      <c r="I22" s="1415"/>
      <c r="J22" s="1415"/>
      <c r="K22" s="1415"/>
      <c r="L22" s="620"/>
    </row>
    <row r="23" spans="2:12" ht="24.75" thickBot="1" x14ac:dyDescent="0.3">
      <c r="B23" s="628"/>
      <c r="C23" s="673" t="s">
        <v>538</v>
      </c>
      <c r="D23" s="674"/>
      <c r="E23" s="630" t="s">
        <v>539</v>
      </c>
      <c r="F23" s="675" t="s">
        <v>540</v>
      </c>
      <c r="G23" s="630" t="s">
        <v>542</v>
      </c>
      <c r="H23" s="630" t="s">
        <v>668</v>
      </c>
      <c r="I23" s="630" t="s">
        <v>543</v>
      </c>
      <c r="J23" s="630" t="s">
        <v>544</v>
      </c>
      <c r="K23" s="631" t="s">
        <v>545</v>
      </c>
      <c r="L23" s="620"/>
    </row>
    <row r="24" spans="2:12" x14ac:dyDescent="0.25">
      <c r="B24" s="632"/>
      <c r="C24" s="2354"/>
      <c r="D24" s="2355"/>
      <c r="E24" s="633"/>
      <c r="F24" s="634"/>
      <c r="G24" s="1418"/>
      <c r="H24" s="373"/>
      <c r="I24" s="635"/>
      <c r="J24" s="636"/>
      <c r="K24" s="637"/>
      <c r="L24" s="620"/>
    </row>
    <row r="25" spans="2:12" x14ac:dyDescent="0.25">
      <c r="B25" s="628"/>
      <c r="C25" s="2356"/>
      <c r="D25" s="2357"/>
      <c r="E25" s="638"/>
      <c r="F25" s="639"/>
      <c r="G25" s="1419"/>
      <c r="H25" s="643"/>
      <c r="I25" s="640"/>
      <c r="J25" s="641"/>
      <c r="K25" s="642"/>
      <c r="L25" s="620"/>
    </row>
    <row r="26" spans="2:12" x14ac:dyDescent="0.25">
      <c r="B26" s="628"/>
      <c r="C26" s="2350"/>
      <c r="D26" s="2351"/>
      <c r="E26" s="638"/>
      <c r="F26" s="639"/>
      <c r="G26" s="1419"/>
      <c r="H26" s="643"/>
      <c r="I26" s="640"/>
      <c r="J26" s="641"/>
      <c r="K26" s="642"/>
      <c r="L26" s="620"/>
    </row>
    <row r="27" spans="2:12" x14ac:dyDescent="0.25">
      <c r="B27" s="628"/>
      <c r="C27" s="2350"/>
      <c r="D27" s="2351"/>
      <c r="E27" s="638"/>
      <c r="F27" s="639"/>
      <c r="G27" s="1419"/>
      <c r="H27" s="643"/>
      <c r="I27" s="640"/>
      <c r="J27" s="641"/>
      <c r="K27" s="642"/>
      <c r="L27" s="620"/>
    </row>
    <row r="28" spans="2:12" x14ac:dyDescent="0.25">
      <c r="B28" s="628"/>
      <c r="C28" s="2350"/>
      <c r="D28" s="2351"/>
      <c r="E28" s="638"/>
      <c r="F28" s="639"/>
      <c r="G28" s="1419"/>
      <c r="H28" s="643"/>
      <c r="I28" s="640"/>
      <c r="J28" s="641"/>
      <c r="K28" s="642"/>
      <c r="L28" s="620"/>
    </row>
    <row r="29" spans="2:12" x14ac:dyDescent="0.25">
      <c r="B29" s="644"/>
      <c r="C29" s="2350"/>
      <c r="D29" s="2351"/>
      <c r="E29" s="638"/>
      <c r="F29" s="639"/>
      <c r="G29" s="1419"/>
      <c r="H29" s="643"/>
      <c r="I29" s="640"/>
      <c r="J29" s="641"/>
      <c r="K29" s="642"/>
      <c r="L29" s="620"/>
    </row>
    <row r="30" spans="2:12" x14ac:dyDescent="0.25">
      <c r="B30" s="644"/>
      <c r="C30" s="2350"/>
      <c r="D30" s="2351"/>
      <c r="E30" s="638"/>
      <c r="F30" s="639"/>
      <c r="G30" s="1419"/>
      <c r="H30" s="643"/>
      <c r="I30" s="640"/>
      <c r="J30" s="641"/>
      <c r="K30" s="642"/>
      <c r="L30" s="620"/>
    </row>
    <row r="31" spans="2:12" x14ac:dyDescent="0.25">
      <c r="B31" s="644"/>
      <c r="C31" s="2350"/>
      <c r="D31" s="2351"/>
      <c r="E31" s="638"/>
      <c r="F31" s="639"/>
      <c r="G31" s="1419"/>
      <c r="H31" s="643"/>
      <c r="I31" s="640"/>
      <c r="J31" s="641"/>
      <c r="K31" s="642"/>
      <c r="L31" s="620"/>
    </row>
    <row r="32" spans="2:12" x14ac:dyDescent="0.25">
      <c r="B32" s="628"/>
      <c r="C32" s="2350"/>
      <c r="D32" s="2351"/>
      <c r="E32" s="638"/>
      <c r="F32" s="639"/>
      <c r="G32" s="1419"/>
      <c r="H32" s="643"/>
      <c r="I32" s="640"/>
      <c r="J32" s="641"/>
      <c r="K32" s="642"/>
      <c r="L32" s="620"/>
    </row>
    <row r="33" spans="2:12" x14ac:dyDescent="0.25">
      <c r="B33" s="628"/>
      <c r="C33" s="2350"/>
      <c r="D33" s="2351"/>
      <c r="E33" s="638"/>
      <c r="F33" s="639"/>
      <c r="G33" s="1419"/>
      <c r="H33" s="643"/>
      <c r="I33" s="640"/>
      <c r="J33" s="641"/>
      <c r="K33" s="642"/>
      <c r="L33" s="620"/>
    </row>
    <row r="34" spans="2:12" x14ac:dyDescent="0.25">
      <c r="B34" s="628"/>
      <c r="C34" s="2350"/>
      <c r="D34" s="2351"/>
      <c r="E34" s="638"/>
      <c r="F34" s="639"/>
      <c r="G34" s="1419"/>
      <c r="H34" s="643"/>
      <c r="I34" s="640"/>
      <c r="J34" s="641"/>
      <c r="K34" s="642"/>
      <c r="L34" s="620"/>
    </row>
    <row r="35" spans="2:12" ht="15.75" thickBot="1" x14ac:dyDescent="0.3">
      <c r="B35" s="628"/>
      <c r="C35" s="2352"/>
      <c r="D35" s="2353"/>
      <c r="E35" s="661"/>
      <c r="F35" s="662"/>
      <c r="G35" s="1420"/>
      <c r="H35" s="678"/>
      <c r="I35" s="663"/>
      <c r="J35" s="649"/>
      <c r="K35" s="650"/>
      <c r="L35" s="620"/>
    </row>
    <row r="36" spans="2:12" ht="7.5" customHeight="1" x14ac:dyDescent="0.25">
      <c r="B36" s="622"/>
      <c r="C36" s="660"/>
      <c r="D36" s="660"/>
      <c r="E36" s="679"/>
      <c r="F36" s="679"/>
      <c r="G36" s="679"/>
      <c r="H36" s="679"/>
      <c r="I36" s="679"/>
      <c r="J36" s="679"/>
      <c r="K36" s="679"/>
      <c r="L36" s="624"/>
    </row>
    <row r="37" spans="2:12" ht="16.5" customHeight="1" thickBot="1" x14ac:dyDescent="0.3">
      <c r="B37" s="622"/>
      <c r="C37" s="657" t="s">
        <v>551</v>
      </c>
      <c r="D37" s="657"/>
      <c r="E37" s="657"/>
      <c r="F37" s="657"/>
      <c r="G37" s="657"/>
      <c r="H37" s="657"/>
      <c r="I37" s="625"/>
      <c r="J37" s="625"/>
      <c r="K37" s="625"/>
      <c r="L37" s="624"/>
    </row>
    <row r="38" spans="2:12" ht="36.75" thickBot="1" x14ac:dyDescent="0.3">
      <c r="B38" s="628"/>
      <c r="C38" s="673" t="s">
        <v>547</v>
      </c>
      <c r="D38" s="677"/>
      <c r="E38" s="630" t="s">
        <v>539</v>
      </c>
      <c r="F38" s="675" t="s">
        <v>540</v>
      </c>
      <c r="G38" s="630" t="s">
        <v>542</v>
      </c>
      <c r="H38" s="630" t="s">
        <v>668</v>
      </c>
      <c r="I38" s="630" t="s">
        <v>543</v>
      </c>
      <c r="J38" s="630" t="s">
        <v>548</v>
      </c>
      <c r="K38" s="631" t="s">
        <v>545</v>
      </c>
      <c r="L38" s="620"/>
    </row>
    <row r="39" spans="2:12" x14ac:dyDescent="0.25">
      <c r="B39" s="632"/>
      <c r="C39" s="799"/>
      <c r="D39" s="666"/>
      <c r="E39" s="737"/>
      <c r="F39" s="738"/>
      <c r="G39" s="634"/>
      <c r="H39" s="651"/>
      <c r="I39" s="635"/>
      <c r="J39" s="636"/>
      <c r="K39" s="637"/>
      <c r="L39" s="620"/>
    </row>
    <row r="40" spans="2:12" x14ac:dyDescent="0.25">
      <c r="B40" s="628"/>
      <c r="C40" s="800"/>
      <c r="D40" s="667"/>
      <c r="E40" s="676"/>
      <c r="F40" s="739"/>
      <c r="G40" s="639"/>
      <c r="H40" s="652"/>
      <c r="I40" s="640"/>
      <c r="J40" s="641"/>
      <c r="K40" s="642"/>
      <c r="L40" s="620"/>
    </row>
    <row r="41" spans="2:12" x14ac:dyDescent="0.25">
      <c r="B41" s="628"/>
      <c r="C41" s="797"/>
      <c r="D41" s="668"/>
      <c r="E41" s="676"/>
      <c r="F41" s="739"/>
      <c r="G41" s="639"/>
      <c r="H41" s="653"/>
      <c r="I41" s="640"/>
      <c r="J41" s="641"/>
      <c r="K41" s="642"/>
      <c r="L41" s="620"/>
    </row>
    <row r="42" spans="2:12" x14ac:dyDescent="0.25">
      <c r="B42" s="628"/>
      <c r="C42" s="797"/>
      <c r="D42" s="668"/>
      <c r="E42" s="676"/>
      <c r="F42" s="739"/>
      <c r="G42" s="639"/>
      <c r="H42" s="653"/>
      <c r="I42" s="640"/>
      <c r="J42" s="641"/>
      <c r="K42" s="642"/>
      <c r="L42" s="620"/>
    </row>
    <row r="43" spans="2:12" x14ac:dyDescent="0.25">
      <c r="B43" s="628"/>
      <c r="C43" s="797"/>
      <c r="D43" s="668"/>
      <c r="E43" s="676"/>
      <c r="F43" s="739"/>
      <c r="G43" s="639"/>
      <c r="H43" s="653"/>
      <c r="I43" s="640"/>
      <c r="J43" s="641"/>
      <c r="K43" s="642"/>
      <c r="L43" s="620"/>
    </row>
    <row r="44" spans="2:12" x14ac:dyDescent="0.25">
      <c r="B44" s="628"/>
      <c r="C44" s="797"/>
      <c r="D44" s="668"/>
      <c r="E44" s="676"/>
      <c r="F44" s="739"/>
      <c r="G44" s="639"/>
      <c r="H44" s="653"/>
      <c r="I44" s="640"/>
      <c r="J44" s="641"/>
      <c r="K44" s="642"/>
      <c r="L44" s="620"/>
    </row>
    <row r="45" spans="2:12" x14ac:dyDescent="0.25">
      <c r="B45" s="628"/>
      <c r="C45" s="797"/>
      <c r="D45" s="668"/>
      <c r="E45" s="676"/>
      <c r="F45" s="739"/>
      <c r="G45" s="639"/>
      <c r="H45" s="653"/>
      <c r="I45" s="640"/>
      <c r="J45" s="641"/>
      <c r="K45" s="642"/>
      <c r="L45" s="620"/>
    </row>
    <row r="46" spans="2:12" ht="15.75" thickBot="1" x14ac:dyDescent="0.3">
      <c r="B46" s="628"/>
      <c r="C46" s="798"/>
      <c r="D46" s="669"/>
      <c r="E46" s="740"/>
      <c r="F46" s="741"/>
      <c r="G46" s="662"/>
      <c r="H46" s="663"/>
      <c r="I46" s="663"/>
      <c r="J46" s="649"/>
      <c r="K46" s="650"/>
      <c r="L46" s="620"/>
    </row>
    <row r="47" spans="2:12" ht="9" customHeight="1" thickBot="1" x14ac:dyDescent="0.3">
      <c r="B47" s="654"/>
      <c r="C47" s="664"/>
      <c r="D47" s="664"/>
      <c r="E47" s="655"/>
      <c r="F47" s="655"/>
      <c r="G47" s="655"/>
      <c r="H47" s="655"/>
      <c r="I47" s="655"/>
      <c r="J47" s="655"/>
      <c r="K47" s="655"/>
      <c r="L47" s="656"/>
    </row>
  </sheetData>
  <sheetProtection password="9F6B" sheet="1" objects="1" scenarios="1" formatCells="0" formatColumns="0" formatRows="0" insertRows="0"/>
  <mergeCells count="14">
    <mergeCell ref="D18:I18"/>
    <mergeCell ref="C21:D21"/>
    <mergeCell ref="C34:D34"/>
    <mergeCell ref="C35:D35"/>
    <mergeCell ref="C24:D24"/>
    <mergeCell ref="C25:D25"/>
    <mergeCell ref="C26:D26"/>
    <mergeCell ref="C27:D27"/>
    <mergeCell ref="C28:D28"/>
    <mergeCell ref="C29:D29"/>
    <mergeCell ref="C30:D30"/>
    <mergeCell ref="C31:D31"/>
    <mergeCell ref="C32:D32"/>
    <mergeCell ref="C33:D33"/>
  </mergeCells>
  <dataValidations count="2">
    <dataValidation type="list" allowBlank="1" showInputMessage="1" showErrorMessage="1" sqref="F24:F35 F39:F46">
      <formula1>"NC,R,A"</formula1>
    </dataValidation>
    <dataValidation type="list" allowBlank="1" showInputMessage="1" showErrorMessage="1" sqref="E24:E35 E39:E46">
      <formula1>"MF,SF"</formula1>
    </dataValidation>
  </dataValidations>
  <pageMargins left="0.7" right="0.7" top="0.75" bottom="0.75" header="0.3" footer="0.3"/>
  <pageSetup scale="96" orientation="landscape" r:id="rId1"/>
  <headerFooter>
    <oddFooter>&amp;LForm 9D
Project Development Consultant Experience&amp;CCFA Forms&amp;REdition: 2015
Version: 1.1</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B5:U25"/>
  <sheetViews>
    <sheetView showGridLines="0" topLeftCell="A7" zoomScaleNormal="100" workbookViewId="0">
      <selection activeCell="J24" sqref="J24"/>
    </sheetView>
  </sheetViews>
  <sheetFormatPr defaultRowHeight="15" x14ac:dyDescent="0.25"/>
  <cols>
    <col min="1" max="2" width="1.7109375" style="849" customWidth="1"/>
    <col min="3" max="3" width="14.140625" style="849" customWidth="1"/>
    <col min="4" max="4" width="11.42578125" style="849" customWidth="1"/>
    <col min="5" max="5" width="14.28515625" style="849" customWidth="1"/>
    <col min="6" max="6" width="8.5703125" style="849" customWidth="1"/>
    <col min="7" max="7" width="22.85546875" style="849" customWidth="1"/>
    <col min="8" max="9" width="14.28515625" style="849" customWidth="1"/>
    <col min="10" max="10" width="24.5703125" style="849" customWidth="1"/>
    <col min="11" max="11" width="1.7109375" style="849" customWidth="1"/>
    <col min="12" max="16384" width="9.140625" style="849"/>
  </cols>
  <sheetData>
    <row r="5" spans="2:11" ht="19.5" customHeight="1" x14ac:dyDescent="0.25"/>
    <row r="6" spans="2:11" ht="7.5" customHeight="1" thickBot="1" x14ac:dyDescent="0.3">
      <c r="B6" s="1414"/>
      <c r="C6" s="1414"/>
      <c r="D6" s="1414"/>
      <c r="E6" s="1414"/>
      <c r="F6" s="1414"/>
      <c r="G6" s="1414"/>
      <c r="H6" s="1414"/>
      <c r="I6" s="1414"/>
      <c r="J6" s="1414"/>
      <c r="K6" s="1414"/>
    </row>
    <row r="7" spans="2:11" ht="9" customHeight="1" x14ac:dyDescent="0.25">
      <c r="B7" s="680"/>
      <c r="C7" s="616"/>
      <c r="D7" s="616"/>
      <c r="E7" s="616"/>
      <c r="F7" s="616"/>
      <c r="G7" s="616"/>
      <c r="H7" s="616"/>
      <c r="I7" s="616"/>
      <c r="J7" s="616"/>
      <c r="K7" s="618"/>
    </row>
    <row r="8" spans="2:11" ht="18.75" x14ac:dyDescent="0.3">
      <c r="B8" s="681"/>
      <c r="C8" s="1653" t="s">
        <v>1357</v>
      </c>
      <c r="D8" s="1735"/>
      <c r="E8" s="1735"/>
      <c r="F8" s="1735"/>
      <c r="G8" s="1735"/>
      <c r="H8" s="1735"/>
      <c r="I8" s="1735"/>
      <c r="J8" s="1735"/>
      <c r="K8" s="620"/>
    </row>
    <row r="9" spans="2:11" x14ac:dyDescent="0.25">
      <c r="B9" s="681"/>
      <c r="C9" s="621"/>
      <c r="D9" s="621"/>
      <c r="E9" s="621"/>
      <c r="F9" s="621"/>
      <c r="G9" s="621"/>
      <c r="H9" s="621"/>
      <c r="I9" s="621"/>
      <c r="J9" s="621"/>
      <c r="K9" s="620"/>
    </row>
    <row r="10" spans="2:11" x14ac:dyDescent="0.25">
      <c r="B10" s="622"/>
      <c r="C10" s="402" t="s">
        <v>1</v>
      </c>
      <c r="D10" s="1956" t="str">
        <f>IF('1A'!G5="","Enter Project Name on Form 1A",'1A'!G5)</f>
        <v>Liberty Bank Building</v>
      </c>
      <c r="E10" s="1956"/>
      <c r="F10" s="1956"/>
      <c r="G10" s="1956"/>
      <c r="H10" s="1421"/>
      <c r="I10" s="1127"/>
      <c r="J10" s="1421"/>
      <c r="K10" s="624"/>
    </row>
    <row r="11" spans="2:11" x14ac:dyDescent="0.25">
      <c r="B11" s="628"/>
      <c r="C11" s="621"/>
      <c r="D11" s="614"/>
      <c r="E11" s="1415"/>
      <c r="F11" s="1415"/>
      <c r="G11" s="1415"/>
      <c r="H11" s="1415"/>
      <c r="I11" s="682"/>
      <c r="J11" s="682"/>
      <c r="K11" s="659"/>
    </row>
    <row r="12" spans="2:11" x14ac:dyDescent="0.25">
      <c r="B12" s="628"/>
      <c r="C12" s="2348" t="s">
        <v>552</v>
      </c>
      <c r="D12" s="2349"/>
      <c r="E12" s="2373" t="str">
        <f>IF('9A'!D55="","Enter Property Management Firm Name on Form 9A",'9A'!D55)</f>
        <v>Capitol Hill Housing</v>
      </c>
      <c r="F12" s="2373"/>
      <c r="G12" s="2373"/>
      <c r="H12" s="2373"/>
      <c r="I12" s="2373"/>
      <c r="J12" s="2374"/>
      <c r="K12" s="659"/>
    </row>
    <row r="13" spans="2:11" ht="15.75" thickBot="1" x14ac:dyDescent="0.3">
      <c r="B13" s="628"/>
      <c r="C13" s="679"/>
      <c r="D13" s="679"/>
      <c r="E13" s="679"/>
      <c r="F13" s="1415"/>
      <c r="G13" s="1415"/>
      <c r="H13" s="1415"/>
      <c r="I13" s="1415"/>
      <c r="J13" s="1415"/>
      <c r="K13" s="620"/>
    </row>
    <row r="14" spans="2:11" ht="36.75" thickBot="1" x14ac:dyDescent="0.3">
      <c r="B14" s="628"/>
      <c r="C14" s="673" t="s">
        <v>553</v>
      </c>
      <c r="D14" s="674"/>
      <c r="E14" s="630" t="s">
        <v>542</v>
      </c>
      <c r="F14" s="630" t="s">
        <v>668</v>
      </c>
      <c r="G14" s="630" t="s">
        <v>554</v>
      </c>
      <c r="H14" s="630" t="s">
        <v>555</v>
      </c>
      <c r="I14" s="630" t="s">
        <v>669</v>
      </c>
      <c r="J14" s="631" t="s">
        <v>670</v>
      </c>
      <c r="K14" s="620"/>
    </row>
    <row r="15" spans="2:11" ht="48.75" x14ac:dyDescent="0.25">
      <c r="B15" s="632"/>
      <c r="C15" s="2375" t="s">
        <v>1410</v>
      </c>
      <c r="D15" s="2376"/>
      <c r="E15" s="1848" t="s">
        <v>1413</v>
      </c>
      <c r="F15" s="1849" t="s">
        <v>1414</v>
      </c>
      <c r="G15" s="1849" t="s">
        <v>717</v>
      </c>
      <c r="H15" s="1849" t="s">
        <v>1495</v>
      </c>
      <c r="I15" s="1849" t="s">
        <v>1510</v>
      </c>
      <c r="J15" s="1857" t="s">
        <v>1417</v>
      </c>
      <c r="K15" s="620"/>
    </row>
    <row r="16" spans="2:11" ht="36.75" x14ac:dyDescent="0.25">
      <c r="B16" s="628"/>
      <c r="C16" s="2362" t="s">
        <v>1418</v>
      </c>
      <c r="D16" s="2363"/>
      <c r="E16" s="1851" t="s">
        <v>1413</v>
      </c>
      <c r="F16" s="1852" t="s">
        <v>1419</v>
      </c>
      <c r="G16" s="1852" t="s">
        <v>719</v>
      </c>
      <c r="H16" s="1852" t="s">
        <v>1496</v>
      </c>
      <c r="I16" s="1854" t="s">
        <v>1510</v>
      </c>
      <c r="J16" s="1858" t="s">
        <v>1422</v>
      </c>
      <c r="K16" s="620"/>
    </row>
    <row r="17" spans="2:21" ht="36.75" x14ac:dyDescent="0.25">
      <c r="B17" s="628"/>
      <c r="C17" s="2358" t="s">
        <v>1493</v>
      </c>
      <c r="D17" s="2359"/>
      <c r="E17" s="1851" t="s">
        <v>1413</v>
      </c>
      <c r="F17" s="1853">
        <v>44</v>
      </c>
      <c r="G17" s="1852" t="s">
        <v>717</v>
      </c>
      <c r="H17" s="1852" t="s">
        <v>1497</v>
      </c>
      <c r="I17" s="1854" t="s">
        <v>1510</v>
      </c>
      <c r="J17" s="1859" t="s">
        <v>1504</v>
      </c>
      <c r="K17" s="620"/>
      <c r="Q17" s="2364"/>
      <c r="R17" s="2365"/>
      <c r="S17" s="2365"/>
      <c r="T17" s="2365"/>
      <c r="U17" s="2366"/>
    </row>
    <row r="18" spans="2:21" ht="24.75" x14ac:dyDescent="0.25">
      <c r="B18" s="628"/>
      <c r="C18" s="2358" t="s">
        <v>1494</v>
      </c>
      <c r="D18" s="2359"/>
      <c r="E18" s="1851" t="s">
        <v>1413</v>
      </c>
      <c r="F18" s="1853">
        <v>49</v>
      </c>
      <c r="G18" s="1852" t="s">
        <v>717</v>
      </c>
      <c r="H18" s="1852" t="s">
        <v>1498</v>
      </c>
      <c r="I18" s="1854" t="s">
        <v>1510</v>
      </c>
      <c r="J18" s="1859" t="s">
        <v>1505</v>
      </c>
      <c r="K18" s="620"/>
      <c r="Q18" s="2367"/>
      <c r="R18" s="2368"/>
      <c r="S18" s="2368"/>
      <c r="T18" s="2368"/>
      <c r="U18" s="2369"/>
    </row>
    <row r="19" spans="2:21" ht="24.75" x14ac:dyDescent="0.25">
      <c r="B19" s="628"/>
      <c r="C19" s="2358" t="s">
        <v>1483</v>
      </c>
      <c r="D19" s="2359"/>
      <c r="E19" s="1851" t="s">
        <v>1413</v>
      </c>
      <c r="F19" s="1853">
        <v>62</v>
      </c>
      <c r="G19" s="1852" t="s">
        <v>717</v>
      </c>
      <c r="H19" s="1852" t="s">
        <v>1499</v>
      </c>
      <c r="I19" s="1854" t="s">
        <v>1510</v>
      </c>
      <c r="J19" s="1860" t="s">
        <v>1592</v>
      </c>
      <c r="K19" s="620"/>
      <c r="Q19" s="2367"/>
      <c r="R19" s="2368"/>
      <c r="S19" s="2368"/>
      <c r="T19" s="2368"/>
      <c r="U19" s="2369"/>
    </row>
    <row r="20" spans="2:21" x14ac:dyDescent="0.25">
      <c r="B20" s="644"/>
      <c r="C20" s="2358" t="s">
        <v>1484</v>
      </c>
      <c r="D20" s="2359"/>
      <c r="E20" s="1851" t="s">
        <v>1413</v>
      </c>
      <c r="F20" s="1853">
        <v>62</v>
      </c>
      <c r="G20" s="1852" t="s">
        <v>717</v>
      </c>
      <c r="H20" s="1852" t="s">
        <v>1500</v>
      </c>
      <c r="I20" s="1854" t="s">
        <v>1510</v>
      </c>
      <c r="J20" s="1860" t="s">
        <v>1507</v>
      </c>
      <c r="K20" s="620"/>
      <c r="Q20" s="2367"/>
      <c r="R20" s="2368"/>
      <c r="S20" s="2368"/>
      <c r="T20" s="2368"/>
      <c r="U20" s="2369"/>
    </row>
    <row r="21" spans="2:21" ht="24.75" x14ac:dyDescent="0.25">
      <c r="B21" s="644"/>
      <c r="C21" s="2358" t="s">
        <v>1485</v>
      </c>
      <c r="D21" s="2359"/>
      <c r="E21" s="1851" t="s">
        <v>1413</v>
      </c>
      <c r="F21" s="1853">
        <v>60</v>
      </c>
      <c r="G21" s="1852" t="s">
        <v>729</v>
      </c>
      <c r="H21" s="1852" t="s">
        <v>1501</v>
      </c>
      <c r="I21" s="1854" t="s">
        <v>1510</v>
      </c>
      <c r="J21" s="1861" t="s">
        <v>1509</v>
      </c>
      <c r="K21" s="1856"/>
      <c r="Q21" s="2370"/>
      <c r="R21" s="2371"/>
      <c r="S21" s="2371"/>
      <c r="T21" s="2371"/>
      <c r="U21" s="2372"/>
    </row>
    <row r="22" spans="2:21" ht="24.75" x14ac:dyDescent="0.25">
      <c r="B22" s="644"/>
      <c r="C22" s="2358" t="s">
        <v>1486</v>
      </c>
      <c r="D22" s="2359"/>
      <c r="E22" s="1851" t="s">
        <v>1413</v>
      </c>
      <c r="F22" s="1852" t="s">
        <v>1487</v>
      </c>
      <c r="G22" s="1852" t="s">
        <v>717</v>
      </c>
      <c r="H22" s="1852" t="s">
        <v>1502</v>
      </c>
      <c r="I22" s="1854" t="s">
        <v>1510</v>
      </c>
      <c r="J22" s="1860" t="s">
        <v>1508</v>
      </c>
      <c r="K22" s="620"/>
    </row>
    <row r="23" spans="2:21" ht="24.75" x14ac:dyDescent="0.25">
      <c r="B23" s="628"/>
      <c r="C23" s="2358" t="s">
        <v>1488</v>
      </c>
      <c r="D23" s="2359"/>
      <c r="E23" s="1851" t="s">
        <v>1413</v>
      </c>
      <c r="F23" s="1852" t="s">
        <v>1489</v>
      </c>
      <c r="G23" s="1852" t="s">
        <v>717</v>
      </c>
      <c r="H23" s="1852" t="s">
        <v>1503</v>
      </c>
      <c r="I23" s="1854" t="s">
        <v>1510</v>
      </c>
      <c r="J23" s="1860" t="s">
        <v>1593</v>
      </c>
      <c r="K23" s="620"/>
    </row>
    <row r="24" spans="2:21" ht="15.75" thickBot="1" x14ac:dyDescent="0.3">
      <c r="B24" s="628"/>
      <c r="C24" s="2360" t="s">
        <v>1490</v>
      </c>
      <c r="D24" s="2361"/>
      <c r="E24" s="1855" t="s">
        <v>1413</v>
      </c>
      <c r="F24" s="1850" t="s">
        <v>1491</v>
      </c>
      <c r="G24" s="1850" t="s">
        <v>729</v>
      </c>
      <c r="H24" s="1850" t="s">
        <v>1506</v>
      </c>
      <c r="I24" s="1850" t="s">
        <v>1510</v>
      </c>
      <c r="J24" s="1862" t="s">
        <v>1492</v>
      </c>
      <c r="K24" s="620"/>
    </row>
    <row r="25" spans="2:21" ht="9" customHeight="1" thickBot="1" x14ac:dyDescent="0.3">
      <c r="B25" s="654"/>
      <c r="C25" s="655"/>
      <c r="D25" s="655"/>
      <c r="E25" s="655"/>
      <c r="F25" s="655"/>
      <c r="G25" s="655"/>
      <c r="H25" s="655"/>
      <c r="I25" s="655"/>
      <c r="J25" s="655"/>
      <c r="K25" s="656"/>
    </row>
  </sheetData>
  <sheetProtection password="9F6B" sheet="1" objects="1" scenarios="1" formatCells="0" formatColumns="0" formatRows="0" insertRows="0"/>
  <mergeCells count="14">
    <mergeCell ref="Q17:U21"/>
    <mergeCell ref="E12:J12"/>
    <mergeCell ref="D10:G10"/>
    <mergeCell ref="C12:D12"/>
    <mergeCell ref="C15:D15"/>
    <mergeCell ref="C21:D21"/>
    <mergeCell ref="C22:D22"/>
    <mergeCell ref="C23:D23"/>
    <mergeCell ref="C24:D24"/>
    <mergeCell ref="C16:D16"/>
    <mergeCell ref="C17:D17"/>
    <mergeCell ref="C18:D18"/>
    <mergeCell ref="C19:D19"/>
    <mergeCell ref="C20:D20"/>
  </mergeCells>
  <dataValidations count="1">
    <dataValidation type="list" allowBlank="1" showInputMessage="1" showErrorMessage="1" sqref="G15:G16 G22:G24 S17:S21">
      <formula1>Population_Types</formula1>
    </dataValidation>
  </dataValidations>
  <pageMargins left="0.7" right="0.7" top="0.75" bottom="0.75" header="0.3" footer="0.3"/>
  <pageSetup scale="95" orientation="landscape" r:id="rId1"/>
  <headerFooter>
    <oddFooter>&amp;LForm 9E
Project Property Management Firm Experience&amp;CCFA Forms&amp;REdition: 2015
Version: 1.1</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2:P163"/>
  <sheetViews>
    <sheetView showGridLines="0" zoomScaleNormal="100" zoomScaleSheetLayoutView="90" workbookViewId="0">
      <selection activeCell="R16" sqref="R16"/>
    </sheetView>
  </sheetViews>
  <sheetFormatPr defaultColWidth="13.7109375" defaultRowHeight="15" x14ac:dyDescent="0.25"/>
  <cols>
    <col min="1" max="2" width="1.7109375" style="844" customWidth="1"/>
    <col min="3" max="5" width="2.85546875" style="844" customWidth="1"/>
    <col min="6" max="6" width="11.42578125" style="844" customWidth="1"/>
    <col min="7" max="7" width="8.5703125" style="844" customWidth="1"/>
    <col min="8" max="8" width="11.42578125" style="844" customWidth="1"/>
    <col min="9" max="9" width="12.85546875" style="844" customWidth="1"/>
    <col min="10" max="10" width="10" style="844" customWidth="1"/>
    <col min="11" max="11" width="7.140625" style="844" customWidth="1"/>
    <col min="12" max="12" width="15.7109375" style="844" customWidth="1"/>
    <col min="13" max="13" width="11.42578125" style="844" customWidth="1"/>
    <col min="14" max="14" width="8.5703125" style="844" customWidth="1"/>
    <col min="15" max="16" width="1.7109375" style="844" customWidth="1"/>
    <col min="17" max="16384" width="13.7109375" style="844"/>
  </cols>
  <sheetData>
    <row r="12" spans="2:15" ht="21.75" customHeight="1" thickBot="1" x14ac:dyDescent="0.3"/>
    <row r="13" spans="2:15" x14ac:dyDescent="0.25">
      <c r="B13" s="1425"/>
      <c r="C13" s="1426"/>
      <c r="D13" s="1426"/>
      <c r="E13" s="1426"/>
      <c r="F13" s="1426"/>
      <c r="G13" s="1426"/>
      <c r="H13" s="1426"/>
      <c r="I13" s="1426"/>
      <c r="J13" s="1426"/>
      <c r="K13" s="1426"/>
      <c r="L13" s="1426"/>
      <c r="M13" s="1426"/>
      <c r="N13" s="1426"/>
      <c r="O13" s="1427"/>
    </row>
    <row r="14" spans="2:15" ht="18.75" x14ac:dyDescent="0.3">
      <c r="B14" s="1428"/>
      <c r="C14" s="2030" t="s">
        <v>556</v>
      </c>
      <c r="D14" s="2030"/>
      <c r="E14" s="2030"/>
      <c r="F14" s="2030"/>
      <c r="G14" s="2030"/>
      <c r="H14" s="2030"/>
      <c r="I14" s="2030"/>
      <c r="J14" s="2030"/>
      <c r="K14" s="2030"/>
      <c r="L14" s="2030"/>
      <c r="M14" s="2030"/>
      <c r="N14" s="2030"/>
      <c r="O14" s="1429"/>
    </row>
    <row r="15" spans="2:15" x14ac:dyDescent="0.25">
      <c r="B15" s="1428"/>
      <c r="C15" s="1158"/>
      <c r="D15" s="1158"/>
      <c r="E15" s="1158"/>
      <c r="F15" s="1158"/>
      <c r="G15" s="1158"/>
      <c r="H15" s="1158"/>
      <c r="I15" s="1158"/>
      <c r="J15" s="1158"/>
      <c r="K15" s="1158"/>
      <c r="L15" s="1158"/>
      <c r="M15" s="1158"/>
      <c r="N15" s="1158"/>
      <c r="O15" s="1429"/>
    </row>
    <row r="16" spans="2:15" x14ac:dyDescent="0.25">
      <c r="B16" s="1428"/>
      <c r="C16" s="820"/>
      <c r="D16" s="1315" t="s">
        <v>339</v>
      </c>
      <c r="E16" s="1128"/>
      <c r="F16" s="1128"/>
      <c r="G16" s="1127" t="str">
        <f>IF('1A'!G5="","Enter Project Name on Form 1A",'1A'!G5)</f>
        <v>Liberty Bank Building</v>
      </c>
      <c r="H16" s="1127"/>
      <c r="I16" s="1127"/>
      <c r="J16" s="1127"/>
      <c r="K16" s="1127"/>
      <c r="L16" s="1127"/>
      <c r="M16" s="1127"/>
      <c r="N16" s="1158"/>
      <c r="O16" s="1429"/>
    </row>
    <row r="17" spans="2:16" ht="30" customHeight="1" x14ac:dyDescent="0.25">
      <c r="B17" s="1428"/>
      <c r="C17" s="1213"/>
      <c r="D17" s="1213"/>
      <c r="E17" s="1213"/>
      <c r="F17" s="1213"/>
      <c r="G17" s="820"/>
      <c r="H17" s="1213"/>
      <c r="I17" s="1213"/>
      <c r="J17" s="1213"/>
      <c r="K17" s="1213"/>
      <c r="L17" s="1213"/>
      <c r="M17" s="1430"/>
      <c r="N17" s="1431" t="s">
        <v>557</v>
      </c>
      <c r="O17" s="1429"/>
      <c r="P17" s="401"/>
    </row>
    <row r="18" spans="2:16" x14ac:dyDescent="0.25">
      <c r="B18" s="1428"/>
      <c r="C18" s="258">
        <v>1</v>
      </c>
      <c r="D18" s="1432" t="s">
        <v>672</v>
      </c>
      <c r="E18" s="1432"/>
      <c r="F18" s="1433"/>
      <c r="G18" s="1434"/>
      <c r="H18" s="1434"/>
      <c r="I18" s="1434"/>
      <c r="J18" s="1434"/>
      <c r="K18" s="1434"/>
      <c r="L18" s="1434"/>
      <c r="M18" s="1435"/>
      <c r="N18" s="1422">
        <v>0</v>
      </c>
      <c r="O18" s="1429"/>
      <c r="P18" s="845"/>
    </row>
    <row r="19" spans="2:16" ht="3.75" customHeight="1" x14ac:dyDescent="0.25">
      <c r="B19" s="1428"/>
      <c r="C19" s="1213"/>
      <c r="D19" s="698"/>
      <c r="E19" s="698"/>
      <c r="F19" s="1214"/>
      <c r="G19" s="698"/>
      <c r="H19" s="698"/>
      <c r="I19" s="698"/>
      <c r="J19" s="698"/>
      <c r="K19" s="698"/>
      <c r="L19" s="698"/>
      <c r="M19" s="698"/>
      <c r="N19" s="698"/>
      <c r="O19" s="1429"/>
      <c r="P19" s="401"/>
    </row>
    <row r="20" spans="2:16" x14ac:dyDescent="0.25">
      <c r="B20" s="1428"/>
      <c r="C20" s="1213"/>
      <c r="D20" s="2387" t="s">
        <v>558</v>
      </c>
      <c r="E20" s="2387"/>
      <c r="F20" s="2387"/>
      <c r="G20" s="2387"/>
      <c r="H20" s="2387"/>
      <c r="I20" s="2387"/>
      <c r="J20" s="2387"/>
      <c r="K20" s="2387"/>
      <c r="L20" s="2387"/>
      <c r="M20" s="2387"/>
      <c r="N20" s="698"/>
      <c r="O20" s="1429"/>
      <c r="P20" s="401"/>
    </row>
    <row r="21" spans="2:16" x14ac:dyDescent="0.25">
      <c r="B21" s="1428"/>
      <c r="C21" s="1213"/>
      <c r="D21" s="698"/>
      <c r="E21" s="258"/>
      <c r="F21" s="1436" t="s">
        <v>559</v>
      </c>
      <c r="G21" s="1158"/>
      <c r="H21" s="1158"/>
      <c r="I21" s="2386" t="s">
        <v>560</v>
      </c>
      <c r="J21" s="2386"/>
      <c r="K21" s="2386"/>
      <c r="L21" s="2386"/>
      <c r="M21" s="2386"/>
      <c r="N21" s="1128"/>
      <c r="O21" s="1429"/>
      <c r="P21" s="401"/>
    </row>
    <row r="22" spans="2:16" x14ac:dyDescent="0.25">
      <c r="B22" s="1428"/>
      <c r="C22" s="1213"/>
      <c r="D22" s="698"/>
      <c r="E22" s="258"/>
      <c r="F22" s="1437" t="s">
        <v>561</v>
      </c>
      <c r="G22" s="1158"/>
      <c r="H22" s="1158"/>
      <c r="I22" s="2386"/>
      <c r="J22" s="2386"/>
      <c r="K22" s="2386"/>
      <c r="L22" s="2386"/>
      <c r="M22" s="2386"/>
      <c r="N22" s="1128"/>
      <c r="O22" s="1429"/>
      <c r="P22" s="401"/>
    </row>
    <row r="23" spans="2:16" ht="7.5" customHeight="1" x14ac:dyDescent="0.25">
      <c r="B23" s="1438"/>
      <c r="C23" s="1315"/>
      <c r="D23" s="1315"/>
      <c r="E23" s="1315"/>
      <c r="F23" s="1439"/>
      <c r="G23" s="1439"/>
      <c r="H23" s="1439"/>
      <c r="I23" s="1439"/>
      <c r="J23" s="1439"/>
      <c r="K23" s="1439"/>
      <c r="L23" s="1439"/>
      <c r="M23" s="1439"/>
      <c r="N23" s="1315"/>
      <c r="O23" s="1440"/>
    </row>
    <row r="24" spans="2:16" x14ac:dyDescent="0.25">
      <c r="B24" s="1428"/>
      <c r="C24" s="1213"/>
      <c r="D24" s="1213"/>
      <c r="E24" s="258"/>
      <c r="F24" s="1441" t="s">
        <v>563</v>
      </c>
      <c r="G24" s="1213"/>
      <c r="H24" s="1213"/>
      <c r="I24" s="2386" t="s">
        <v>564</v>
      </c>
      <c r="J24" s="2386"/>
      <c r="K24" s="2386"/>
      <c r="L24" s="2386"/>
      <c r="M24" s="2386"/>
      <c r="N24" s="1128"/>
      <c r="O24" s="1429"/>
      <c r="P24" s="401"/>
    </row>
    <row r="25" spans="2:16" x14ac:dyDescent="0.25">
      <c r="B25" s="1428"/>
      <c r="C25" s="1213"/>
      <c r="D25" s="698"/>
      <c r="E25" s="258"/>
      <c r="F25" s="1437" t="s">
        <v>561</v>
      </c>
      <c r="G25" s="1158"/>
      <c r="H25" s="1158"/>
      <c r="I25" s="2386"/>
      <c r="J25" s="2386"/>
      <c r="K25" s="2386"/>
      <c r="L25" s="2386"/>
      <c r="M25" s="2386"/>
      <c r="N25" s="1128"/>
      <c r="O25" s="1429"/>
      <c r="P25" s="401"/>
    </row>
    <row r="26" spans="2:16" x14ac:dyDescent="0.25">
      <c r="B26" s="1428"/>
      <c r="C26" s="1213"/>
      <c r="D26" s="1213"/>
      <c r="E26" s="258"/>
      <c r="F26" s="1213"/>
      <c r="G26" s="1213"/>
      <c r="H26" s="1213"/>
      <c r="I26" s="1213"/>
      <c r="J26" s="1213"/>
      <c r="K26" s="1213"/>
      <c r="L26" s="1213"/>
      <c r="M26" s="1213"/>
      <c r="N26" s="1213"/>
      <c r="O26" s="1429"/>
      <c r="P26" s="401"/>
    </row>
    <row r="27" spans="2:16" x14ac:dyDescent="0.25">
      <c r="B27" s="1428"/>
      <c r="C27" s="258">
        <v>2</v>
      </c>
      <c r="D27" s="1432" t="s">
        <v>673</v>
      </c>
      <c r="E27" s="1432"/>
      <c r="F27" s="1433"/>
      <c r="G27" s="1434"/>
      <c r="H27" s="1434"/>
      <c r="I27" s="1434"/>
      <c r="J27" s="1434"/>
      <c r="K27" s="1434"/>
      <c r="L27" s="1434"/>
      <c r="M27" s="1435"/>
      <c r="N27" s="1422">
        <v>0</v>
      </c>
      <c r="O27" s="1429"/>
      <c r="P27" s="845"/>
    </row>
    <row r="28" spans="2:16" ht="3.75" customHeight="1" x14ac:dyDescent="0.25">
      <c r="B28" s="1428"/>
      <c r="C28" s="1213"/>
      <c r="D28" s="698"/>
      <c r="E28" s="698"/>
      <c r="F28" s="1214"/>
      <c r="G28" s="698"/>
      <c r="H28" s="698"/>
      <c r="I28" s="698"/>
      <c r="J28" s="698"/>
      <c r="K28" s="698"/>
      <c r="L28" s="698"/>
      <c r="M28" s="1442"/>
      <c r="N28" s="698"/>
      <c r="O28" s="1429"/>
      <c r="P28" s="401"/>
    </row>
    <row r="29" spans="2:16" x14ac:dyDescent="0.25">
      <c r="B29" s="1428"/>
      <c r="C29" s="1213"/>
      <c r="D29" s="2387" t="s">
        <v>565</v>
      </c>
      <c r="E29" s="2387"/>
      <c r="F29" s="2387"/>
      <c r="G29" s="2387"/>
      <c r="H29" s="2387"/>
      <c r="I29" s="2387"/>
      <c r="J29" s="2387"/>
      <c r="K29" s="2387"/>
      <c r="L29" s="2387"/>
      <c r="M29" s="2387"/>
      <c r="N29" s="1213"/>
      <c r="O29" s="1429"/>
      <c r="P29" s="401"/>
    </row>
    <row r="30" spans="2:16" ht="7.5" customHeight="1" x14ac:dyDescent="0.25">
      <c r="B30" s="1428"/>
      <c r="C30" s="1213"/>
      <c r="D30" s="1214"/>
      <c r="E30" s="1214"/>
      <c r="F30" s="1213"/>
      <c r="G30" s="1213"/>
      <c r="H30" s="1213"/>
      <c r="I30" s="1213"/>
      <c r="J30" s="1213"/>
      <c r="K30" s="1213"/>
      <c r="L30" s="1213"/>
      <c r="M30" s="1213"/>
      <c r="N30" s="1213"/>
      <c r="O30" s="1429"/>
      <c r="P30" s="401"/>
    </row>
    <row r="31" spans="2:16" x14ac:dyDescent="0.25">
      <c r="B31" s="1428"/>
      <c r="C31" s="1213"/>
      <c r="D31" s="1213"/>
      <c r="E31" s="1213"/>
      <c r="F31" s="2377"/>
      <c r="G31" s="2377"/>
      <c r="H31" s="698"/>
      <c r="I31" s="1436"/>
      <c r="J31" s="1443"/>
      <c r="K31" s="1444"/>
      <c r="L31" s="1213"/>
      <c r="M31" s="1213"/>
      <c r="N31" s="1213"/>
      <c r="O31" s="1429"/>
    </row>
    <row r="32" spans="2:16" x14ac:dyDescent="0.25">
      <c r="B32" s="1428"/>
      <c r="C32" s="1213"/>
      <c r="D32" s="1213"/>
      <c r="E32" s="1213"/>
      <c r="F32" s="1213"/>
      <c r="G32" s="1213"/>
      <c r="H32" s="1213"/>
      <c r="I32" s="1213"/>
      <c r="J32" s="1213"/>
      <c r="K32" s="1213"/>
      <c r="L32" s="1213"/>
      <c r="M32" s="1213"/>
      <c r="N32" s="1213"/>
      <c r="O32" s="1429"/>
    </row>
    <row r="33" spans="2:15" s="1423" customFormat="1" x14ac:dyDescent="0.25">
      <c r="B33" s="1445"/>
      <c r="C33" s="258">
        <v>3</v>
      </c>
      <c r="D33" s="1432" t="s">
        <v>674</v>
      </c>
      <c r="E33" s="1432"/>
      <c r="F33" s="1446"/>
      <c r="G33" s="1434"/>
      <c r="H33" s="1434"/>
      <c r="I33" s="1434"/>
      <c r="J33" s="1434"/>
      <c r="K33" s="1434"/>
      <c r="L33" s="1434"/>
      <c r="M33" s="1435"/>
      <c r="N33" s="1422">
        <v>0</v>
      </c>
      <c r="O33" s="1447"/>
    </row>
    <row r="34" spans="2:15" ht="3.75" customHeight="1" x14ac:dyDescent="0.25">
      <c r="B34" s="1428"/>
      <c r="C34" s="1213"/>
      <c r="D34" s="698"/>
      <c r="E34" s="698"/>
      <c r="F34" s="1214"/>
      <c r="G34" s="698"/>
      <c r="H34" s="698"/>
      <c r="I34" s="698"/>
      <c r="J34" s="698"/>
      <c r="K34" s="698"/>
      <c r="L34" s="698"/>
      <c r="M34" s="698"/>
      <c r="N34" s="698"/>
      <c r="O34" s="1429"/>
    </row>
    <row r="35" spans="2:15" ht="30" customHeight="1" x14ac:dyDescent="0.25">
      <c r="B35" s="1428"/>
      <c r="C35" s="1213"/>
      <c r="D35" s="2378" t="s">
        <v>567</v>
      </c>
      <c r="E35" s="2378"/>
      <c r="F35" s="2378"/>
      <c r="G35" s="2378"/>
      <c r="H35" s="2378"/>
      <c r="I35" s="2378"/>
      <c r="J35" s="2378"/>
      <c r="K35" s="2378"/>
      <c r="L35" s="2378"/>
      <c r="M35" s="2378"/>
      <c r="N35" s="1448"/>
      <c r="O35" s="1449"/>
    </row>
    <row r="36" spans="2:15" ht="7.5" customHeight="1" x14ac:dyDescent="0.25">
      <c r="B36" s="1428"/>
      <c r="C36" s="1213"/>
      <c r="D36" s="1213"/>
      <c r="E36" s="1213"/>
      <c r="F36" s="1448"/>
      <c r="G36" s="1448"/>
      <c r="H36" s="1448"/>
      <c r="I36" s="1448"/>
      <c r="J36" s="1214" t="s">
        <v>335</v>
      </c>
      <c r="K36" s="1448"/>
      <c r="L36" s="1448"/>
      <c r="M36" s="1448"/>
      <c r="N36" s="1448"/>
      <c r="O36" s="1449"/>
    </row>
    <row r="37" spans="2:15" x14ac:dyDescent="0.25">
      <c r="B37" s="1428"/>
      <c r="C37" s="1213"/>
      <c r="D37" s="820"/>
      <c r="E37" s="402" t="s">
        <v>700</v>
      </c>
      <c r="F37" s="1213"/>
      <c r="G37" s="1436"/>
      <c r="H37" s="1436"/>
      <c r="I37" s="1436"/>
      <c r="J37" s="1436"/>
      <c r="K37" s="1436"/>
      <c r="L37" s="1213"/>
      <c r="M37" s="1213"/>
      <c r="N37" s="1213"/>
      <c r="O37" s="1429"/>
    </row>
    <row r="38" spans="2:15" x14ac:dyDescent="0.25">
      <c r="B38" s="1428"/>
      <c r="C38" s="1213"/>
      <c r="D38" s="1213"/>
      <c r="E38" s="1213"/>
      <c r="F38" s="2379"/>
      <c r="G38" s="2379"/>
      <c r="H38" s="2379"/>
      <c r="I38" s="2379"/>
      <c r="J38" s="2379"/>
      <c r="K38" s="2379"/>
      <c r="L38" s="2379"/>
      <c r="M38" s="2379"/>
      <c r="N38" s="1436"/>
      <c r="O38" s="1429"/>
    </row>
    <row r="39" spans="2:15" x14ac:dyDescent="0.25">
      <c r="B39" s="1428"/>
      <c r="C39" s="1213"/>
      <c r="D39" s="1213"/>
      <c r="E39" s="1213"/>
      <c r="F39" s="1450"/>
      <c r="G39" s="1450"/>
      <c r="H39" s="1450"/>
      <c r="I39" s="1450"/>
      <c r="J39" s="1450"/>
      <c r="K39" s="1450"/>
      <c r="L39" s="1450"/>
      <c r="M39" s="1450"/>
      <c r="N39" s="1450"/>
      <c r="O39" s="1429"/>
    </row>
    <row r="40" spans="2:15" x14ac:dyDescent="0.25">
      <c r="B40" s="1428"/>
      <c r="C40" s="1213"/>
      <c r="D40" s="820"/>
      <c r="E40" s="402" t="s">
        <v>701</v>
      </c>
      <c r="F40" s="1213"/>
      <c r="G40" s="1436"/>
      <c r="H40" s="1436"/>
      <c r="I40" s="1436"/>
      <c r="J40" s="1436"/>
      <c r="K40" s="1436"/>
      <c r="L40" s="1213"/>
      <c r="M40" s="1213"/>
      <c r="N40" s="1213"/>
      <c r="O40" s="1429"/>
    </row>
    <row r="41" spans="2:15" x14ac:dyDescent="0.25">
      <c r="B41" s="1428"/>
      <c r="C41" s="1213"/>
      <c r="D41" s="1213"/>
      <c r="E41" s="1213"/>
      <c r="F41" s="2379"/>
      <c r="G41" s="2379"/>
      <c r="H41" s="2379"/>
      <c r="I41" s="2379"/>
      <c r="J41" s="2379"/>
      <c r="K41" s="2379"/>
      <c r="L41" s="2379"/>
      <c r="M41" s="2379"/>
      <c r="N41" s="1436"/>
      <c r="O41" s="1429"/>
    </row>
    <row r="42" spans="2:15" ht="7.5" customHeight="1" x14ac:dyDescent="0.25">
      <c r="B42" s="1428"/>
      <c r="C42" s="1213"/>
      <c r="D42" s="1213"/>
      <c r="E42" s="1213"/>
      <c r="F42" s="1451"/>
      <c r="G42" s="1452"/>
      <c r="H42" s="1452"/>
      <c r="I42" s="1452"/>
      <c r="J42" s="1452"/>
      <c r="K42" s="1452"/>
      <c r="L42" s="1451"/>
      <c r="M42" s="1451"/>
      <c r="N42" s="1451"/>
      <c r="O42" s="1429"/>
    </row>
    <row r="43" spans="2:15" x14ac:dyDescent="0.25">
      <c r="B43" s="1428"/>
      <c r="C43" s="1213"/>
      <c r="D43" s="1213"/>
      <c r="E43" s="1213"/>
      <c r="F43" s="2379"/>
      <c r="G43" s="2379"/>
      <c r="H43" s="2379"/>
      <c r="I43" s="2379"/>
      <c r="J43" s="2379"/>
      <c r="K43" s="2379"/>
      <c r="L43" s="2379"/>
      <c r="M43" s="2379"/>
      <c r="N43" s="1436"/>
      <c r="O43" s="1429"/>
    </row>
    <row r="44" spans="2:15" x14ac:dyDescent="0.25">
      <c r="B44" s="1428"/>
      <c r="C44" s="1213"/>
      <c r="D44" s="1213"/>
      <c r="E44" s="1213"/>
      <c r="F44" s="1450"/>
      <c r="G44" s="1450"/>
      <c r="H44" s="1213"/>
      <c r="I44" s="1450"/>
      <c r="J44" s="1450"/>
      <c r="K44" s="1450"/>
      <c r="L44" s="1450"/>
      <c r="M44" s="1453"/>
      <c r="N44" s="1450"/>
      <c r="O44" s="1429"/>
    </row>
    <row r="45" spans="2:15" x14ac:dyDescent="0.25">
      <c r="B45" s="1428"/>
      <c r="C45" s="258">
        <v>4</v>
      </c>
      <c r="D45" s="1432" t="s">
        <v>675</v>
      </c>
      <c r="E45" s="1432"/>
      <c r="F45" s="1433"/>
      <c r="G45" s="1434"/>
      <c r="H45" s="1434"/>
      <c r="I45" s="1434"/>
      <c r="J45" s="1434"/>
      <c r="K45" s="1434"/>
      <c r="L45" s="1434"/>
      <c r="M45" s="1435"/>
      <c r="N45" s="1422">
        <v>0</v>
      </c>
      <c r="O45" s="1429"/>
    </row>
    <row r="46" spans="2:15" ht="3.75" customHeight="1" x14ac:dyDescent="0.25">
      <c r="B46" s="1428"/>
      <c r="C46" s="1213"/>
      <c r="D46" s="698"/>
      <c r="E46" s="698"/>
      <c r="F46" s="1214"/>
      <c r="G46" s="698"/>
      <c r="H46" s="698"/>
      <c r="I46" s="698"/>
      <c r="J46" s="698"/>
      <c r="K46" s="698"/>
      <c r="L46" s="698"/>
      <c r="M46" s="1442"/>
      <c r="N46" s="698"/>
      <c r="O46" s="1429"/>
    </row>
    <row r="47" spans="2:15" ht="30" customHeight="1" x14ac:dyDescent="0.25">
      <c r="B47" s="1428"/>
      <c r="C47" s="1213"/>
      <c r="D47" s="2378" t="s">
        <v>568</v>
      </c>
      <c r="E47" s="2378"/>
      <c r="F47" s="2378"/>
      <c r="G47" s="2378"/>
      <c r="H47" s="2378"/>
      <c r="I47" s="2378"/>
      <c r="J47" s="2378"/>
      <c r="K47" s="2378"/>
      <c r="L47" s="2378"/>
      <c r="M47" s="2378"/>
      <c r="N47" s="1448"/>
      <c r="O47" s="1429"/>
    </row>
    <row r="48" spans="2:15" x14ac:dyDescent="0.25">
      <c r="B48" s="1428"/>
      <c r="C48" s="1213"/>
      <c r="D48" s="1213"/>
      <c r="E48" s="1213"/>
      <c r="F48" s="1213"/>
      <c r="G48" s="1213"/>
      <c r="H48" s="1450"/>
      <c r="I48" s="1450"/>
      <c r="J48" s="1450"/>
      <c r="K48" s="1450"/>
      <c r="L48" s="1450"/>
      <c r="M48" s="1450"/>
      <c r="N48" s="1213"/>
      <c r="O48" s="1429"/>
    </row>
    <row r="49" spans="2:15" x14ac:dyDescent="0.25">
      <c r="B49" s="1428"/>
      <c r="C49" s="258">
        <v>5</v>
      </c>
      <c r="D49" s="1432" t="s">
        <v>676</v>
      </c>
      <c r="E49" s="1432"/>
      <c r="F49" s="1433"/>
      <c r="G49" s="1434"/>
      <c r="H49" s="1434"/>
      <c r="I49" s="1434"/>
      <c r="J49" s="1434"/>
      <c r="K49" s="1434"/>
      <c r="L49" s="1434"/>
      <c r="M49" s="1435"/>
      <c r="N49" s="1422">
        <v>0</v>
      </c>
      <c r="O49" s="1429"/>
    </row>
    <row r="50" spans="2:15" ht="3.75" customHeight="1" x14ac:dyDescent="0.25">
      <c r="B50" s="1428"/>
      <c r="C50" s="1213"/>
      <c r="D50" s="698"/>
      <c r="E50" s="698"/>
      <c r="F50" s="1214"/>
      <c r="G50" s="698"/>
      <c r="H50" s="698"/>
      <c r="I50" s="698"/>
      <c r="J50" s="698"/>
      <c r="K50" s="698"/>
      <c r="L50" s="698"/>
      <c r="M50" s="1442"/>
      <c r="N50" s="698"/>
      <c r="O50" s="1429"/>
    </row>
    <row r="51" spans="2:15" ht="15" customHeight="1" x14ac:dyDescent="0.25">
      <c r="B51" s="1428"/>
      <c r="C51" s="1213"/>
      <c r="D51" s="2378" t="s">
        <v>569</v>
      </c>
      <c r="E51" s="2378"/>
      <c r="F51" s="2378"/>
      <c r="G51" s="2378"/>
      <c r="H51" s="2378"/>
      <c r="I51" s="2378"/>
      <c r="J51" s="2378"/>
      <c r="K51" s="2378"/>
      <c r="L51" s="2378"/>
      <c r="M51" s="2378"/>
      <c r="N51" s="1448"/>
      <c r="O51" s="1429"/>
    </row>
    <row r="52" spans="2:15" ht="7.5" customHeight="1" x14ac:dyDescent="0.25">
      <c r="B52" s="1428"/>
      <c r="C52" s="1213"/>
      <c r="D52" s="1214"/>
      <c r="E52" s="1214"/>
      <c r="F52" s="1213"/>
      <c r="G52" s="1213"/>
      <c r="H52" s="1213"/>
      <c r="I52" s="1213"/>
      <c r="J52" s="1213"/>
      <c r="K52" s="1213"/>
      <c r="L52" s="1213"/>
      <c r="M52" s="1213"/>
      <c r="N52" s="1213"/>
      <c r="O52" s="1429"/>
    </row>
    <row r="53" spans="2:15" x14ac:dyDescent="0.25">
      <c r="B53" s="1428"/>
      <c r="C53" s="1213"/>
      <c r="D53" s="1213"/>
      <c r="E53" s="820"/>
      <c r="F53" s="1454" t="s">
        <v>570</v>
      </c>
      <c r="G53" s="1213"/>
      <c r="H53" s="1213"/>
      <c r="I53" s="1213"/>
      <c r="J53" s="1213"/>
      <c r="K53" s="1213"/>
      <c r="L53" s="1213"/>
      <c r="M53" s="1213"/>
      <c r="N53" s="1213"/>
      <c r="O53" s="1429"/>
    </row>
    <row r="54" spans="2:15" x14ac:dyDescent="0.25">
      <c r="B54" s="1428"/>
      <c r="C54" s="1213"/>
      <c r="D54" s="1213"/>
      <c r="E54" s="1213"/>
      <c r="F54" s="1441" t="s">
        <v>571</v>
      </c>
      <c r="G54" s="1213"/>
      <c r="H54" s="1213"/>
      <c r="I54" s="1213"/>
      <c r="J54" s="2381"/>
      <c r="K54" s="2381"/>
      <c r="L54" s="2381"/>
      <c r="M54" s="2381"/>
      <c r="N54" s="1213"/>
      <c r="O54" s="1429"/>
    </row>
    <row r="55" spans="2:15" x14ac:dyDescent="0.25">
      <c r="B55" s="1428"/>
      <c r="C55" s="1213"/>
      <c r="D55" s="1213"/>
      <c r="E55" s="1213"/>
      <c r="F55" s="1441" t="s">
        <v>572</v>
      </c>
      <c r="G55" s="1213"/>
      <c r="H55" s="1213"/>
      <c r="I55" s="1455"/>
      <c r="J55" s="2382">
        <v>0</v>
      </c>
      <c r="K55" s="2382"/>
      <c r="L55" s="2382"/>
      <c r="M55" s="2382"/>
      <c r="N55" s="1213"/>
      <c r="O55" s="1429"/>
    </row>
    <row r="56" spans="2:15" x14ac:dyDescent="0.25">
      <c r="B56" s="1428"/>
      <c r="C56" s="1213"/>
      <c r="D56" s="1213"/>
      <c r="E56" s="1213"/>
      <c r="F56" s="1441" t="s">
        <v>1070</v>
      </c>
      <c r="G56" s="1213"/>
      <c r="H56" s="1456"/>
      <c r="I56" s="1455"/>
      <c r="J56" s="2383">
        <f>'6A'!K118</f>
        <v>30049851.607999999</v>
      </c>
      <c r="K56" s="2383"/>
      <c r="L56" s="2383"/>
      <c r="M56" s="2383"/>
      <c r="N56" s="1213"/>
      <c r="O56" s="1429"/>
    </row>
    <row r="57" spans="2:15" x14ac:dyDescent="0.25">
      <c r="B57" s="1428"/>
      <c r="C57" s="1213"/>
      <c r="D57" s="1213"/>
      <c r="E57" s="1213"/>
      <c r="F57" s="1441" t="s">
        <v>573</v>
      </c>
      <c r="G57" s="1213"/>
      <c r="H57" s="1456"/>
      <c r="I57" s="1455"/>
      <c r="J57" s="2385">
        <f>IFERROR(J55/J56,"0%")</f>
        <v>0</v>
      </c>
      <c r="K57" s="2385"/>
      <c r="L57" s="2385"/>
      <c r="M57" s="2385"/>
      <c r="N57" s="1213"/>
      <c r="O57" s="1429"/>
    </row>
    <row r="58" spans="2:15" x14ac:dyDescent="0.25">
      <c r="B58" s="1428"/>
      <c r="C58" s="1213"/>
      <c r="D58" s="1213"/>
      <c r="E58" s="1213"/>
      <c r="F58" s="1213"/>
      <c r="G58" s="1213"/>
      <c r="H58" s="1213"/>
      <c r="I58" s="1213"/>
      <c r="J58" s="1213"/>
      <c r="K58" s="1213"/>
      <c r="L58" s="1213"/>
      <c r="M58" s="1213"/>
      <c r="N58" s="1213"/>
      <c r="O58" s="1429"/>
    </row>
    <row r="59" spans="2:15" x14ac:dyDescent="0.25">
      <c r="B59" s="1428"/>
      <c r="C59" s="258">
        <v>6</v>
      </c>
      <c r="D59" s="1432" t="s">
        <v>677</v>
      </c>
      <c r="E59" s="1432"/>
      <c r="F59" s="1433"/>
      <c r="G59" s="1434"/>
      <c r="H59" s="1434"/>
      <c r="I59" s="1434"/>
      <c r="J59" s="1434"/>
      <c r="K59" s="1434"/>
      <c r="L59" s="1434"/>
      <c r="M59" s="1435"/>
      <c r="N59" s="1424">
        <v>0</v>
      </c>
      <c r="O59" s="1429"/>
    </row>
    <row r="60" spans="2:15" ht="3.75" customHeight="1" x14ac:dyDescent="0.25">
      <c r="B60" s="1428"/>
      <c r="C60" s="1213"/>
      <c r="D60" s="698"/>
      <c r="E60" s="698"/>
      <c r="F60" s="1214"/>
      <c r="G60" s="698"/>
      <c r="H60" s="698"/>
      <c r="I60" s="698"/>
      <c r="J60" s="698"/>
      <c r="K60" s="698"/>
      <c r="L60" s="698"/>
      <c r="M60" s="1442"/>
      <c r="N60" s="698"/>
      <c r="O60" s="1429"/>
    </row>
    <row r="61" spans="2:15" ht="30" customHeight="1" x14ac:dyDescent="0.25">
      <c r="B61" s="1428"/>
      <c r="C61" s="1213"/>
      <c r="D61" s="2378" t="s">
        <v>574</v>
      </c>
      <c r="E61" s="2378"/>
      <c r="F61" s="2378"/>
      <c r="G61" s="2378"/>
      <c r="H61" s="2378"/>
      <c r="I61" s="2378"/>
      <c r="J61" s="2378"/>
      <c r="K61" s="2378"/>
      <c r="L61" s="2378"/>
      <c r="M61" s="2378"/>
      <c r="N61" s="1448"/>
      <c r="O61" s="1429"/>
    </row>
    <row r="62" spans="2:15" ht="7.5" customHeight="1" x14ac:dyDescent="0.25">
      <c r="B62" s="1428"/>
      <c r="C62" s="1213"/>
      <c r="D62" s="1214"/>
      <c r="E62" s="1214"/>
      <c r="F62" s="1213"/>
      <c r="G62" s="1213"/>
      <c r="H62" s="1213"/>
      <c r="I62" s="1213"/>
      <c r="J62" s="1213"/>
      <c r="K62" s="1213"/>
      <c r="L62" s="1213"/>
      <c r="M62" s="1213"/>
      <c r="N62" s="1213"/>
      <c r="O62" s="1429"/>
    </row>
    <row r="63" spans="2:15" x14ac:dyDescent="0.25">
      <c r="B63" s="1428"/>
      <c r="C63" s="1213"/>
      <c r="D63" s="1213"/>
      <c r="E63" s="1213"/>
      <c r="F63" s="1441" t="s">
        <v>575</v>
      </c>
      <c r="G63" s="1213"/>
      <c r="H63" s="1213"/>
      <c r="I63" s="2381"/>
      <c r="J63" s="2381"/>
      <c r="K63" s="2381"/>
      <c r="L63" s="2381"/>
      <c r="M63" s="2381"/>
      <c r="N63" s="1213"/>
      <c r="O63" s="1429"/>
    </row>
    <row r="64" spans="2:15" x14ac:dyDescent="0.25">
      <c r="B64" s="1428"/>
      <c r="C64" s="1213"/>
      <c r="D64" s="1213"/>
      <c r="E64" s="1213"/>
      <c r="F64" s="1441" t="s">
        <v>576</v>
      </c>
      <c r="G64" s="1213"/>
      <c r="H64" s="1213"/>
      <c r="I64" s="1455"/>
      <c r="J64" s="1213"/>
      <c r="K64" s="1455"/>
      <c r="L64" s="1213"/>
      <c r="M64" s="1737">
        <v>0</v>
      </c>
      <c r="N64" s="1213"/>
      <c r="O64" s="1429"/>
    </row>
    <row r="65" spans="2:16" x14ac:dyDescent="0.25">
      <c r="B65" s="1428"/>
      <c r="C65" s="1441"/>
      <c r="D65" s="1441"/>
      <c r="E65" s="1441"/>
      <c r="F65" s="1441"/>
      <c r="G65" s="1441"/>
      <c r="H65" s="1441"/>
      <c r="I65" s="1455"/>
      <c r="J65" s="1441"/>
      <c r="K65" s="1455"/>
      <c r="L65" s="1457"/>
      <c r="M65" s="1441"/>
      <c r="N65" s="1441"/>
      <c r="O65" s="1429"/>
    </row>
    <row r="66" spans="2:16" x14ac:dyDescent="0.25">
      <c r="B66" s="1428"/>
      <c r="C66" s="258">
        <v>7</v>
      </c>
      <c r="D66" s="1432" t="s">
        <v>678</v>
      </c>
      <c r="E66" s="1432"/>
      <c r="F66" s="1433"/>
      <c r="G66" s="1434"/>
      <c r="H66" s="1434"/>
      <c r="I66" s="1434"/>
      <c r="J66" s="1434"/>
      <c r="K66" s="1434"/>
      <c r="L66" s="1434"/>
      <c r="M66" s="1435"/>
      <c r="N66" s="1424">
        <v>0</v>
      </c>
      <c r="O66" s="1429"/>
    </row>
    <row r="67" spans="2:16" ht="3.75" customHeight="1" x14ac:dyDescent="0.25">
      <c r="B67" s="1428"/>
      <c r="C67" s="1213"/>
      <c r="D67" s="698"/>
      <c r="E67" s="698"/>
      <c r="F67" s="1214"/>
      <c r="G67" s="698"/>
      <c r="H67" s="698"/>
      <c r="I67" s="698"/>
      <c r="J67" s="698"/>
      <c r="K67" s="698"/>
      <c r="L67" s="698"/>
      <c r="M67" s="1442"/>
      <c r="N67" s="698"/>
      <c r="O67" s="1429"/>
    </row>
    <row r="68" spans="2:16" x14ac:dyDescent="0.25">
      <c r="B68" s="1428"/>
      <c r="C68" s="1213"/>
      <c r="D68" s="2378" t="s">
        <v>577</v>
      </c>
      <c r="E68" s="2378"/>
      <c r="F68" s="2378"/>
      <c r="G68" s="2378"/>
      <c r="H68" s="2378"/>
      <c r="I68" s="2378"/>
      <c r="J68" s="2378"/>
      <c r="K68" s="2378"/>
      <c r="L68" s="2378"/>
      <c r="M68" s="2378"/>
      <c r="N68" s="1213"/>
      <c r="O68" s="1429"/>
    </row>
    <row r="69" spans="2:16" ht="7.5" customHeight="1" x14ac:dyDescent="0.25">
      <c r="B69" s="1428"/>
      <c r="C69" s="1213"/>
      <c r="D69" s="1214"/>
      <c r="E69" s="1214"/>
      <c r="F69" s="1213"/>
      <c r="G69" s="1213"/>
      <c r="H69" s="1213"/>
      <c r="I69" s="1213"/>
      <c r="J69" s="1213"/>
      <c r="K69" s="1213"/>
      <c r="L69" s="1213"/>
      <c r="M69" s="1213"/>
      <c r="N69" s="1213"/>
      <c r="O69" s="1429"/>
    </row>
    <row r="70" spans="2:16" x14ac:dyDescent="0.25">
      <c r="B70" s="1428"/>
      <c r="C70" s="1213"/>
      <c r="D70" s="1213"/>
      <c r="E70" s="1213"/>
      <c r="F70" s="1441" t="s">
        <v>578</v>
      </c>
      <c r="G70" s="1213"/>
      <c r="H70" s="1213"/>
      <c r="I70" s="1213"/>
      <c r="J70" s="2381" t="s">
        <v>579</v>
      </c>
      <c r="K70" s="2381"/>
      <c r="L70" s="2381"/>
      <c r="M70" s="2381"/>
      <c r="N70" s="1213"/>
      <c r="O70" s="1429"/>
    </row>
    <row r="71" spans="2:16" x14ac:dyDescent="0.25">
      <c r="B71" s="1428"/>
      <c r="C71" s="1441"/>
      <c r="D71" s="1441"/>
      <c r="E71" s="1441"/>
      <c r="F71" s="1441" t="s">
        <v>580</v>
      </c>
      <c r="G71" s="1441"/>
      <c r="H71" s="1441"/>
      <c r="I71" s="1455"/>
      <c r="J71" s="2380" t="s">
        <v>581</v>
      </c>
      <c r="K71" s="2380"/>
      <c r="L71" s="2380"/>
      <c r="M71" s="2380"/>
      <c r="N71" s="1441"/>
      <c r="O71" s="1429"/>
    </row>
    <row r="72" spans="2:16" ht="15.75" thickBot="1" x14ac:dyDescent="0.3">
      <c r="B72" s="1458"/>
      <c r="C72" s="1459"/>
      <c r="D72" s="1459"/>
      <c r="E72" s="1459"/>
      <c r="F72" s="1459"/>
      <c r="G72" s="1459"/>
      <c r="H72" s="1459"/>
      <c r="I72" s="1460"/>
      <c r="J72" s="1459"/>
      <c r="K72" s="1460"/>
      <c r="L72" s="1461"/>
      <c r="M72" s="1459"/>
      <c r="N72" s="1462"/>
      <c r="O72" s="1463"/>
    </row>
    <row r="73" spans="2:16" x14ac:dyDescent="0.25">
      <c r="B73" s="1425"/>
      <c r="C73" s="1426"/>
      <c r="D73" s="1426"/>
      <c r="E73" s="1426"/>
      <c r="F73" s="1426"/>
      <c r="G73" s="1426"/>
      <c r="H73" s="1426"/>
      <c r="I73" s="1426"/>
      <c r="J73" s="1426"/>
      <c r="K73" s="1426"/>
      <c r="L73" s="1426"/>
      <c r="M73" s="1426"/>
      <c r="N73" s="1426"/>
      <c r="O73" s="1427"/>
    </row>
    <row r="74" spans="2:16" ht="18.75" x14ac:dyDescent="0.3">
      <c r="B74" s="1428"/>
      <c r="C74" s="1653" t="s">
        <v>1078</v>
      </c>
      <c r="D74" s="1736"/>
      <c r="E74" s="1736"/>
      <c r="F74" s="1736"/>
      <c r="G74" s="1736"/>
      <c r="H74" s="1736"/>
      <c r="I74" s="1736"/>
      <c r="J74" s="1736"/>
      <c r="K74" s="1736"/>
      <c r="L74" s="1736"/>
      <c r="M74" s="1736"/>
      <c r="N74" s="1736"/>
      <c r="O74" s="1429"/>
    </row>
    <row r="75" spans="2:16" x14ac:dyDescent="0.25">
      <c r="B75" s="1428"/>
      <c r="C75" s="1158"/>
      <c r="D75" s="1158"/>
      <c r="E75" s="1158"/>
      <c r="F75" s="1158"/>
      <c r="G75" s="1158"/>
      <c r="H75" s="1158"/>
      <c r="I75" s="1158"/>
      <c r="J75" s="1158"/>
      <c r="K75" s="1158"/>
      <c r="L75" s="1158"/>
      <c r="M75" s="1158"/>
      <c r="N75" s="1158"/>
      <c r="O75" s="1429"/>
    </row>
    <row r="76" spans="2:16" x14ac:dyDescent="0.25">
      <c r="B76" s="1428"/>
      <c r="C76" s="820"/>
      <c r="D76" s="1315" t="s">
        <v>339</v>
      </c>
      <c r="E76" s="1128"/>
      <c r="F76" s="1128"/>
      <c r="G76" s="1127" t="str">
        <f>IF('1A'!G65="","Enter Project Name on Form 1A",'1A'!G65)</f>
        <v>Enter Project Name on Form 1A</v>
      </c>
      <c r="H76" s="1127"/>
      <c r="I76" s="1127"/>
      <c r="J76" s="1127"/>
      <c r="K76" s="1127"/>
      <c r="L76" s="1127"/>
      <c r="M76" s="1127"/>
      <c r="N76" s="1158"/>
      <c r="O76" s="1429"/>
    </row>
    <row r="77" spans="2:16" ht="30" customHeight="1" x14ac:dyDescent="0.25">
      <c r="B77" s="1428"/>
      <c r="C77" s="1213"/>
      <c r="D77" s="1213"/>
      <c r="E77" s="1213"/>
      <c r="F77" s="1213"/>
      <c r="G77" s="820"/>
      <c r="H77" s="1213"/>
      <c r="I77" s="1213"/>
      <c r="J77" s="1213"/>
      <c r="K77" s="1213"/>
      <c r="L77" s="1213"/>
      <c r="M77" s="1430"/>
      <c r="N77" s="1431" t="s">
        <v>557</v>
      </c>
      <c r="O77" s="1429"/>
      <c r="P77" s="401"/>
    </row>
    <row r="78" spans="2:16" x14ac:dyDescent="0.25">
      <c r="B78" s="1428"/>
      <c r="C78" s="258">
        <v>8</v>
      </c>
      <c r="D78" s="1432" t="s">
        <v>679</v>
      </c>
      <c r="E78" s="1432"/>
      <c r="F78" s="1433"/>
      <c r="G78" s="1434"/>
      <c r="H78" s="1434"/>
      <c r="I78" s="1434"/>
      <c r="J78" s="1434"/>
      <c r="K78" s="1434"/>
      <c r="L78" s="1434"/>
      <c r="M78" s="1435"/>
      <c r="N78" s="1424">
        <v>0</v>
      </c>
      <c r="O78" s="1429"/>
    </row>
    <row r="79" spans="2:16" ht="3.75" customHeight="1" x14ac:dyDescent="0.25">
      <c r="B79" s="1428"/>
      <c r="C79" s="1213"/>
      <c r="D79" s="698"/>
      <c r="E79" s="698"/>
      <c r="F79" s="1213"/>
      <c r="G79" s="698"/>
      <c r="H79" s="698"/>
      <c r="I79" s="698"/>
      <c r="J79" s="698"/>
      <c r="K79" s="698"/>
      <c r="L79" s="698"/>
      <c r="M79" s="1442"/>
      <c r="N79" s="698"/>
      <c r="O79" s="1429"/>
    </row>
    <row r="80" spans="2:16" x14ac:dyDescent="0.25">
      <c r="B80" s="1428"/>
      <c r="C80" s="1213"/>
      <c r="D80" s="2378" t="s">
        <v>582</v>
      </c>
      <c r="E80" s="2378"/>
      <c r="F80" s="2378"/>
      <c r="G80" s="2378"/>
      <c r="H80" s="2378"/>
      <c r="I80" s="2378"/>
      <c r="J80" s="2378"/>
      <c r="K80" s="2378"/>
      <c r="L80" s="2378"/>
      <c r="M80" s="2378"/>
      <c r="N80" s="1213"/>
      <c r="O80" s="1429"/>
    </row>
    <row r="81" spans="2:15" ht="7.5" customHeight="1" x14ac:dyDescent="0.25">
      <c r="B81" s="1428"/>
      <c r="C81" s="1213"/>
      <c r="D81" s="1214"/>
      <c r="E81" s="1214"/>
      <c r="F81" s="1213"/>
      <c r="G81" s="1213"/>
      <c r="H81" s="1213"/>
      <c r="I81" s="1213"/>
      <c r="J81" s="1213"/>
      <c r="K81" s="1213"/>
      <c r="L81" s="1213"/>
      <c r="M81" s="1213"/>
      <c r="N81" s="1213"/>
      <c r="O81" s="1429"/>
    </row>
    <row r="82" spans="2:15" x14ac:dyDescent="0.25">
      <c r="B82" s="1428"/>
      <c r="C82" s="1213"/>
      <c r="D82" s="1213"/>
      <c r="E82" s="1213"/>
      <c r="F82" s="2384"/>
      <c r="G82" s="2384"/>
      <c r="H82" s="1213"/>
      <c r="I82" s="1213"/>
      <c r="J82" s="1213"/>
      <c r="K82" s="1213"/>
      <c r="L82" s="1213"/>
      <c r="M82" s="1213"/>
      <c r="N82" s="1213"/>
      <c r="O82" s="1429"/>
    </row>
    <row r="83" spans="2:15" x14ac:dyDescent="0.25">
      <c r="B83" s="1428"/>
      <c r="C83" s="1213"/>
      <c r="D83" s="1213"/>
      <c r="E83" s="1213"/>
      <c r="F83" s="1213"/>
      <c r="G83" s="1213"/>
      <c r="H83" s="1213"/>
      <c r="I83" s="1213"/>
      <c r="J83" s="1213"/>
      <c r="K83" s="1213"/>
      <c r="L83" s="1213"/>
      <c r="M83" s="1213"/>
      <c r="N83" s="1213"/>
      <c r="O83" s="1429"/>
    </row>
    <row r="84" spans="2:15" x14ac:dyDescent="0.25">
      <c r="B84" s="1428"/>
      <c r="C84" s="258">
        <v>9</v>
      </c>
      <c r="D84" s="1432" t="s">
        <v>680</v>
      </c>
      <c r="E84" s="1432"/>
      <c r="F84" s="1433"/>
      <c r="G84" s="1434"/>
      <c r="H84" s="1434"/>
      <c r="I84" s="1434"/>
      <c r="J84" s="1434"/>
      <c r="K84" s="1434"/>
      <c r="L84" s="1434"/>
      <c r="M84" s="1435"/>
      <c r="N84" s="1424">
        <v>0</v>
      </c>
      <c r="O84" s="1429"/>
    </row>
    <row r="85" spans="2:15" ht="3.75" customHeight="1" x14ac:dyDescent="0.25">
      <c r="B85" s="1428"/>
      <c r="C85" s="1213"/>
      <c r="D85" s="1213"/>
      <c r="E85" s="1213"/>
      <c r="F85" s="1213"/>
      <c r="G85" s="1213"/>
      <c r="H85" s="1213"/>
      <c r="I85" s="1213"/>
      <c r="J85" s="1213"/>
      <c r="K85" s="1213"/>
      <c r="L85" s="1213"/>
      <c r="M85" s="1213"/>
      <c r="N85" s="1213"/>
      <c r="O85" s="1429"/>
    </row>
    <row r="86" spans="2:15" ht="30" customHeight="1" x14ac:dyDescent="0.25">
      <c r="B86" s="1428"/>
      <c r="C86" s="1213"/>
      <c r="D86" s="2378" t="s">
        <v>584</v>
      </c>
      <c r="E86" s="2378"/>
      <c r="F86" s="2378"/>
      <c r="G86" s="2378"/>
      <c r="H86" s="2378"/>
      <c r="I86" s="2378"/>
      <c r="J86" s="2378"/>
      <c r="K86" s="2378"/>
      <c r="L86" s="2378"/>
      <c r="M86" s="2378"/>
      <c r="N86" s="1448"/>
      <c r="O86" s="1429"/>
    </row>
    <row r="87" spans="2:15" ht="7.5" customHeight="1" x14ac:dyDescent="0.25">
      <c r="B87" s="1428"/>
      <c r="C87" s="1213"/>
      <c r="D87" s="1214"/>
      <c r="E87" s="1214"/>
      <c r="F87" s="1214"/>
      <c r="G87" s="1214"/>
      <c r="H87" s="1214"/>
      <c r="I87" s="1214"/>
      <c r="J87" s="1214"/>
      <c r="K87" s="1214"/>
      <c r="L87" s="1214"/>
      <c r="M87" s="1214"/>
      <c r="N87" s="1214"/>
      <c r="O87" s="1429"/>
    </row>
    <row r="88" spans="2:15" x14ac:dyDescent="0.25">
      <c r="B88" s="1428"/>
      <c r="C88" s="1213"/>
      <c r="D88" s="1213"/>
      <c r="E88" s="1454" t="s">
        <v>702</v>
      </c>
      <c r="F88" s="1213"/>
      <c r="G88" s="1213"/>
      <c r="H88" s="1213"/>
      <c r="I88" s="1213"/>
      <c r="J88" s="1213"/>
      <c r="K88" s="1213"/>
      <c r="L88" s="1213"/>
      <c r="M88" s="1213"/>
      <c r="N88" s="1213"/>
      <c r="O88" s="1429"/>
    </row>
    <row r="89" spans="2:15" x14ac:dyDescent="0.25">
      <c r="B89" s="1428"/>
      <c r="C89" s="1213"/>
      <c r="D89" s="1213"/>
      <c r="E89" s="1454"/>
      <c r="F89" s="1441" t="s">
        <v>585</v>
      </c>
      <c r="G89" s="1213"/>
      <c r="H89" s="1213"/>
      <c r="I89" s="1213"/>
      <c r="J89" s="2380" t="s">
        <v>586</v>
      </c>
      <c r="K89" s="2380"/>
      <c r="L89" s="2380"/>
      <c r="M89" s="2380"/>
      <c r="N89" s="1213"/>
      <c r="O89" s="1429"/>
    </row>
    <row r="90" spans="2:15" x14ac:dyDescent="0.25">
      <c r="B90" s="1428"/>
      <c r="C90" s="1213"/>
      <c r="D90" s="1213"/>
      <c r="E90" s="1213"/>
      <c r="F90" s="1441" t="s">
        <v>587</v>
      </c>
      <c r="G90" s="1213"/>
      <c r="H90" s="1213"/>
      <c r="I90" s="1455"/>
      <c r="J90" s="2380" t="s">
        <v>588</v>
      </c>
      <c r="K90" s="2380"/>
      <c r="L90" s="2380"/>
      <c r="M90" s="2380"/>
      <c r="N90" s="1213"/>
      <c r="O90" s="1429"/>
    </row>
    <row r="91" spans="2:15" x14ac:dyDescent="0.25">
      <c r="B91" s="1428"/>
      <c r="C91" s="1213"/>
      <c r="D91" s="1213"/>
      <c r="E91" s="1213"/>
      <c r="F91" s="1441" t="s">
        <v>589</v>
      </c>
      <c r="G91" s="1213"/>
      <c r="H91" s="1213"/>
      <c r="I91" s="1455"/>
      <c r="J91" s="2380" t="s">
        <v>590</v>
      </c>
      <c r="K91" s="2380"/>
      <c r="L91" s="2380"/>
      <c r="M91" s="2380"/>
      <c r="N91" s="1213"/>
      <c r="O91" s="1429"/>
    </row>
    <row r="92" spans="2:15" x14ac:dyDescent="0.25">
      <c r="B92" s="1428"/>
      <c r="C92" s="1213"/>
      <c r="D92" s="1213"/>
      <c r="E92" s="1213"/>
      <c r="F92" s="1441" t="s">
        <v>591</v>
      </c>
      <c r="G92" s="1213"/>
      <c r="H92" s="1213"/>
      <c r="I92" s="1455"/>
      <c r="J92" s="2380" t="s">
        <v>592</v>
      </c>
      <c r="K92" s="2380"/>
      <c r="L92" s="2380"/>
      <c r="M92" s="2380"/>
      <c r="N92" s="1213"/>
      <c r="O92" s="1429"/>
    </row>
    <row r="93" spans="2:15" x14ac:dyDescent="0.25">
      <c r="B93" s="1428"/>
      <c r="C93" s="1213"/>
      <c r="D93" s="1213"/>
      <c r="E93" s="1464"/>
      <c r="F93" s="1213"/>
      <c r="G93" s="1213"/>
      <c r="H93" s="1456"/>
      <c r="I93" s="1455"/>
      <c r="J93" s="1465"/>
      <c r="K93" s="1465"/>
      <c r="L93" s="1465"/>
      <c r="M93" s="1465"/>
      <c r="N93" s="1213"/>
      <c r="O93" s="1429"/>
    </row>
    <row r="94" spans="2:15" x14ac:dyDescent="0.25">
      <c r="B94" s="1428"/>
      <c r="C94" s="258">
        <v>10</v>
      </c>
      <c r="D94" s="1432" t="s">
        <v>681</v>
      </c>
      <c r="E94" s="1432"/>
      <c r="F94" s="1433"/>
      <c r="G94" s="1434"/>
      <c r="H94" s="1434"/>
      <c r="I94" s="1434"/>
      <c r="J94" s="1434"/>
      <c r="K94" s="1434"/>
      <c r="L94" s="1434"/>
      <c r="M94" s="1435"/>
      <c r="N94" s="1424">
        <v>0</v>
      </c>
      <c r="O94" s="1429"/>
    </row>
    <row r="95" spans="2:15" ht="3.75" customHeight="1" x14ac:dyDescent="0.25">
      <c r="B95" s="1428"/>
      <c r="C95" s="1213"/>
      <c r="D95" s="1213"/>
      <c r="E95" s="1213"/>
      <c r="F95" s="1213"/>
      <c r="G95" s="1213"/>
      <c r="H95" s="1213"/>
      <c r="I95" s="1213"/>
      <c r="J95" s="1213"/>
      <c r="K95" s="1213"/>
      <c r="L95" s="1213"/>
      <c r="M95" s="1213"/>
      <c r="N95" s="1213"/>
      <c r="O95" s="1429"/>
    </row>
    <row r="96" spans="2:15" ht="30" customHeight="1" x14ac:dyDescent="0.25">
      <c r="B96" s="1428"/>
      <c r="C96" s="1213"/>
      <c r="D96" s="2378" t="s">
        <v>682</v>
      </c>
      <c r="E96" s="2378"/>
      <c r="F96" s="2378"/>
      <c r="G96" s="2378"/>
      <c r="H96" s="2378"/>
      <c r="I96" s="2378"/>
      <c r="J96" s="2378"/>
      <c r="K96" s="2378"/>
      <c r="L96" s="2378"/>
      <c r="M96" s="2378"/>
      <c r="N96" s="1448"/>
      <c r="O96" s="1429"/>
    </row>
    <row r="97" spans="2:15" ht="7.5" customHeight="1" x14ac:dyDescent="0.25">
      <c r="B97" s="1428"/>
      <c r="C97" s="1213"/>
      <c r="D97" s="1214"/>
      <c r="E97" s="1213"/>
      <c r="F97" s="1213"/>
      <c r="G97" s="1213"/>
      <c r="H97" s="1213"/>
      <c r="I97" s="1213"/>
      <c r="J97" s="1213"/>
      <c r="K97" s="1213"/>
      <c r="L97" s="1213"/>
      <c r="M97" s="1213"/>
      <c r="N97" s="1213"/>
      <c r="O97" s="1429"/>
    </row>
    <row r="98" spans="2:15" x14ac:dyDescent="0.25">
      <c r="B98" s="1428"/>
      <c r="C98" s="1213"/>
      <c r="D98" s="1213"/>
      <c r="E98" s="1213"/>
      <c r="F98" s="2379"/>
      <c r="G98" s="2379"/>
      <c r="H98" s="2379"/>
      <c r="I98" s="2379"/>
      <c r="J98" s="2379"/>
      <c r="K98" s="2379"/>
      <c r="L98" s="2379"/>
      <c r="M98" s="2379"/>
      <c r="N98" s="1436"/>
      <c r="O98" s="1429"/>
    </row>
    <row r="99" spans="2:15" x14ac:dyDescent="0.25">
      <c r="B99" s="1428"/>
      <c r="C99" s="1213"/>
      <c r="D99" s="1213"/>
      <c r="E99" s="1213"/>
      <c r="F99" s="1213"/>
      <c r="G99" s="1213"/>
      <c r="H99" s="1213"/>
      <c r="I99" s="1213"/>
      <c r="J99" s="1213"/>
      <c r="K99" s="1213"/>
      <c r="L99" s="1213"/>
      <c r="M99" s="1213"/>
      <c r="N99" s="1213"/>
      <c r="O99" s="1429"/>
    </row>
    <row r="100" spans="2:15" x14ac:dyDescent="0.25">
      <c r="B100" s="1428"/>
      <c r="C100" s="258">
        <v>11</v>
      </c>
      <c r="D100" s="1432" t="s">
        <v>683</v>
      </c>
      <c r="E100" s="1432"/>
      <c r="F100" s="1433"/>
      <c r="G100" s="1434"/>
      <c r="H100" s="1434"/>
      <c r="I100" s="1434"/>
      <c r="J100" s="1434"/>
      <c r="K100" s="1434"/>
      <c r="L100" s="1434"/>
      <c r="M100" s="1435"/>
      <c r="N100" s="1424">
        <v>0</v>
      </c>
      <c r="O100" s="1429"/>
    </row>
    <row r="101" spans="2:15" ht="3.75" customHeight="1" x14ac:dyDescent="0.25">
      <c r="B101" s="1428"/>
      <c r="C101" s="1213"/>
      <c r="D101" s="698"/>
      <c r="E101" s="698"/>
      <c r="F101" s="1214"/>
      <c r="G101" s="698"/>
      <c r="H101" s="698"/>
      <c r="I101" s="698"/>
      <c r="J101" s="698"/>
      <c r="K101" s="698"/>
      <c r="L101" s="698"/>
      <c r="M101" s="1442"/>
      <c r="N101" s="698"/>
      <c r="O101" s="1429"/>
    </row>
    <row r="102" spans="2:15" ht="30" customHeight="1" x14ac:dyDescent="0.25">
      <c r="B102" s="1428"/>
      <c r="C102" s="1213"/>
      <c r="D102" s="2378" t="s">
        <v>593</v>
      </c>
      <c r="E102" s="2378"/>
      <c r="F102" s="2378"/>
      <c r="G102" s="2378"/>
      <c r="H102" s="2378"/>
      <c r="I102" s="2378"/>
      <c r="J102" s="2378"/>
      <c r="K102" s="2378"/>
      <c r="L102" s="2378"/>
      <c r="M102" s="2378"/>
      <c r="N102" s="1448"/>
      <c r="O102" s="1429"/>
    </row>
    <row r="103" spans="2:15" ht="7.5" customHeight="1" x14ac:dyDescent="0.25">
      <c r="B103" s="1428"/>
      <c r="C103" s="1213"/>
      <c r="D103" s="1448"/>
      <c r="E103" s="1448"/>
      <c r="F103" s="1448"/>
      <c r="G103" s="1448"/>
      <c r="H103" s="1448"/>
      <c r="I103" s="1448"/>
      <c r="J103" s="1448"/>
      <c r="K103" s="1448"/>
      <c r="L103" s="1448"/>
      <c r="M103" s="1448"/>
      <c r="N103" s="1448"/>
      <c r="O103" s="1429"/>
    </row>
    <row r="104" spans="2:15" x14ac:dyDescent="0.25">
      <c r="B104" s="1428"/>
      <c r="C104" s="1213"/>
      <c r="D104" s="1448"/>
      <c r="E104" s="1448"/>
      <c r="F104" s="1128" t="s">
        <v>594</v>
      </c>
      <c r="G104" s="1448"/>
      <c r="H104" s="2377"/>
      <c r="I104" s="2377"/>
      <c r="J104" s="2377"/>
      <c r="K104" s="1450"/>
      <c r="L104" s="1450"/>
      <c r="M104" s="1448"/>
      <c r="N104" s="1448"/>
      <c r="O104" s="1429"/>
    </row>
    <row r="105" spans="2:15" x14ac:dyDescent="0.25">
      <c r="B105" s="1428"/>
      <c r="C105" s="1213"/>
      <c r="D105" s="1464"/>
      <c r="E105" s="1464" t="s">
        <v>595</v>
      </c>
      <c r="F105" s="1213"/>
      <c r="G105" s="1213"/>
      <c r="H105" s="1213"/>
      <c r="I105" s="1213"/>
      <c r="J105" s="1213"/>
      <c r="K105" s="698"/>
      <c r="L105" s="1466"/>
      <c r="M105" s="1442"/>
      <c r="N105" s="698"/>
      <c r="O105" s="1429"/>
    </row>
    <row r="106" spans="2:15" x14ac:dyDescent="0.25">
      <c r="B106" s="1428"/>
      <c r="C106" s="1213"/>
      <c r="D106" s="698"/>
      <c r="E106" s="698"/>
      <c r="F106" s="1450"/>
      <c r="G106" s="1450"/>
      <c r="H106" s="1450"/>
      <c r="I106" s="1450"/>
      <c r="J106" s="1450"/>
      <c r="K106" s="698"/>
      <c r="L106" s="1466"/>
      <c r="M106" s="1442"/>
      <c r="N106" s="698"/>
      <c r="O106" s="1429"/>
    </row>
    <row r="107" spans="2:15" x14ac:dyDescent="0.25">
      <c r="B107" s="1428"/>
      <c r="C107" s="258">
        <v>12</v>
      </c>
      <c r="D107" s="1432" t="s">
        <v>703</v>
      </c>
      <c r="E107" s="1432"/>
      <c r="F107" s="1433"/>
      <c r="G107" s="1434"/>
      <c r="H107" s="1434"/>
      <c r="I107" s="1434"/>
      <c r="J107" s="1434"/>
      <c r="K107" s="1434"/>
      <c r="L107" s="1434"/>
      <c r="M107" s="1435"/>
      <c r="N107" s="1424">
        <v>0</v>
      </c>
      <c r="O107" s="1429"/>
    </row>
    <row r="108" spans="2:15" ht="3.75" customHeight="1" x14ac:dyDescent="0.25">
      <c r="B108" s="1428"/>
      <c r="C108" s="1213"/>
      <c r="D108" s="698"/>
      <c r="E108" s="698"/>
      <c r="F108" s="1214"/>
      <c r="G108" s="698"/>
      <c r="H108" s="698"/>
      <c r="I108" s="698"/>
      <c r="J108" s="698"/>
      <c r="K108" s="698"/>
      <c r="L108" s="698"/>
      <c r="M108" s="1442"/>
      <c r="N108" s="698"/>
      <c r="O108" s="1429"/>
    </row>
    <row r="109" spans="2:15" ht="30" customHeight="1" x14ac:dyDescent="0.25">
      <c r="B109" s="1428"/>
      <c r="C109" s="1213"/>
      <c r="D109" s="2378" t="s">
        <v>596</v>
      </c>
      <c r="E109" s="2378"/>
      <c r="F109" s="2378"/>
      <c r="G109" s="2378"/>
      <c r="H109" s="2378"/>
      <c r="I109" s="2378"/>
      <c r="J109" s="2378"/>
      <c r="K109" s="2378"/>
      <c r="L109" s="2378"/>
      <c r="M109" s="2378"/>
      <c r="N109" s="1448"/>
      <c r="O109" s="1429"/>
    </row>
    <row r="110" spans="2:15" ht="7.5" customHeight="1" x14ac:dyDescent="0.25">
      <c r="B110" s="1428"/>
      <c r="C110" s="1213"/>
      <c r="D110" s="1448"/>
      <c r="E110" s="1448"/>
      <c r="F110" s="1448"/>
      <c r="G110" s="1448"/>
      <c r="H110" s="1448"/>
      <c r="I110" s="1448"/>
      <c r="J110" s="1448"/>
      <c r="K110" s="1448"/>
      <c r="L110" s="1448"/>
      <c r="M110" s="1448"/>
      <c r="N110" s="1448"/>
      <c r="O110" s="1429"/>
    </row>
    <row r="111" spans="2:15" x14ac:dyDescent="0.25">
      <c r="B111" s="1428"/>
      <c r="C111" s="1213"/>
      <c r="D111" s="1448"/>
      <c r="E111" s="1448"/>
      <c r="F111" s="1128" t="s">
        <v>597</v>
      </c>
      <c r="G111" s="1448"/>
      <c r="H111" s="2377"/>
      <c r="I111" s="2377"/>
      <c r="J111" s="2377"/>
      <c r="K111" s="2377"/>
      <c r="L111" s="2377"/>
      <c r="M111" s="2377"/>
      <c r="N111" s="1448"/>
      <c r="O111" s="1429"/>
    </row>
    <row r="112" spans="2:15" x14ac:dyDescent="0.25">
      <c r="B112" s="1428"/>
      <c r="C112" s="1213"/>
      <c r="D112" s="698"/>
      <c r="E112" s="698"/>
      <c r="F112" s="1450"/>
      <c r="G112" s="1450"/>
      <c r="H112" s="1450"/>
      <c r="I112" s="1450"/>
      <c r="J112" s="1450"/>
      <c r="K112" s="698"/>
      <c r="L112" s="1466"/>
      <c r="M112" s="1442"/>
      <c r="N112" s="698"/>
      <c r="O112" s="1429"/>
    </row>
    <row r="113" spans="2:15" x14ac:dyDescent="0.25">
      <c r="B113" s="1428"/>
      <c r="C113" s="258">
        <v>13</v>
      </c>
      <c r="D113" s="1432" t="s">
        <v>684</v>
      </c>
      <c r="E113" s="1432"/>
      <c r="F113" s="1433"/>
      <c r="G113" s="1434"/>
      <c r="H113" s="1434"/>
      <c r="I113" s="1434"/>
      <c r="J113" s="1434"/>
      <c r="K113" s="1434"/>
      <c r="L113" s="1434"/>
      <c r="M113" s="1435"/>
      <c r="N113" s="1424">
        <v>0</v>
      </c>
      <c r="O113" s="1429"/>
    </row>
    <row r="114" spans="2:15" ht="3.75" customHeight="1" x14ac:dyDescent="0.25">
      <c r="B114" s="1428"/>
      <c r="C114" s="1213"/>
      <c r="D114" s="698"/>
      <c r="E114" s="698"/>
      <c r="F114" s="1214"/>
      <c r="G114" s="698"/>
      <c r="H114" s="698"/>
      <c r="I114" s="698"/>
      <c r="J114" s="698"/>
      <c r="K114" s="698"/>
      <c r="L114" s="698"/>
      <c r="M114" s="1442"/>
      <c r="N114" s="698"/>
      <c r="O114" s="1429"/>
    </row>
    <row r="115" spans="2:15" ht="29.25" customHeight="1" x14ac:dyDescent="0.25">
      <c r="B115" s="1428"/>
      <c r="C115" s="1213"/>
      <c r="D115" s="2378" t="s">
        <v>685</v>
      </c>
      <c r="E115" s="2378"/>
      <c r="F115" s="2378"/>
      <c r="G115" s="2378"/>
      <c r="H115" s="2378"/>
      <c r="I115" s="2378"/>
      <c r="J115" s="2378"/>
      <c r="K115" s="2378"/>
      <c r="L115" s="2378"/>
      <c r="M115" s="2378"/>
      <c r="N115" s="1448"/>
      <c r="O115" s="1429"/>
    </row>
    <row r="116" spans="2:15" ht="7.5" customHeight="1" x14ac:dyDescent="0.25">
      <c r="B116" s="1428"/>
      <c r="C116" s="1213"/>
      <c r="D116" s="1448"/>
      <c r="E116" s="1448"/>
      <c r="F116" s="1448"/>
      <c r="G116" s="1448"/>
      <c r="H116" s="1448"/>
      <c r="I116" s="1448"/>
      <c r="J116" s="1448"/>
      <c r="K116" s="1448"/>
      <c r="L116" s="1448"/>
      <c r="M116" s="1448"/>
      <c r="N116" s="1448"/>
      <c r="O116" s="1429"/>
    </row>
    <row r="117" spans="2:15" x14ac:dyDescent="0.25">
      <c r="B117" s="1428"/>
      <c r="C117" s="1213"/>
      <c r="D117" s="1213"/>
      <c r="E117" s="1213"/>
      <c r="F117" s="1441" t="s">
        <v>598</v>
      </c>
      <c r="G117" s="1213"/>
      <c r="H117" s="2377" t="s">
        <v>599</v>
      </c>
      <c r="I117" s="2377"/>
      <c r="J117" s="2377"/>
      <c r="K117" s="2377"/>
      <c r="L117" s="2377"/>
      <c r="M117" s="2377"/>
      <c r="N117" s="1213"/>
      <c r="O117" s="1429"/>
    </row>
    <row r="118" spans="2:15" ht="15" customHeight="1" x14ac:dyDescent="0.25">
      <c r="B118" s="1428"/>
      <c r="C118" s="1441"/>
      <c r="D118" s="1448"/>
      <c r="E118" s="1448"/>
      <c r="F118" s="1448"/>
      <c r="G118" s="1448"/>
      <c r="H118" s="1448"/>
      <c r="I118" s="1448"/>
      <c r="J118" s="1448"/>
      <c r="K118" s="1448"/>
      <c r="L118" s="1448"/>
      <c r="M118" s="1448"/>
      <c r="N118" s="1448"/>
      <c r="O118" s="1429"/>
    </row>
    <row r="119" spans="2:15" x14ac:dyDescent="0.25">
      <c r="B119" s="1428"/>
      <c r="C119" s="258">
        <v>14</v>
      </c>
      <c r="D119" s="1432" t="s">
        <v>686</v>
      </c>
      <c r="E119" s="1432"/>
      <c r="F119" s="1433"/>
      <c r="G119" s="1434"/>
      <c r="H119" s="1434"/>
      <c r="I119" s="1434"/>
      <c r="J119" s="1434"/>
      <c r="K119" s="1434"/>
      <c r="L119" s="1434"/>
      <c r="M119" s="1435"/>
      <c r="N119" s="1424">
        <v>0</v>
      </c>
      <c r="O119" s="1429"/>
    </row>
    <row r="120" spans="2:15" ht="3.75" customHeight="1" x14ac:dyDescent="0.25">
      <c r="B120" s="1428"/>
      <c r="C120" s="1213"/>
      <c r="D120" s="698"/>
      <c r="E120" s="698"/>
      <c r="F120" s="1214"/>
      <c r="G120" s="698"/>
      <c r="H120" s="698"/>
      <c r="I120" s="698"/>
      <c r="J120" s="698"/>
      <c r="K120" s="698"/>
      <c r="L120" s="698"/>
      <c r="M120" s="1442"/>
      <c r="N120" s="698"/>
      <c r="O120" s="1429"/>
    </row>
    <row r="121" spans="2:15" ht="30" customHeight="1" x14ac:dyDescent="0.25">
      <c r="B121" s="1428"/>
      <c r="C121" s="1213"/>
      <c r="D121" s="2378" t="s">
        <v>687</v>
      </c>
      <c r="E121" s="2378"/>
      <c r="F121" s="2378"/>
      <c r="G121" s="2378"/>
      <c r="H121" s="2378"/>
      <c r="I121" s="2378"/>
      <c r="J121" s="2378"/>
      <c r="K121" s="2378"/>
      <c r="L121" s="2378"/>
      <c r="M121" s="2378"/>
      <c r="N121" s="1448"/>
      <c r="O121" s="1429"/>
    </row>
    <row r="122" spans="2:15" ht="7.5" customHeight="1" x14ac:dyDescent="0.25">
      <c r="B122" s="1428"/>
      <c r="C122" s="1213"/>
      <c r="D122" s="1448"/>
      <c r="E122" s="1448"/>
      <c r="F122" s="1448"/>
      <c r="G122" s="1448"/>
      <c r="H122" s="1448"/>
      <c r="I122" s="1448"/>
      <c r="J122" s="1448"/>
      <c r="K122" s="1448"/>
      <c r="L122" s="1448"/>
      <c r="M122" s="1448"/>
      <c r="N122" s="1448"/>
      <c r="O122" s="1429"/>
    </row>
    <row r="123" spans="2:15" x14ac:dyDescent="0.25">
      <c r="B123" s="1428"/>
      <c r="C123" s="1213"/>
      <c r="D123" s="1213"/>
      <c r="E123" s="1213"/>
      <c r="F123" s="1441" t="s">
        <v>598</v>
      </c>
      <c r="G123" s="1213"/>
      <c r="H123" s="2377" t="s">
        <v>599</v>
      </c>
      <c r="I123" s="2377"/>
      <c r="J123" s="2377"/>
      <c r="K123" s="2377"/>
      <c r="L123" s="2377"/>
      <c r="M123" s="2377"/>
      <c r="N123" s="1213"/>
      <c r="O123" s="1429"/>
    </row>
    <row r="124" spans="2:15" x14ac:dyDescent="0.25">
      <c r="B124" s="1428"/>
      <c r="C124" s="1441"/>
      <c r="D124" s="1441"/>
      <c r="E124" s="1441"/>
      <c r="F124" s="1441"/>
      <c r="G124" s="1441"/>
      <c r="H124" s="1450"/>
      <c r="I124" s="1450"/>
      <c r="J124" s="1450"/>
      <c r="K124" s="1450"/>
      <c r="L124" s="1450"/>
      <c r="M124" s="1450"/>
      <c r="N124" s="1441"/>
      <c r="O124" s="1429"/>
    </row>
    <row r="125" spans="2:15" x14ac:dyDescent="0.25">
      <c r="B125" s="1428"/>
      <c r="C125" s="258">
        <v>15</v>
      </c>
      <c r="D125" s="1432" t="s">
        <v>688</v>
      </c>
      <c r="E125" s="1432"/>
      <c r="F125" s="1433"/>
      <c r="G125" s="1434"/>
      <c r="H125" s="1434"/>
      <c r="I125" s="1434"/>
      <c r="J125" s="1434"/>
      <c r="K125" s="1434"/>
      <c r="L125" s="1434"/>
      <c r="M125" s="1435"/>
      <c r="N125" s="1424">
        <v>0</v>
      </c>
      <c r="O125" s="1429"/>
    </row>
    <row r="126" spans="2:15" ht="3.75" customHeight="1" x14ac:dyDescent="0.25">
      <c r="B126" s="1428"/>
      <c r="C126" s="1213"/>
      <c r="D126" s="698"/>
      <c r="E126" s="698"/>
      <c r="F126" s="1214"/>
      <c r="G126" s="698"/>
      <c r="H126" s="698"/>
      <c r="I126" s="698"/>
      <c r="J126" s="698"/>
      <c r="K126" s="698"/>
      <c r="L126" s="698"/>
      <c r="M126" s="1442"/>
      <c r="N126" s="698"/>
      <c r="O126" s="1429"/>
    </row>
    <row r="127" spans="2:15" ht="30" customHeight="1" x14ac:dyDescent="0.25">
      <c r="B127" s="1428"/>
      <c r="C127" s="1213"/>
      <c r="D127" s="2378" t="s">
        <v>689</v>
      </c>
      <c r="E127" s="2378"/>
      <c r="F127" s="2378"/>
      <c r="G127" s="2378"/>
      <c r="H127" s="2378"/>
      <c r="I127" s="2378"/>
      <c r="J127" s="2378"/>
      <c r="K127" s="2378"/>
      <c r="L127" s="2378"/>
      <c r="M127" s="2378"/>
      <c r="N127" s="1448"/>
      <c r="O127" s="1429"/>
    </row>
    <row r="128" spans="2:15" ht="7.5" customHeight="1" x14ac:dyDescent="0.25">
      <c r="B128" s="1428"/>
      <c r="C128" s="1213"/>
      <c r="D128" s="1448"/>
      <c r="E128" s="1448"/>
      <c r="F128" s="1448"/>
      <c r="G128" s="1448"/>
      <c r="H128" s="1448"/>
      <c r="I128" s="1448"/>
      <c r="J128" s="1448"/>
      <c r="K128" s="1448"/>
      <c r="L128" s="1448"/>
      <c r="M128" s="1448"/>
      <c r="N128" s="1448"/>
      <c r="O128" s="1429"/>
    </row>
    <row r="129" spans="2:16" x14ac:dyDescent="0.25">
      <c r="B129" s="1428"/>
      <c r="C129" s="1213"/>
      <c r="D129" s="1213"/>
      <c r="E129" s="1213"/>
      <c r="F129" s="1441" t="s">
        <v>598</v>
      </c>
      <c r="G129" s="1213"/>
      <c r="H129" s="2377"/>
      <c r="I129" s="2377"/>
      <c r="J129" s="2377"/>
      <c r="K129" s="2377"/>
      <c r="L129" s="2377"/>
      <c r="M129" s="2377"/>
      <c r="N129" s="1213"/>
      <c r="O129" s="1429"/>
    </row>
    <row r="130" spans="2:16" ht="15.75" thickBot="1" x14ac:dyDescent="0.3">
      <c r="B130" s="1458"/>
      <c r="C130" s="1459"/>
      <c r="D130" s="1467"/>
      <c r="E130" s="1467"/>
      <c r="F130" s="1467"/>
      <c r="G130" s="1467"/>
      <c r="H130" s="1467"/>
      <c r="I130" s="1467"/>
      <c r="J130" s="1467"/>
      <c r="K130" s="1467"/>
      <c r="L130" s="1467"/>
      <c r="M130" s="1467"/>
      <c r="N130" s="1468"/>
      <c r="O130" s="1463"/>
    </row>
    <row r="131" spans="2:16" x14ac:dyDescent="0.25">
      <c r="B131" s="1425"/>
      <c r="C131" s="1426"/>
      <c r="D131" s="1426"/>
      <c r="E131" s="1426"/>
      <c r="F131" s="1426"/>
      <c r="G131" s="1426"/>
      <c r="H131" s="1426"/>
      <c r="I131" s="1426"/>
      <c r="J131" s="1426"/>
      <c r="K131" s="1426"/>
      <c r="L131" s="1426"/>
      <c r="M131" s="1426"/>
      <c r="N131" s="1426"/>
      <c r="O131" s="1427"/>
    </row>
    <row r="132" spans="2:16" ht="18.75" x14ac:dyDescent="0.3">
      <c r="B132" s="1428"/>
      <c r="C132" s="2030" t="s">
        <v>1079</v>
      </c>
      <c r="D132" s="2030"/>
      <c r="E132" s="2030"/>
      <c r="F132" s="2030"/>
      <c r="G132" s="2030"/>
      <c r="H132" s="2030"/>
      <c r="I132" s="2030"/>
      <c r="J132" s="2030"/>
      <c r="K132" s="2030"/>
      <c r="L132" s="2030"/>
      <c r="M132" s="2030"/>
      <c r="N132" s="2030"/>
      <c r="O132" s="1429"/>
    </row>
    <row r="133" spans="2:16" x14ac:dyDescent="0.25">
      <c r="B133" s="1428"/>
      <c r="C133" s="1158"/>
      <c r="D133" s="1158"/>
      <c r="E133" s="1158"/>
      <c r="F133" s="1158"/>
      <c r="G133" s="1158"/>
      <c r="H133" s="1158"/>
      <c r="I133" s="1158"/>
      <c r="J133" s="1158"/>
      <c r="K133" s="1158"/>
      <c r="L133" s="1158"/>
      <c r="M133" s="1158"/>
      <c r="N133" s="1158"/>
      <c r="O133" s="1429"/>
    </row>
    <row r="134" spans="2:16" x14ac:dyDescent="0.25">
      <c r="B134" s="1428"/>
      <c r="C134" s="820"/>
      <c r="D134" s="1315" t="s">
        <v>339</v>
      </c>
      <c r="E134" s="1128"/>
      <c r="F134" s="1128"/>
      <c r="G134" s="1127" t="str">
        <f>IF('1A'!G123="","Enter Project Name on Form 1A",'1A'!G123)</f>
        <v>Enter Project Name on Form 1A</v>
      </c>
      <c r="H134" s="1127"/>
      <c r="I134" s="1127"/>
      <c r="J134" s="1127"/>
      <c r="K134" s="1127"/>
      <c r="L134" s="1127"/>
      <c r="M134" s="1127"/>
      <c r="N134" s="1158"/>
      <c r="O134" s="1429"/>
    </row>
    <row r="135" spans="2:16" ht="30" customHeight="1" x14ac:dyDescent="0.25">
      <c r="B135" s="1428"/>
      <c r="C135" s="1213"/>
      <c r="D135" s="1213"/>
      <c r="E135" s="1213"/>
      <c r="F135" s="1213"/>
      <c r="G135" s="820"/>
      <c r="H135" s="1213"/>
      <c r="I135" s="1213"/>
      <c r="J135" s="1213"/>
      <c r="K135" s="1213"/>
      <c r="L135" s="1213"/>
      <c r="M135" s="1430"/>
      <c r="N135" s="1431" t="s">
        <v>557</v>
      </c>
      <c r="O135" s="1429"/>
      <c r="P135" s="401"/>
    </row>
    <row r="136" spans="2:16" x14ac:dyDescent="0.25">
      <c r="B136" s="1428"/>
      <c r="C136" s="258">
        <v>16</v>
      </c>
      <c r="D136" s="1432" t="s">
        <v>690</v>
      </c>
      <c r="E136" s="1432"/>
      <c r="F136" s="1433"/>
      <c r="G136" s="1434"/>
      <c r="H136" s="1434"/>
      <c r="I136" s="1434"/>
      <c r="J136" s="1434"/>
      <c r="K136" s="1434"/>
      <c r="L136" s="1434"/>
      <c r="M136" s="1435"/>
      <c r="N136" s="1424">
        <v>0</v>
      </c>
      <c r="O136" s="1429"/>
    </row>
    <row r="137" spans="2:16" ht="3.75" customHeight="1" x14ac:dyDescent="0.25">
      <c r="B137" s="1428"/>
      <c r="C137" s="1213"/>
      <c r="D137" s="698"/>
      <c r="E137" s="698"/>
      <c r="F137" s="1214"/>
      <c r="G137" s="698"/>
      <c r="H137" s="698"/>
      <c r="I137" s="698"/>
      <c r="J137" s="698"/>
      <c r="K137" s="698"/>
      <c r="L137" s="698"/>
      <c r="M137" s="1442"/>
      <c r="N137" s="698"/>
      <c r="O137" s="1429"/>
    </row>
    <row r="138" spans="2:16" ht="30" customHeight="1" x14ac:dyDescent="0.25">
      <c r="B138" s="1428"/>
      <c r="C138" s="1213"/>
      <c r="D138" s="2378" t="s">
        <v>691</v>
      </c>
      <c r="E138" s="2378"/>
      <c r="F138" s="2378"/>
      <c r="G138" s="2378"/>
      <c r="H138" s="2378"/>
      <c r="I138" s="2378"/>
      <c r="J138" s="2378"/>
      <c r="K138" s="2378"/>
      <c r="L138" s="2378"/>
      <c r="M138" s="2378"/>
      <c r="N138" s="1448"/>
      <c r="O138" s="1429"/>
    </row>
    <row r="139" spans="2:16" ht="7.5" customHeight="1" x14ac:dyDescent="0.25">
      <c r="B139" s="1428"/>
      <c r="C139" s="1213"/>
      <c r="D139" s="1448"/>
      <c r="E139" s="1448"/>
      <c r="F139" s="1448"/>
      <c r="G139" s="1448"/>
      <c r="H139" s="1448"/>
      <c r="I139" s="1448"/>
      <c r="J139" s="1448"/>
      <c r="K139" s="1448"/>
      <c r="L139" s="1448"/>
      <c r="M139" s="1448"/>
      <c r="N139" s="1448"/>
      <c r="O139" s="1429"/>
    </row>
    <row r="140" spans="2:16" x14ac:dyDescent="0.25">
      <c r="B140" s="1428"/>
      <c r="C140" s="1213"/>
      <c r="D140" s="1213"/>
      <c r="E140" s="1213"/>
      <c r="F140" s="1441" t="s">
        <v>598</v>
      </c>
      <c r="G140" s="1213"/>
      <c r="H140" s="2377"/>
      <c r="I140" s="2377"/>
      <c r="J140" s="2377"/>
      <c r="K140" s="2377"/>
      <c r="L140" s="2377"/>
      <c r="M140" s="2377"/>
      <c r="N140" s="1213"/>
      <c r="O140" s="1429"/>
    </row>
    <row r="141" spans="2:16" x14ac:dyDescent="0.25">
      <c r="B141" s="1428"/>
      <c r="C141" s="1213"/>
      <c r="D141" s="1213"/>
      <c r="E141" s="1213"/>
      <c r="F141" s="1213"/>
      <c r="G141" s="1213"/>
      <c r="H141" s="1450"/>
      <c r="I141" s="1450"/>
      <c r="J141" s="1450"/>
      <c r="K141" s="1450"/>
      <c r="L141" s="1450"/>
      <c r="M141" s="1450"/>
      <c r="N141" s="1213"/>
      <c r="O141" s="1429"/>
    </row>
    <row r="142" spans="2:16" x14ac:dyDescent="0.25">
      <c r="B142" s="1428"/>
      <c r="C142" s="258">
        <v>17</v>
      </c>
      <c r="D142" s="1432" t="s">
        <v>692</v>
      </c>
      <c r="E142" s="1432"/>
      <c r="F142" s="1433"/>
      <c r="G142" s="1434"/>
      <c r="H142" s="1434"/>
      <c r="I142" s="1434"/>
      <c r="J142" s="1434"/>
      <c r="K142" s="1434"/>
      <c r="L142" s="1434"/>
      <c r="M142" s="1435"/>
      <c r="N142" s="1424">
        <v>0</v>
      </c>
      <c r="O142" s="1429"/>
    </row>
    <row r="143" spans="2:16" ht="3.75" customHeight="1" x14ac:dyDescent="0.25">
      <c r="B143" s="1428"/>
      <c r="C143" s="1213"/>
      <c r="D143" s="698"/>
      <c r="E143" s="698"/>
      <c r="F143" s="1214"/>
      <c r="G143" s="698"/>
      <c r="H143" s="698"/>
      <c r="I143" s="698"/>
      <c r="J143" s="698"/>
      <c r="K143" s="698"/>
      <c r="L143" s="698"/>
      <c r="M143" s="1442"/>
      <c r="N143" s="698"/>
      <c r="O143" s="1429"/>
    </row>
    <row r="144" spans="2:16" x14ac:dyDescent="0.25">
      <c r="B144" s="1428"/>
      <c r="C144" s="1213"/>
      <c r="D144" s="2378" t="s">
        <v>600</v>
      </c>
      <c r="E144" s="2378"/>
      <c r="F144" s="2378"/>
      <c r="G144" s="2378"/>
      <c r="H144" s="2378"/>
      <c r="I144" s="2378"/>
      <c r="J144" s="2378"/>
      <c r="K144" s="2378"/>
      <c r="L144" s="2378"/>
      <c r="M144" s="2378"/>
      <c r="N144" s="1214"/>
      <c r="O144" s="1429"/>
    </row>
    <row r="145" spans="2:15" ht="7.5" customHeight="1" x14ac:dyDescent="0.25">
      <c r="B145" s="1428"/>
      <c r="C145" s="1213"/>
      <c r="D145" s="1448"/>
      <c r="E145" s="1448"/>
      <c r="F145" s="1448"/>
      <c r="G145" s="1448"/>
      <c r="H145" s="1448"/>
      <c r="I145" s="1448"/>
      <c r="J145" s="1448"/>
      <c r="K145" s="1448"/>
      <c r="L145" s="1448"/>
      <c r="M145" s="1448"/>
      <c r="N145" s="1448"/>
      <c r="O145" s="1429"/>
    </row>
    <row r="146" spans="2:15" x14ac:dyDescent="0.25">
      <c r="B146" s="1428"/>
      <c r="C146" s="1213"/>
      <c r="D146" s="1448"/>
      <c r="E146" s="1448"/>
      <c r="F146" s="1128" t="s">
        <v>601</v>
      </c>
      <c r="G146" s="1448"/>
      <c r="H146" s="2388" t="s">
        <v>602</v>
      </c>
      <c r="I146" s="2388"/>
      <c r="J146" s="2388"/>
      <c r="K146" s="1448"/>
      <c r="L146" s="2388" t="s">
        <v>603</v>
      </c>
      <c r="M146" s="2388"/>
      <c r="N146" s="1448"/>
      <c r="O146" s="1429"/>
    </row>
    <row r="147" spans="2:15" x14ac:dyDescent="0.25">
      <c r="B147" s="1428"/>
      <c r="C147" s="1213"/>
      <c r="D147" s="1213"/>
      <c r="E147" s="1213"/>
      <c r="F147" s="1213"/>
      <c r="G147" s="1213"/>
      <c r="H147" s="1450"/>
      <c r="I147" s="1450"/>
      <c r="J147" s="1450"/>
      <c r="K147" s="1450"/>
      <c r="L147" s="1450"/>
      <c r="M147" s="1450"/>
      <c r="N147" s="1213"/>
      <c r="O147" s="1429"/>
    </row>
    <row r="148" spans="2:15" x14ac:dyDescent="0.25">
      <c r="B148" s="1428"/>
      <c r="C148" s="258">
        <v>18</v>
      </c>
      <c r="D148" s="1432" t="s">
        <v>693</v>
      </c>
      <c r="E148" s="1432"/>
      <c r="F148" s="1433"/>
      <c r="G148" s="1434"/>
      <c r="H148" s="1434"/>
      <c r="I148" s="1434"/>
      <c r="J148" s="1434"/>
      <c r="K148" s="1434"/>
      <c r="L148" s="1434"/>
      <c r="M148" s="1435"/>
      <c r="N148" s="1424">
        <v>0</v>
      </c>
      <c r="O148" s="1429"/>
    </row>
    <row r="149" spans="2:15" ht="3.75" customHeight="1" x14ac:dyDescent="0.25">
      <c r="B149" s="1428"/>
      <c r="C149" s="1213"/>
      <c r="D149" s="698"/>
      <c r="E149" s="698"/>
      <c r="F149" s="1214"/>
      <c r="G149" s="698"/>
      <c r="H149" s="698"/>
      <c r="I149" s="698"/>
      <c r="J149" s="698"/>
      <c r="K149" s="698"/>
      <c r="L149" s="698"/>
      <c r="M149" s="1442"/>
      <c r="N149" s="698"/>
      <c r="O149" s="1429"/>
    </row>
    <row r="150" spans="2:15" ht="30" customHeight="1" x14ac:dyDescent="0.25">
      <c r="B150" s="1428"/>
      <c r="C150" s="1213"/>
      <c r="D150" s="2378" t="s">
        <v>604</v>
      </c>
      <c r="E150" s="2378"/>
      <c r="F150" s="2378"/>
      <c r="G150" s="2378"/>
      <c r="H150" s="2378"/>
      <c r="I150" s="2378"/>
      <c r="J150" s="2378"/>
      <c r="K150" s="2378"/>
      <c r="L150" s="2378"/>
      <c r="M150" s="2378"/>
      <c r="N150" s="1448"/>
      <c r="O150" s="1429"/>
    </row>
    <row r="151" spans="2:15" ht="7.5" customHeight="1" x14ac:dyDescent="0.25">
      <c r="B151" s="1428"/>
      <c r="C151" s="1213"/>
      <c r="D151" s="1448"/>
      <c r="E151" s="1448"/>
      <c r="F151" s="1448"/>
      <c r="G151" s="1448"/>
      <c r="H151" s="1448"/>
      <c r="I151" s="1448"/>
      <c r="J151" s="1448"/>
      <c r="K151" s="1448"/>
      <c r="L151" s="1448"/>
      <c r="M151" s="1448"/>
      <c r="N151" s="1448"/>
      <c r="O151" s="1429"/>
    </row>
    <row r="152" spans="2:15" x14ac:dyDescent="0.25">
      <c r="B152" s="1428"/>
      <c r="C152" s="1213"/>
      <c r="D152" s="698"/>
      <c r="E152" s="698"/>
      <c r="F152" s="2377" t="s">
        <v>566</v>
      </c>
      <c r="G152" s="2377"/>
      <c r="H152" s="2377"/>
      <c r="I152" s="2377"/>
      <c r="J152" s="2377"/>
      <c r="K152" s="698"/>
      <c r="L152" s="1466"/>
      <c r="M152" s="1442"/>
      <c r="N152" s="698"/>
      <c r="O152" s="1429"/>
    </row>
    <row r="153" spans="2:15" x14ac:dyDescent="0.25">
      <c r="B153" s="1428"/>
      <c r="C153" s="1213"/>
      <c r="D153" s="698"/>
      <c r="E153" s="698"/>
      <c r="F153" s="1450"/>
      <c r="G153" s="1450"/>
      <c r="H153" s="1450"/>
      <c r="I153" s="1450"/>
      <c r="J153" s="1450"/>
      <c r="K153" s="698"/>
      <c r="L153" s="1466"/>
      <c r="M153" s="1442"/>
      <c r="N153" s="698"/>
      <c r="O153" s="1429"/>
    </row>
    <row r="154" spans="2:15" x14ac:dyDescent="0.25">
      <c r="B154" s="1428"/>
      <c r="C154" s="258">
        <v>19</v>
      </c>
      <c r="D154" s="1432" t="s">
        <v>694</v>
      </c>
      <c r="E154" s="1432"/>
      <c r="F154" s="1433"/>
      <c r="G154" s="1434"/>
      <c r="H154" s="1434"/>
      <c r="I154" s="1434"/>
      <c r="J154" s="1434"/>
      <c r="K154" s="1434"/>
      <c r="L154" s="1434"/>
      <c r="M154" s="1435"/>
      <c r="N154" s="1424">
        <v>0</v>
      </c>
      <c r="O154" s="1429"/>
    </row>
    <row r="155" spans="2:15" ht="7.5" customHeight="1" x14ac:dyDescent="0.25">
      <c r="B155" s="1428"/>
      <c r="C155" s="1213"/>
      <c r="D155" s="698"/>
      <c r="E155" s="698"/>
      <c r="F155" s="1214"/>
      <c r="G155" s="698"/>
      <c r="H155" s="698"/>
      <c r="I155" s="698"/>
      <c r="J155" s="698"/>
      <c r="K155" s="698"/>
      <c r="L155" s="698"/>
      <c r="M155" s="1442"/>
      <c r="N155" s="698"/>
      <c r="O155" s="1429"/>
    </row>
    <row r="156" spans="2:15" ht="30" customHeight="1" x14ac:dyDescent="0.25">
      <c r="B156" s="1428"/>
      <c r="C156" s="1213"/>
      <c r="D156" s="2378" t="s">
        <v>605</v>
      </c>
      <c r="E156" s="2378"/>
      <c r="F156" s="2378"/>
      <c r="G156" s="2378"/>
      <c r="H156" s="2378"/>
      <c r="I156" s="2378"/>
      <c r="J156" s="2378"/>
      <c r="K156" s="2378"/>
      <c r="L156" s="2378"/>
      <c r="M156" s="2378"/>
      <c r="N156" s="1448"/>
      <c r="O156" s="1429"/>
    </row>
    <row r="157" spans="2:15" x14ac:dyDescent="0.25">
      <c r="B157" s="1428"/>
      <c r="C157" s="1213"/>
      <c r="D157" s="1213"/>
      <c r="E157" s="1213"/>
      <c r="F157" s="1213"/>
      <c r="G157" s="1213"/>
      <c r="H157" s="1213"/>
      <c r="I157" s="1213"/>
      <c r="J157" s="1213"/>
      <c r="K157" s="1213"/>
      <c r="L157" s="1213"/>
      <c r="M157" s="1213"/>
      <c r="N157" s="1213"/>
      <c r="O157" s="1429"/>
    </row>
    <row r="158" spans="2:15" x14ac:dyDescent="0.25">
      <c r="B158" s="1428"/>
      <c r="C158" s="258">
        <v>20</v>
      </c>
      <c r="D158" s="1432" t="s">
        <v>695</v>
      </c>
      <c r="E158" s="1432"/>
      <c r="F158" s="1433"/>
      <c r="G158" s="1434"/>
      <c r="H158" s="1434"/>
      <c r="I158" s="1434"/>
      <c r="J158" s="1434"/>
      <c r="K158" s="1434"/>
      <c r="L158" s="1434"/>
      <c r="M158" s="1435"/>
      <c r="N158" s="1424">
        <v>0</v>
      </c>
      <c r="O158" s="1429"/>
    </row>
    <row r="159" spans="2:15" ht="7.5" customHeight="1" x14ac:dyDescent="0.25">
      <c r="B159" s="1428"/>
      <c r="C159" s="1213"/>
      <c r="D159" s="698"/>
      <c r="E159" s="698"/>
      <c r="F159" s="1214"/>
      <c r="G159" s="698"/>
      <c r="H159" s="698"/>
      <c r="I159" s="698"/>
      <c r="J159" s="698"/>
      <c r="K159" s="698"/>
      <c r="L159" s="698"/>
      <c r="M159" s="1442"/>
      <c r="N159" s="698"/>
      <c r="O159" s="1429"/>
    </row>
    <row r="160" spans="2:15" ht="30" customHeight="1" x14ac:dyDescent="0.25">
      <c r="B160" s="1428"/>
      <c r="C160" s="1213"/>
      <c r="D160" s="2378" t="s">
        <v>606</v>
      </c>
      <c r="E160" s="2378"/>
      <c r="F160" s="2378"/>
      <c r="G160" s="2378"/>
      <c r="H160" s="2378"/>
      <c r="I160" s="2378"/>
      <c r="J160" s="2378"/>
      <c r="K160" s="2378"/>
      <c r="L160" s="2378"/>
      <c r="M160" s="2378"/>
      <c r="N160" s="1448"/>
      <c r="O160" s="1429"/>
    </row>
    <row r="161" spans="2:15" ht="15.75" thickBot="1" x14ac:dyDescent="0.3">
      <c r="B161" s="1428"/>
      <c r="C161" s="1213"/>
      <c r="D161" s="1213"/>
      <c r="E161" s="1213"/>
      <c r="F161" s="1469"/>
      <c r="G161" s="1469"/>
      <c r="H161" s="1213"/>
      <c r="I161" s="1213"/>
      <c r="J161" s="1213"/>
      <c r="K161" s="1213"/>
      <c r="L161" s="1213"/>
      <c r="M161" s="1213"/>
      <c r="N161" s="1213"/>
      <c r="O161" s="1429"/>
    </row>
    <row r="162" spans="2:15" ht="17.25" thickTop="1" thickBot="1" x14ac:dyDescent="0.3">
      <c r="B162" s="1428"/>
      <c r="C162" s="1213"/>
      <c r="D162" s="1470" t="s">
        <v>607</v>
      </c>
      <c r="E162" s="1471"/>
      <c r="F162" s="1472"/>
      <c r="G162" s="1471"/>
      <c r="H162" s="1471"/>
      <c r="I162" s="1471"/>
      <c r="J162" s="1471"/>
      <c r="K162" s="1471"/>
      <c r="L162" s="1471"/>
      <c r="M162" s="1473"/>
      <c r="N162" s="1474">
        <f>N18+N27+N33+N45+N49+N59+N66+N78+N84+N94+N100+N107+N113+N119+N125+N136+N142+N148+N154+N158</f>
        <v>0</v>
      </c>
      <c r="O162" s="1429"/>
    </row>
    <row r="163" spans="2:15" ht="15.75" thickBot="1" x14ac:dyDescent="0.3">
      <c r="B163" s="1458"/>
      <c r="C163" s="1459"/>
      <c r="D163" s="1459"/>
      <c r="E163" s="1459"/>
      <c r="F163" s="1459"/>
      <c r="G163" s="1459"/>
      <c r="H163" s="1459"/>
      <c r="I163" s="1459"/>
      <c r="J163" s="1459"/>
      <c r="K163" s="1459"/>
      <c r="L163" s="1459"/>
      <c r="M163" s="1459"/>
      <c r="N163" s="1459"/>
      <c r="O163" s="1463"/>
    </row>
  </sheetData>
  <sheetProtection password="9F6B" sheet="1" objects="1" scenarios="1" formatCells="0" formatColumns="0" formatRows="0"/>
  <mergeCells count="52">
    <mergeCell ref="D20:M20"/>
    <mergeCell ref="D150:M150"/>
    <mergeCell ref="D144:M144"/>
    <mergeCell ref="D138:M138"/>
    <mergeCell ref="D127:M127"/>
    <mergeCell ref="D121:M121"/>
    <mergeCell ref="H146:J146"/>
    <mergeCell ref="L146:M146"/>
    <mergeCell ref="D115:M115"/>
    <mergeCell ref="D109:M109"/>
    <mergeCell ref="D102:M102"/>
    <mergeCell ref="D96:M96"/>
    <mergeCell ref="D86:M86"/>
    <mergeCell ref="D80:M80"/>
    <mergeCell ref="D68:M68"/>
    <mergeCell ref="D61:M61"/>
    <mergeCell ref="I21:M21"/>
    <mergeCell ref="I22:M22"/>
    <mergeCell ref="I24:M24"/>
    <mergeCell ref="I25:M25"/>
    <mergeCell ref="D51:M51"/>
    <mergeCell ref="D47:M47"/>
    <mergeCell ref="D35:M35"/>
    <mergeCell ref="D29:M29"/>
    <mergeCell ref="J57:M57"/>
    <mergeCell ref="I63:M63"/>
    <mergeCell ref="J70:M70"/>
    <mergeCell ref="J71:M71"/>
    <mergeCell ref="J90:M90"/>
    <mergeCell ref="F98:M98"/>
    <mergeCell ref="F82:G82"/>
    <mergeCell ref="H123:M123"/>
    <mergeCell ref="H129:M129"/>
    <mergeCell ref="H140:M140"/>
    <mergeCell ref="J91:M91"/>
    <mergeCell ref="J92:M92"/>
    <mergeCell ref="C14:N14"/>
    <mergeCell ref="C132:N132"/>
    <mergeCell ref="F152:J152"/>
    <mergeCell ref="D160:M160"/>
    <mergeCell ref="D156:M156"/>
    <mergeCell ref="F31:G31"/>
    <mergeCell ref="F38:M38"/>
    <mergeCell ref="F41:M41"/>
    <mergeCell ref="F43:M43"/>
    <mergeCell ref="J89:M89"/>
    <mergeCell ref="J54:M54"/>
    <mergeCell ref="J55:M55"/>
    <mergeCell ref="J56:M56"/>
    <mergeCell ref="H104:J104"/>
    <mergeCell ref="H111:M111"/>
    <mergeCell ref="H117:M117"/>
  </mergeCells>
  <dataValidations disablePrompts="1" count="19">
    <dataValidation type="list" allowBlank="1" showInputMessage="1" showErrorMessage="1" sqref="I21:M21">
      <formula1>lower_income</formula1>
    </dataValidation>
    <dataValidation type="list" allowBlank="1" showInputMessage="1" showErrorMessage="1" sqref="I22:M22">
      <formula1>Inc_Lower</formula1>
    </dataValidation>
    <dataValidation type="list" allowBlank="1" showInputMessage="1" showErrorMessage="1" sqref="I24:M24">
      <formula1>higher_income</formula1>
    </dataValidation>
    <dataValidation type="list" allowBlank="1" showInputMessage="1" showErrorMessage="1" sqref="I25:M25">
      <formula1>Inc_Higher</formula1>
    </dataValidation>
    <dataValidation type="list" allowBlank="1" showInputMessage="1" showErrorMessage="1" sqref="F31:G31">
      <formula1>Years</formula1>
    </dataValidation>
    <dataValidation type="list" allowBlank="1" showInputMessage="1" showErrorMessage="1" sqref="F38:M38">
      <formula1>Homeless75</formula1>
    </dataValidation>
    <dataValidation type="list" allowBlank="1" showInputMessage="1" showErrorMessage="1" sqref="F41:M41 F43:M43">
      <formula1>SpecNeeds20</formula1>
    </dataValidation>
    <dataValidation type="list" allowBlank="1" showInputMessage="1" showErrorMessage="1" sqref="J54:M54">
      <formula1>federal_funding_sources</formula1>
    </dataValidation>
    <dataValidation type="list" allowBlank="1" showInputMessage="1" showErrorMessage="1" sqref="I63:M63">
      <formula1>KC_HTF</formula1>
    </dataValidation>
    <dataValidation type="list" allowBlank="1" showInputMessage="1" showErrorMessage="1" sqref="F82:G82">
      <formula1>DevFees</formula1>
    </dataValidation>
    <dataValidation type="list" allowBlank="1" showInputMessage="1" showErrorMessage="1" sqref="F98:M98">
      <formula1>Historic</formula1>
    </dataValidation>
    <dataValidation type="list" allowBlank="1" showInputMessage="1" showErrorMessage="1" sqref="H104:J104">
      <formula1>eligible_tribes</formula1>
    </dataValidation>
    <dataValidation type="list" allowBlank="1" showInputMessage="1" showErrorMessage="1" sqref="H111:M111">
      <formula1>Location_eff</formula1>
    </dataValidation>
    <dataValidation type="list" allowBlank="1" showInputMessage="1" showErrorMessage="1" sqref="H117:M117 H123:M123">
      <formula1>local_funding_counties</formula1>
    </dataValidation>
    <dataValidation type="list" allowBlank="1" showInputMessage="1" showErrorMessage="1" sqref="H129:M129">
      <formula1>KC_only</formula1>
    </dataValidation>
    <dataValidation type="list" allowBlank="1" showInputMessage="1" showErrorMessage="1" sqref="H140:M140">
      <formula1>KC_OppArea</formula1>
    </dataValidation>
    <dataValidation type="list" allowBlank="1" showInputMessage="1" showErrorMessage="1" sqref="H146:J146">
      <formula1>in_within</formula1>
    </dataValidation>
    <dataValidation type="list" allowBlank="1" showInputMessage="1" showErrorMessage="1" sqref="L146:M146">
      <formula1>job_centers</formula1>
    </dataValidation>
    <dataValidation type="list" allowBlank="1" showInputMessage="1" showErrorMessage="1" sqref="F152:J152">
      <formula1>NP_Sponsor</formula1>
    </dataValidation>
  </dataValidations>
  <pageMargins left="0.7" right="0.7" top="0.75" bottom="0.75" header="0.3" footer="0.3"/>
  <pageSetup scale="81" fitToHeight="3" orientation="portrait" r:id="rId1"/>
  <headerFooter>
    <oddFooter>&amp;LForm 11A
9% LIHTC Scoring Synopsis&amp;CCFA Forms&amp;REdition: 2015
Version: 1.1</oddFooter>
  </headerFooter>
  <rowBreaks count="2" manualBreakCount="2">
    <brk id="72" min="1" max="14" man="1"/>
    <brk id="130" min="1" max="14"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2:O154"/>
  <sheetViews>
    <sheetView showGridLines="0" topLeftCell="A121" zoomScaleNormal="100" workbookViewId="0">
      <selection activeCell="N27" sqref="N27"/>
    </sheetView>
  </sheetViews>
  <sheetFormatPr defaultRowHeight="15" x14ac:dyDescent="0.25"/>
  <cols>
    <col min="1" max="2" width="1.7109375" style="844" customWidth="1"/>
    <col min="3" max="5" width="2.85546875" style="844" customWidth="1"/>
    <col min="6" max="6" width="11.42578125" style="844" customWidth="1"/>
    <col min="7" max="7" width="8.5703125" style="844" customWidth="1"/>
    <col min="8" max="8" width="11.42578125" style="844" customWidth="1"/>
    <col min="9" max="9" width="12.85546875" style="844" customWidth="1"/>
    <col min="10" max="10" width="10" style="844" customWidth="1"/>
    <col min="11" max="11" width="7.140625" style="844" customWidth="1"/>
    <col min="12" max="12" width="15.7109375" style="844" customWidth="1"/>
    <col min="13" max="13" width="11.42578125" style="844" customWidth="1"/>
    <col min="14" max="14" width="8.5703125" style="844" customWidth="1"/>
    <col min="15" max="16" width="1.7109375" style="844" customWidth="1"/>
    <col min="17" max="16384" width="9.140625" style="844"/>
  </cols>
  <sheetData>
    <row r="12" spans="2:15" ht="15.75" thickBot="1" x14ac:dyDescent="0.3"/>
    <row r="13" spans="2:15" ht="9" customHeight="1" x14ac:dyDescent="0.25">
      <c r="B13" s="1425"/>
      <c r="C13" s="1426"/>
      <c r="D13" s="1426"/>
      <c r="E13" s="1426"/>
      <c r="F13" s="1426"/>
      <c r="G13" s="1426"/>
      <c r="H13" s="1426"/>
      <c r="I13" s="1426"/>
      <c r="J13" s="1426"/>
      <c r="K13" s="1426"/>
      <c r="L13" s="1426"/>
      <c r="M13" s="1426"/>
      <c r="N13" s="1426"/>
      <c r="O13" s="1427"/>
    </row>
    <row r="14" spans="2:15" ht="18.75" x14ac:dyDescent="0.3">
      <c r="B14" s="1428"/>
      <c r="C14" s="1653" t="s">
        <v>1356</v>
      </c>
      <c r="D14" s="1736"/>
      <c r="E14" s="1736"/>
      <c r="F14" s="1736"/>
      <c r="G14" s="1736"/>
      <c r="H14" s="1736"/>
      <c r="I14" s="1736"/>
      <c r="J14" s="1736"/>
      <c r="K14" s="1736"/>
      <c r="L14" s="1736"/>
      <c r="M14" s="1736"/>
      <c r="N14" s="1158"/>
      <c r="O14" s="1429"/>
    </row>
    <row r="15" spans="2:15" x14ac:dyDescent="0.25">
      <c r="B15" s="1428"/>
      <c r="C15" s="1475"/>
      <c r="D15" s="1475"/>
      <c r="E15" s="1475"/>
      <c r="F15" s="1475"/>
      <c r="G15" s="1475"/>
      <c r="H15" s="1475"/>
      <c r="I15" s="1475"/>
      <c r="J15" s="1475"/>
      <c r="K15" s="1475"/>
      <c r="L15" s="1475"/>
      <c r="M15" s="1475"/>
      <c r="N15" s="1475"/>
      <c r="O15" s="1429"/>
    </row>
    <row r="16" spans="2:15" x14ac:dyDescent="0.25">
      <c r="B16" s="1428"/>
      <c r="C16" s="820"/>
      <c r="D16" s="1441" t="s">
        <v>1</v>
      </c>
      <c r="E16" s="1128"/>
      <c r="F16" s="1128"/>
      <c r="G16" s="1127" t="str">
        <f>IF('1A'!G5="","Enter Project Name on Form 1A",'1A'!G5)</f>
        <v>Liberty Bank Building</v>
      </c>
      <c r="H16" s="1127"/>
      <c r="I16" s="1127"/>
      <c r="J16" s="1127"/>
      <c r="K16" s="1127"/>
      <c r="L16" s="1127"/>
      <c r="M16" s="1127"/>
      <c r="N16" s="1128"/>
      <c r="O16" s="1429"/>
    </row>
    <row r="17" spans="2:15" ht="30" customHeight="1" x14ac:dyDescent="0.25">
      <c r="B17" s="1428"/>
      <c r="C17" s="1441"/>
      <c r="D17" s="1441"/>
      <c r="E17" s="1441"/>
      <c r="F17" s="1441"/>
      <c r="G17" s="1441"/>
      <c r="H17" s="1441"/>
      <c r="I17" s="1441"/>
      <c r="J17" s="1441"/>
      <c r="K17" s="1441"/>
      <c r="L17" s="1441"/>
      <c r="M17" s="1430"/>
      <c r="N17" s="1431" t="s">
        <v>557</v>
      </c>
      <c r="O17" s="1429"/>
    </row>
    <row r="18" spans="2:15" x14ac:dyDescent="0.25">
      <c r="B18" s="1428"/>
      <c r="C18" s="258">
        <v>1</v>
      </c>
      <c r="D18" s="1432" t="s">
        <v>706</v>
      </c>
      <c r="E18" s="1432"/>
      <c r="F18" s="1433"/>
      <c r="G18" s="1434"/>
      <c r="H18" s="1434"/>
      <c r="I18" s="1434"/>
      <c r="J18" s="1434"/>
      <c r="K18" s="1434"/>
      <c r="L18" s="1434"/>
      <c r="M18" s="1435"/>
      <c r="N18" s="1422">
        <v>0</v>
      </c>
      <c r="O18" s="1429"/>
    </row>
    <row r="19" spans="2:15" ht="3.75" customHeight="1" x14ac:dyDescent="0.25">
      <c r="B19" s="1428"/>
      <c r="C19" s="1213"/>
      <c r="D19" s="698"/>
      <c r="E19" s="698"/>
      <c r="F19" s="1214"/>
      <c r="G19" s="698"/>
      <c r="H19" s="698"/>
      <c r="I19" s="698"/>
      <c r="J19" s="698"/>
      <c r="K19" s="698"/>
      <c r="L19" s="698"/>
      <c r="M19" s="698"/>
      <c r="N19" s="698"/>
      <c r="O19" s="1429"/>
    </row>
    <row r="20" spans="2:15" x14ac:dyDescent="0.25">
      <c r="B20" s="1428"/>
      <c r="C20" s="1213"/>
      <c r="D20" s="2387" t="s">
        <v>558</v>
      </c>
      <c r="E20" s="2387"/>
      <c r="F20" s="2387"/>
      <c r="G20" s="2387"/>
      <c r="H20" s="2387"/>
      <c r="I20" s="2387"/>
      <c r="J20" s="2387"/>
      <c r="K20" s="2387"/>
      <c r="L20" s="2387"/>
      <c r="M20" s="2387"/>
      <c r="N20" s="698"/>
      <c r="O20" s="1429"/>
    </row>
    <row r="21" spans="2:15" x14ac:dyDescent="0.25">
      <c r="B21" s="1428"/>
      <c r="C21" s="1213"/>
      <c r="D21" s="698"/>
      <c r="E21" s="1213"/>
      <c r="F21" s="1214"/>
      <c r="G21" s="698"/>
      <c r="H21" s="698"/>
      <c r="I21" s="698"/>
      <c r="J21" s="698"/>
      <c r="K21" s="698"/>
      <c r="L21" s="698"/>
      <c r="M21" s="698"/>
      <c r="N21" s="698"/>
      <c r="O21" s="1429"/>
    </row>
    <row r="22" spans="2:15" x14ac:dyDescent="0.25">
      <c r="B22" s="1428"/>
      <c r="C22" s="1213"/>
      <c r="D22" s="698"/>
      <c r="E22" s="258"/>
      <c r="F22" s="2392" t="s">
        <v>608</v>
      </c>
      <c r="G22" s="2392"/>
      <c r="H22" s="2392"/>
      <c r="I22" s="2392"/>
      <c r="J22" s="2392"/>
      <c r="K22" s="2392"/>
      <c r="L22" s="2392"/>
      <c r="M22" s="2392"/>
      <c r="N22" s="43"/>
      <c r="O22" s="1429"/>
    </row>
    <row r="23" spans="2:15" x14ac:dyDescent="0.25">
      <c r="B23" s="1428"/>
      <c r="C23" s="1213"/>
      <c r="D23" s="1213"/>
      <c r="E23" s="1213"/>
      <c r="F23" s="1213"/>
      <c r="G23" s="1213"/>
      <c r="H23" s="1213"/>
      <c r="I23" s="1213"/>
      <c r="J23" s="1476"/>
      <c r="K23" s="1214"/>
      <c r="L23" s="1213"/>
      <c r="M23" s="1213"/>
      <c r="N23" s="1213"/>
      <c r="O23" s="1429"/>
    </row>
    <row r="24" spans="2:15" x14ac:dyDescent="0.25">
      <c r="B24" s="1428"/>
      <c r="C24" s="258">
        <v>2</v>
      </c>
      <c r="D24" s="1432" t="s">
        <v>673</v>
      </c>
      <c r="E24" s="1432"/>
      <c r="F24" s="1433"/>
      <c r="G24" s="1434"/>
      <c r="H24" s="1434"/>
      <c r="I24" s="1434"/>
      <c r="J24" s="1434"/>
      <c r="K24" s="1434"/>
      <c r="L24" s="1434"/>
      <c r="M24" s="1435"/>
      <c r="N24" s="1422">
        <v>30</v>
      </c>
      <c r="O24" s="1429"/>
    </row>
    <row r="25" spans="2:15" ht="3.75" customHeight="1" x14ac:dyDescent="0.25">
      <c r="B25" s="1428"/>
      <c r="C25" s="1213"/>
      <c r="D25" s="698"/>
      <c r="E25" s="698"/>
      <c r="F25" s="1214"/>
      <c r="G25" s="698"/>
      <c r="H25" s="698"/>
      <c r="I25" s="698"/>
      <c r="J25" s="698"/>
      <c r="K25" s="698"/>
      <c r="L25" s="698"/>
      <c r="M25" s="1442"/>
      <c r="N25" s="698"/>
      <c r="O25" s="1429"/>
    </row>
    <row r="26" spans="2:15" x14ac:dyDescent="0.25">
      <c r="B26" s="1428"/>
      <c r="C26" s="1213"/>
      <c r="D26" s="2387" t="s">
        <v>609</v>
      </c>
      <c r="E26" s="2387"/>
      <c r="F26" s="2387"/>
      <c r="G26" s="2387"/>
      <c r="H26" s="2387"/>
      <c r="I26" s="2387"/>
      <c r="J26" s="2387"/>
      <c r="K26" s="2387"/>
      <c r="L26" s="2387"/>
      <c r="M26" s="2387"/>
      <c r="N26" s="1213"/>
      <c r="O26" s="1429"/>
    </row>
    <row r="27" spans="2:15" x14ac:dyDescent="0.25">
      <c r="B27" s="1428"/>
      <c r="C27" s="1213"/>
      <c r="D27" s="1214"/>
      <c r="E27" s="1214"/>
      <c r="F27" s="1213"/>
      <c r="G27" s="1213"/>
      <c r="H27" s="1213"/>
      <c r="I27" s="1213"/>
      <c r="J27" s="1213"/>
      <c r="K27" s="1213"/>
      <c r="L27" s="1213"/>
      <c r="M27" s="1213"/>
      <c r="N27" s="1213"/>
      <c r="O27" s="1429"/>
    </row>
    <row r="28" spans="2:15" x14ac:dyDescent="0.25">
      <c r="B28" s="1428"/>
      <c r="C28" s="1213"/>
      <c r="D28" s="1213"/>
      <c r="E28" s="1213"/>
      <c r="F28" s="2377" t="s">
        <v>913</v>
      </c>
      <c r="G28" s="2377"/>
      <c r="H28" s="698"/>
      <c r="I28" s="1436"/>
      <c r="J28" s="1443"/>
      <c r="K28" s="1444"/>
      <c r="L28" s="1213"/>
      <c r="M28" s="1213"/>
      <c r="N28" s="1213"/>
      <c r="O28" s="1429"/>
    </row>
    <row r="29" spans="2:15" x14ac:dyDescent="0.25">
      <c r="B29" s="1428"/>
      <c r="C29" s="1213"/>
      <c r="D29" s="1213"/>
      <c r="E29" s="1213"/>
      <c r="F29" s="1213"/>
      <c r="G29" s="1213"/>
      <c r="H29" s="1213"/>
      <c r="I29" s="1213"/>
      <c r="J29" s="1213"/>
      <c r="K29" s="1213"/>
      <c r="L29" s="1213"/>
      <c r="M29" s="1213"/>
      <c r="N29" s="1213"/>
      <c r="O29" s="1429"/>
    </row>
    <row r="30" spans="2:15" x14ac:dyDescent="0.25">
      <c r="B30" s="1428"/>
      <c r="C30" s="258">
        <v>3</v>
      </c>
      <c r="D30" s="1432" t="s">
        <v>674</v>
      </c>
      <c r="E30" s="1432"/>
      <c r="F30" s="1433"/>
      <c r="G30" s="1434"/>
      <c r="H30" s="1434"/>
      <c r="I30" s="1434"/>
      <c r="J30" s="1434"/>
      <c r="K30" s="1434"/>
      <c r="L30" s="1434"/>
      <c r="M30" s="1435"/>
      <c r="N30" s="1422">
        <v>0</v>
      </c>
      <c r="O30" s="1429"/>
    </row>
    <row r="31" spans="2:15" ht="3.75" customHeight="1" x14ac:dyDescent="0.25">
      <c r="B31" s="1428"/>
      <c r="C31" s="1213"/>
      <c r="D31" s="698"/>
      <c r="E31" s="698"/>
      <c r="F31" s="1214"/>
      <c r="G31" s="698"/>
      <c r="H31" s="698"/>
      <c r="I31" s="698"/>
      <c r="J31" s="698"/>
      <c r="K31" s="698"/>
      <c r="L31" s="698"/>
      <c r="M31" s="698"/>
      <c r="N31" s="698"/>
      <c r="O31" s="1429"/>
    </row>
    <row r="32" spans="2:15" ht="30" customHeight="1" x14ac:dyDescent="0.25">
      <c r="B32" s="1428"/>
      <c r="C32" s="1213"/>
      <c r="D32" s="2378" t="s">
        <v>610</v>
      </c>
      <c r="E32" s="2378"/>
      <c r="F32" s="2378"/>
      <c r="G32" s="2378"/>
      <c r="H32" s="2378"/>
      <c r="I32" s="2378"/>
      <c r="J32" s="2378"/>
      <c r="K32" s="2378"/>
      <c r="L32" s="2378"/>
      <c r="M32" s="2378"/>
      <c r="N32" s="1214"/>
      <c r="O32" s="1429"/>
    </row>
    <row r="33" spans="2:15" ht="7.5" customHeight="1" x14ac:dyDescent="0.25">
      <c r="B33" s="1428"/>
      <c r="C33" s="1213"/>
      <c r="D33" s="1213"/>
      <c r="E33" s="1213"/>
      <c r="F33" s="1448"/>
      <c r="G33" s="1448"/>
      <c r="H33" s="1448"/>
      <c r="I33" s="1448"/>
      <c r="J33" s="1214" t="s">
        <v>335</v>
      </c>
      <c r="K33" s="1448"/>
      <c r="L33" s="1448"/>
      <c r="M33" s="1448"/>
      <c r="N33" s="1448"/>
      <c r="O33" s="1449"/>
    </row>
    <row r="34" spans="2:15" x14ac:dyDescent="0.25">
      <c r="B34" s="1428"/>
      <c r="C34" s="1213"/>
      <c r="D34" s="402" t="s">
        <v>704</v>
      </c>
      <c r="E34" s="1214"/>
      <c r="F34" s="1213"/>
      <c r="G34" s="1436"/>
      <c r="H34" s="1436"/>
      <c r="I34" s="1436"/>
      <c r="J34" s="1436"/>
      <c r="K34" s="1436"/>
      <c r="L34" s="1213"/>
      <c r="M34" s="1213"/>
      <c r="N34" s="1213"/>
      <c r="O34" s="1429"/>
    </row>
    <row r="35" spans="2:15" ht="7.5" customHeight="1" x14ac:dyDescent="0.25">
      <c r="B35" s="1428"/>
      <c r="C35" s="1213"/>
      <c r="D35" s="1214"/>
      <c r="E35" s="1214"/>
      <c r="F35" s="1213"/>
      <c r="G35" s="1436"/>
      <c r="H35" s="1436"/>
      <c r="I35" s="1436"/>
      <c r="J35" s="1436"/>
      <c r="K35" s="1436"/>
      <c r="L35" s="1213"/>
      <c r="M35" s="1213"/>
      <c r="N35" s="1213"/>
      <c r="O35" s="1429"/>
    </row>
    <row r="36" spans="2:15" x14ac:dyDescent="0.25">
      <c r="B36" s="1428"/>
      <c r="C36" s="1213"/>
      <c r="D36" s="1213"/>
      <c r="E36" s="1213"/>
      <c r="F36" s="2377" t="s">
        <v>566</v>
      </c>
      <c r="G36" s="2377"/>
      <c r="H36" s="2377"/>
      <c r="I36" s="2377"/>
      <c r="J36" s="2377"/>
      <c r="K36" s="2377"/>
      <c r="L36" s="2377"/>
      <c r="M36" s="2377"/>
      <c r="N36" s="1450"/>
      <c r="O36" s="1429"/>
    </row>
    <row r="37" spans="2:15" ht="7.5" customHeight="1" x14ac:dyDescent="0.25">
      <c r="B37" s="1428"/>
      <c r="C37" s="1213"/>
      <c r="D37" s="1213"/>
      <c r="E37" s="1213"/>
      <c r="F37" s="1450"/>
      <c r="G37" s="1450"/>
      <c r="H37" s="1450"/>
      <c r="I37" s="1450"/>
      <c r="J37" s="1450"/>
      <c r="K37" s="1450"/>
      <c r="L37" s="1450"/>
      <c r="M37" s="1450"/>
      <c r="N37" s="1450"/>
      <c r="O37" s="1429"/>
    </row>
    <row r="38" spans="2:15" x14ac:dyDescent="0.25">
      <c r="B38" s="1428"/>
      <c r="C38" s="1213"/>
      <c r="D38" s="402" t="s">
        <v>705</v>
      </c>
      <c r="E38" s="1214"/>
      <c r="F38" s="1213"/>
      <c r="G38" s="1436"/>
      <c r="H38" s="1436"/>
      <c r="I38" s="1436"/>
      <c r="J38" s="1436"/>
      <c r="K38" s="1436"/>
      <c r="L38" s="1213"/>
      <c r="M38" s="1213"/>
      <c r="N38" s="1213"/>
      <c r="O38" s="1429"/>
    </row>
    <row r="39" spans="2:15" ht="7.5" customHeight="1" x14ac:dyDescent="0.25">
      <c r="B39" s="1428"/>
      <c r="C39" s="1213"/>
      <c r="D39" s="1214"/>
      <c r="E39" s="1214"/>
      <c r="F39" s="1213"/>
      <c r="G39" s="1436"/>
      <c r="H39" s="1436"/>
      <c r="I39" s="1436"/>
      <c r="J39" s="1436"/>
      <c r="K39" s="1436"/>
      <c r="L39" s="1213"/>
      <c r="M39" s="1213"/>
      <c r="N39" s="1213"/>
      <c r="O39" s="1429"/>
    </row>
    <row r="40" spans="2:15" x14ac:dyDescent="0.25">
      <c r="B40" s="1428"/>
      <c r="C40" s="1213"/>
      <c r="D40" s="1213"/>
      <c r="E40" s="1213"/>
      <c r="F40" s="2377" t="s">
        <v>566</v>
      </c>
      <c r="G40" s="2377"/>
      <c r="H40" s="2377"/>
      <c r="I40" s="2377"/>
      <c r="J40" s="2377"/>
      <c r="K40" s="2377"/>
      <c r="L40" s="2377"/>
      <c r="M40" s="2377"/>
      <c r="N40" s="1444"/>
      <c r="O40" s="1429"/>
    </row>
    <row r="41" spans="2:15" ht="7.5" customHeight="1" x14ac:dyDescent="0.25">
      <c r="B41" s="1428"/>
      <c r="C41" s="1441"/>
      <c r="D41" s="1441"/>
      <c r="E41" s="1441"/>
      <c r="F41" s="1450"/>
      <c r="G41" s="1450"/>
      <c r="H41" s="1441"/>
      <c r="I41" s="1450"/>
      <c r="J41" s="1450"/>
      <c r="K41" s="1450"/>
      <c r="L41" s="1450"/>
      <c r="M41" s="1453"/>
      <c r="N41" s="1450"/>
      <c r="O41" s="1429"/>
    </row>
    <row r="42" spans="2:15" x14ac:dyDescent="0.25">
      <c r="B42" s="1428"/>
      <c r="C42" s="1213"/>
      <c r="D42" s="1454" t="s">
        <v>707</v>
      </c>
      <c r="E42" s="1454"/>
      <c r="F42" s="1450"/>
      <c r="G42" s="1450"/>
      <c r="H42" s="1213"/>
      <c r="I42" s="1450"/>
      <c r="J42" s="1450"/>
      <c r="K42" s="1450"/>
      <c r="L42" s="1450"/>
      <c r="M42" s="1453"/>
      <c r="N42" s="1450"/>
      <c r="O42" s="1429"/>
    </row>
    <row r="43" spans="2:15" ht="7.5" customHeight="1" x14ac:dyDescent="0.25">
      <c r="B43" s="1428"/>
      <c r="C43" s="1213"/>
      <c r="D43" s="1454"/>
      <c r="E43" s="1454"/>
      <c r="F43" s="1450"/>
      <c r="G43" s="1450"/>
      <c r="H43" s="1213"/>
      <c r="I43" s="1450"/>
      <c r="J43" s="1450"/>
      <c r="K43" s="1450"/>
      <c r="L43" s="1450"/>
      <c r="M43" s="1453"/>
      <c r="N43" s="1450"/>
      <c r="O43" s="1429"/>
    </row>
    <row r="44" spans="2:15" x14ac:dyDescent="0.25">
      <c r="B44" s="1428"/>
      <c r="C44" s="1213"/>
      <c r="D44" s="1213"/>
      <c r="E44" s="1454"/>
      <c r="F44" s="2377" t="s">
        <v>566</v>
      </c>
      <c r="G44" s="2377"/>
      <c r="H44" s="2377"/>
      <c r="I44" s="2377"/>
      <c r="J44" s="2377"/>
      <c r="K44" s="2377"/>
      <c r="L44" s="2377"/>
      <c r="M44" s="2377"/>
      <c r="N44" s="1450"/>
      <c r="O44" s="1429"/>
    </row>
    <row r="45" spans="2:15" ht="7.5" customHeight="1" x14ac:dyDescent="0.25">
      <c r="B45" s="1428"/>
      <c r="C45" s="1441"/>
      <c r="D45" s="1441"/>
      <c r="E45" s="1454"/>
      <c r="F45" s="1450"/>
      <c r="G45" s="1450"/>
      <c r="H45" s="1450"/>
      <c r="I45" s="1450"/>
      <c r="J45" s="1450"/>
      <c r="K45" s="1450"/>
      <c r="L45" s="1450"/>
      <c r="M45" s="1450"/>
      <c r="N45" s="1450"/>
      <c r="O45" s="1429"/>
    </row>
    <row r="46" spans="2:15" x14ac:dyDescent="0.25">
      <c r="B46" s="1428"/>
      <c r="C46" s="1213"/>
      <c r="D46" s="1213"/>
      <c r="E46" s="1213"/>
      <c r="F46" s="1477" t="s">
        <v>611</v>
      </c>
      <c r="G46" s="820"/>
      <c r="H46" s="1213"/>
      <c r="I46" s="1450"/>
      <c r="J46" s="1450"/>
      <c r="K46" s="1450"/>
      <c r="L46" s="1450"/>
      <c r="M46" s="1453"/>
      <c r="N46" s="1450"/>
      <c r="O46" s="1429"/>
    </row>
    <row r="47" spans="2:15" x14ac:dyDescent="0.25">
      <c r="B47" s="1428"/>
      <c r="C47" s="1213"/>
      <c r="D47" s="1213"/>
      <c r="E47" s="1213"/>
      <c r="F47" s="1450"/>
      <c r="G47" s="1738"/>
      <c r="H47" s="1450" t="s">
        <v>612</v>
      </c>
      <c r="I47" s="1450"/>
      <c r="J47" s="1450"/>
      <c r="K47" s="1450"/>
      <c r="L47" s="1450"/>
      <c r="M47" s="1453"/>
      <c r="N47" s="1450"/>
      <c r="O47" s="1429"/>
    </row>
    <row r="48" spans="2:15" x14ac:dyDescent="0.25">
      <c r="B48" s="1428"/>
      <c r="C48" s="1213"/>
      <c r="D48" s="1213"/>
      <c r="E48" s="1213"/>
      <c r="F48" s="1450"/>
      <c r="G48" s="1738"/>
      <c r="H48" s="1450" t="s">
        <v>613</v>
      </c>
      <c r="I48" s="1450"/>
      <c r="J48" s="1450"/>
      <c r="K48" s="1450"/>
      <c r="L48" s="1450"/>
      <c r="M48" s="1453"/>
      <c r="N48" s="1450"/>
      <c r="O48" s="1429"/>
    </row>
    <row r="49" spans="2:15" x14ac:dyDescent="0.25">
      <c r="B49" s="1428"/>
      <c r="C49" s="1213"/>
      <c r="D49" s="1213"/>
      <c r="E49" s="1213"/>
      <c r="F49" s="1450"/>
      <c r="G49" s="1738"/>
      <c r="H49" s="1450" t="s">
        <v>614</v>
      </c>
      <c r="I49" s="1450"/>
      <c r="J49" s="1450"/>
      <c r="K49" s="1450"/>
      <c r="L49" s="1450"/>
      <c r="M49" s="1453"/>
      <c r="N49" s="1450"/>
      <c r="O49" s="1429"/>
    </row>
    <row r="50" spans="2:15" x14ac:dyDescent="0.25">
      <c r="B50" s="1428"/>
      <c r="C50" s="1213"/>
      <c r="D50" s="1213"/>
      <c r="E50" s="1213"/>
      <c r="F50" s="1450"/>
      <c r="G50" s="1738"/>
      <c r="H50" s="1441" t="s">
        <v>615</v>
      </c>
      <c r="I50" s="1450"/>
      <c r="J50" s="1450"/>
      <c r="K50" s="1450"/>
      <c r="L50" s="1450"/>
      <c r="M50" s="1453"/>
      <c r="N50" s="1450"/>
      <c r="O50" s="1429"/>
    </row>
    <row r="51" spans="2:15" x14ac:dyDescent="0.25">
      <c r="B51" s="1428"/>
      <c r="C51" s="1213"/>
      <c r="D51" s="1213"/>
      <c r="E51" s="1213"/>
      <c r="F51" s="1450"/>
      <c r="G51" s="1738"/>
      <c r="H51" s="1441" t="s">
        <v>616</v>
      </c>
      <c r="I51" s="1450"/>
      <c r="J51" s="1450"/>
      <c r="K51" s="1450"/>
      <c r="L51" s="1450"/>
      <c r="M51" s="1453"/>
      <c r="N51" s="1450"/>
      <c r="O51" s="1429"/>
    </row>
    <row r="52" spans="2:15" x14ac:dyDescent="0.25">
      <c r="B52" s="1428"/>
      <c r="C52" s="1213"/>
      <c r="D52" s="1213"/>
      <c r="E52" s="1213"/>
      <c r="F52" s="1450"/>
      <c r="G52" s="1478"/>
      <c r="H52" s="1213"/>
      <c r="I52" s="1450"/>
      <c r="J52" s="1450"/>
      <c r="K52" s="1450"/>
      <c r="L52" s="1450"/>
      <c r="M52" s="1453"/>
      <c r="N52" s="1450"/>
      <c r="O52" s="1429"/>
    </row>
    <row r="53" spans="2:15" x14ac:dyDescent="0.25">
      <c r="B53" s="1428"/>
      <c r="C53" s="258">
        <v>4</v>
      </c>
      <c r="D53" s="1432" t="s">
        <v>678</v>
      </c>
      <c r="E53" s="1432"/>
      <c r="F53" s="1433"/>
      <c r="G53" s="1434"/>
      <c r="H53" s="1434"/>
      <c r="I53" s="1434"/>
      <c r="J53" s="1434"/>
      <c r="K53" s="1434"/>
      <c r="L53" s="1434"/>
      <c r="M53" s="1435"/>
      <c r="N53" s="1422">
        <v>0</v>
      </c>
      <c r="O53" s="1429"/>
    </row>
    <row r="54" spans="2:15" ht="3.75" customHeight="1" x14ac:dyDescent="0.25">
      <c r="B54" s="1428"/>
      <c r="C54" s="1213"/>
      <c r="D54" s="698"/>
      <c r="E54" s="698"/>
      <c r="F54" s="1214"/>
      <c r="G54" s="698"/>
      <c r="H54" s="698"/>
      <c r="I54" s="698"/>
      <c r="J54" s="698"/>
      <c r="K54" s="698"/>
      <c r="L54" s="698"/>
      <c r="M54" s="1442"/>
      <c r="N54" s="698"/>
      <c r="O54" s="1429"/>
    </row>
    <row r="55" spans="2:15" ht="30" customHeight="1" x14ac:dyDescent="0.25">
      <c r="B55" s="1428"/>
      <c r="C55" s="1213"/>
      <c r="D55" s="2399" t="s">
        <v>617</v>
      </c>
      <c r="E55" s="2399"/>
      <c r="F55" s="2399"/>
      <c r="G55" s="2399"/>
      <c r="H55" s="2399"/>
      <c r="I55" s="2399"/>
      <c r="J55" s="2399"/>
      <c r="K55" s="2399"/>
      <c r="L55" s="2399"/>
      <c r="M55" s="2399"/>
      <c r="N55" s="1213"/>
      <c r="O55" s="1429"/>
    </row>
    <row r="56" spans="2:15" ht="7.5" customHeight="1" x14ac:dyDescent="0.25">
      <c r="B56" s="1428"/>
      <c r="C56" s="1213"/>
      <c r="D56" s="1214"/>
      <c r="E56" s="1214"/>
      <c r="F56" s="1454"/>
      <c r="G56" s="1213"/>
      <c r="H56" s="1213"/>
      <c r="I56" s="1213"/>
      <c r="J56" s="1213"/>
      <c r="K56" s="1213"/>
      <c r="L56" s="1213"/>
      <c r="M56" s="1213"/>
      <c r="N56" s="1213"/>
      <c r="O56" s="1429"/>
    </row>
    <row r="57" spans="2:15" x14ac:dyDescent="0.25">
      <c r="B57" s="1428"/>
      <c r="C57" s="1213"/>
      <c r="D57" s="1213"/>
      <c r="E57" s="1213"/>
      <c r="F57" s="2393" t="s">
        <v>566</v>
      </c>
      <c r="G57" s="2393"/>
      <c r="H57" s="2393"/>
      <c r="I57" s="2393"/>
      <c r="J57" s="2393"/>
      <c r="K57" s="2393"/>
      <c r="L57" s="2393"/>
      <c r="M57" s="2393"/>
      <c r="N57" s="1479"/>
      <c r="O57" s="1429"/>
    </row>
    <row r="58" spans="2:15" ht="7.5" customHeight="1" x14ac:dyDescent="0.25">
      <c r="B58" s="1428"/>
      <c r="C58" s="1213"/>
      <c r="D58" s="1213"/>
      <c r="E58" s="1213"/>
      <c r="F58" s="1479"/>
      <c r="G58" s="1479"/>
      <c r="H58" s="1479"/>
      <c r="I58" s="1479"/>
      <c r="J58" s="1479"/>
      <c r="K58" s="1479"/>
      <c r="L58" s="1479"/>
      <c r="M58" s="1479"/>
      <c r="N58" s="1479"/>
      <c r="O58" s="1429"/>
    </row>
    <row r="59" spans="2:15" x14ac:dyDescent="0.25">
      <c r="B59" s="1428"/>
      <c r="C59" s="1213"/>
      <c r="D59" s="1213"/>
      <c r="E59" s="1213"/>
      <c r="F59" s="1213"/>
      <c r="G59" s="1454" t="s">
        <v>618</v>
      </c>
      <c r="H59" s="1213"/>
      <c r="I59" s="1213"/>
      <c r="J59" s="1213"/>
      <c r="K59" s="1213"/>
      <c r="L59" s="1213"/>
      <c r="M59" s="1213"/>
      <c r="N59" s="1213"/>
      <c r="O59" s="1429"/>
    </row>
    <row r="60" spans="2:15" x14ac:dyDescent="0.25">
      <c r="B60" s="1428"/>
      <c r="C60" s="1213"/>
      <c r="D60" s="1213"/>
      <c r="E60" s="1213"/>
      <c r="F60" s="1213"/>
      <c r="G60" s="1451" t="s">
        <v>619</v>
      </c>
      <c r="H60" s="1213"/>
      <c r="I60" s="1455"/>
      <c r="J60" s="1213"/>
      <c r="K60" s="1739">
        <v>0</v>
      </c>
      <c r="L60" s="1480"/>
      <c r="M60" s="1480"/>
      <c r="N60" s="1481"/>
      <c r="O60" s="1429"/>
    </row>
    <row r="61" spans="2:15" x14ac:dyDescent="0.25">
      <c r="B61" s="1428"/>
      <c r="C61" s="1213"/>
      <c r="D61" s="1213"/>
      <c r="E61" s="1213"/>
      <c r="F61" s="1213"/>
      <c r="G61" s="1742" t="s">
        <v>620</v>
      </c>
      <c r="H61" s="1743"/>
      <c r="I61" s="1744"/>
      <c r="J61" s="1745"/>
      <c r="K61" s="1740">
        <f>'1B'!L18</f>
        <v>114</v>
      </c>
      <c r="L61" s="1480"/>
      <c r="M61" s="1480"/>
      <c r="N61" s="1481"/>
      <c r="O61" s="1429"/>
    </row>
    <row r="62" spans="2:15" x14ac:dyDescent="0.25">
      <c r="B62" s="1428"/>
      <c r="C62" s="1213"/>
      <c r="D62" s="1213"/>
      <c r="E62" s="1213"/>
      <c r="F62" s="1213"/>
      <c r="G62" s="1451" t="s">
        <v>621</v>
      </c>
      <c r="H62" s="1456"/>
      <c r="I62" s="1455"/>
      <c r="J62" s="1213"/>
      <c r="K62" s="1741">
        <f>IFERROR(K60/K61,"0%")</f>
        <v>0</v>
      </c>
      <c r="L62" s="1465"/>
      <c r="M62" s="1465"/>
      <c r="N62" s="1485"/>
      <c r="O62" s="1429"/>
    </row>
    <row r="63" spans="2:15" ht="15" customHeight="1" x14ac:dyDescent="0.25">
      <c r="B63" s="1428"/>
      <c r="C63" s="1441"/>
      <c r="D63" s="1441"/>
      <c r="E63" s="1441"/>
      <c r="F63" s="1464"/>
      <c r="G63" s="1441"/>
      <c r="H63" s="1441"/>
      <c r="I63" s="1456"/>
      <c r="J63" s="1455"/>
      <c r="K63" s="1465"/>
      <c r="L63" s="1465"/>
      <c r="M63" s="1465"/>
      <c r="N63" s="1465"/>
      <c r="O63" s="1429"/>
    </row>
    <row r="64" spans="2:15" x14ac:dyDescent="0.25">
      <c r="B64" s="1428"/>
      <c r="C64" s="258">
        <v>5</v>
      </c>
      <c r="D64" s="1432" t="s">
        <v>709</v>
      </c>
      <c r="E64" s="1432"/>
      <c r="F64" s="1433"/>
      <c r="G64" s="1434"/>
      <c r="H64" s="1434"/>
      <c r="I64" s="1434"/>
      <c r="J64" s="1434"/>
      <c r="K64" s="1434"/>
      <c r="L64" s="1434"/>
      <c r="M64" s="1435"/>
      <c r="N64" s="1424">
        <v>0</v>
      </c>
      <c r="O64" s="1429"/>
    </row>
    <row r="65" spans="2:15" ht="3.75" customHeight="1" x14ac:dyDescent="0.25">
      <c r="B65" s="1428"/>
      <c r="C65" s="1213"/>
      <c r="D65" s="698"/>
      <c r="E65" s="698"/>
      <c r="F65" s="1214"/>
      <c r="G65" s="698"/>
      <c r="H65" s="698"/>
      <c r="I65" s="698"/>
      <c r="J65" s="698"/>
      <c r="K65" s="698"/>
      <c r="L65" s="698"/>
      <c r="M65" s="1442"/>
      <c r="N65" s="698"/>
      <c r="O65" s="1429"/>
    </row>
    <row r="66" spans="2:15" ht="30" customHeight="1" x14ac:dyDescent="0.25">
      <c r="B66" s="1428"/>
      <c r="C66" s="1213"/>
      <c r="D66" s="2378" t="s">
        <v>622</v>
      </c>
      <c r="E66" s="2378"/>
      <c r="F66" s="2378"/>
      <c r="G66" s="2378"/>
      <c r="H66" s="2378"/>
      <c r="I66" s="2378"/>
      <c r="J66" s="2378"/>
      <c r="K66" s="2378"/>
      <c r="L66" s="2378"/>
      <c r="M66" s="2378"/>
      <c r="N66" s="1214"/>
      <c r="O66" s="1429"/>
    </row>
    <row r="67" spans="2:15" ht="7.5" customHeight="1" x14ac:dyDescent="0.25">
      <c r="B67" s="1428"/>
      <c r="C67" s="1213"/>
      <c r="D67" s="1214"/>
      <c r="E67" s="1214"/>
      <c r="F67" s="1213"/>
      <c r="G67" s="1213"/>
      <c r="H67" s="1213"/>
      <c r="I67" s="1213"/>
      <c r="J67" s="1213"/>
      <c r="K67" s="1213"/>
      <c r="L67" s="1213"/>
      <c r="M67" s="1213"/>
      <c r="N67" s="1213"/>
      <c r="O67" s="1429"/>
    </row>
    <row r="68" spans="2:15" x14ac:dyDescent="0.25">
      <c r="B68" s="1428"/>
      <c r="C68" s="1213"/>
      <c r="D68" s="1214"/>
      <c r="E68" s="1214"/>
      <c r="F68" s="2394" t="s">
        <v>566</v>
      </c>
      <c r="G68" s="2395"/>
      <c r="H68" s="2395"/>
      <c r="I68" s="2395"/>
      <c r="J68" s="2395"/>
      <c r="K68" s="2395"/>
      <c r="L68" s="2395"/>
      <c r="M68" s="2396"/>
      <c r="N68" s="1450"/>
      <c r="O68" s="1429"/>
    </row>
    <row r="69" spans="2:15" ht="7.5" customHeight="1" x14ac:dyDescent="0.25">
      <c r="B69" s="1428"/>
      <c r="C69" s="1213"/>
      <c r="D69" s="1214"/>
      <c r="E69" s="1214"/>
      <c r="F69" s="1450"/>
      <c r="G69" s="1450"/>
      <c r="H69" s="1450"/>
      <c r="I69" s="1450"/>
      <c r="J69" s="1450"/>
      <c r="K69" s="1450"/>
      <c r="L69" s="1450"/>
      <c r="M69" s="1450"/>
      <c r="N69" s="1450"/>
      <c r="O69" s="1429"/>
    </row>
    <row r="70" spans="2:15" x14ac:dyDescent="0.25">
      <c r="B70" s="1428"/>
      <c r="C70" s="1213"/>
      <c r="D70" s="1213"/>
      <c r="E70" s="1213"/>
      <c r="F70" s="1213"/>
      <c r="G70" s="1454" t="s">
        <v>623</v>
      </c>
      <c r="H70" s="1213"/>
      <c r="I70" s="1213"/>
      <c r="J70" s="1213"/>
      <c r="K70" s="1213"/>
      <c r="L70" s="1213"/>
      <c r="M70" s="1213"/>
      <c r="N70" s="1213"/>
      <c r="O70" s="1429"/>
    </row>
    <row r="71" spans="2:15" x14ac:dyDescent="0.25">
      <c r="B71" s="1428"/>
      <c r="C71" s="1213"/>
      <c r="D71" s="1213"/>
      <c r="E71" s="1213"/>
      <c r="F71" s="1213"/>
      <c r="G71" s="1451" t="s">
        <v>624</v>
      </c>
      <c r="H71" s="1213"/>
      <c r="I71" s="1455"/>
      <c r="J71" s="2382">
        <v>0</v>
      </c>
      <c r="K71" s="2382"/>
      <c r="L71" s="1486"/>
      <c r="M71" s="1486"/>
      <c r="N71" s="1213"/>
      <c r="O71" s="1429"/>
    </row>
    <row r="72" spans="2:15" x14ac:dyDescent="0.25">
      <c r="B72" s="1428"/>
      <c r="C72" s="1213"/>
      <c r="D72" s="1213"/>
      <c r="E72" s="1213"/>
      <c r="F72" s="1213"/>
      <c r="G72" s="1742" t="s">
        <v>708</v>
      </c>
      <c r="H72" s="1743"/>
      <c r="I72" s="1744"/>
      <c r="J72" s="2397">
        <f>'6A'!J118</f>
        <v>30299657.607999999</v>
      </c>
      <c r="K72" s="2397"/>
      <c r="L72" s="1486"/>
      <c r="M72" s="1486"/>
      <c r="N72" s="1213"/>
      <c r="O72" s="1429"/>
    </row>
    <row r="73" spans="2:15" x14ac:dyDescent="0.25">
      <c r="B73" s="1428"/>
      <c r="C73" s="1213"/>
      <c r="D73" s="1213"/>
      <c r="E73" s="1213"/>
      <c r="F73" s="1213"/>
      <c r="G73" s="1451" t="s">
        <v>573</v>
      </c>
      <c r="H73" s="1456"/>
      <c r="I73" s="1455"/>
      <c r="J73" s="2398">
        <f>IFERROR(J71/J72,"0%")</f>
        <v>0</v>
      </c>
      <c r="K73" s="2398"/>
      <c r="L73" s="1465"/>
      <c r="M73" s="1465"/>
      <c r="N73" s="1213"/>
      <c r="O73" s="1429"/>
    </row>
    <row r="74" spans="2:15" ht="15.75" thickBot="1" x14ac:dyDescent="0.3">
      <c r="B74" s="1458"/>
      <c r="C74" s="1459"/>
      <c r="D74" s="1459"/>
      <c r="E74" s="1459"/>
      <c r="F74" s="1459"/>
      <c r="G74" s="1459"/>
      <c r="H74" s="1487"/>
      <c r="I74" s="1460"/>
      <c r="J74" s="1488"/>
      <c r="K74" s="1488"/>
      <c r="L74" s="1488"/>
      <c r="M74" s="1488"/>
      <c r="N74" s="1459"/>
      <c r="O74" s="1463"/>
    </row>
    <row r="75" spans="2:15" ht="9" customHeight="1" x14ac:dyDescent="0.25">
      <c r="B75" s="1425"/>
      <c r="C75" s="1426"/>
      <c r="D75" s="1426"/>
      <c r="E75" s="1426"/>
      <c r="F75" s="1426"/>
      <c r="G75" s="1426"/>
      <c r="H75" s="1426"/>
      <c r="I75" s="1426"/>
      <c r="J75" s="1426"/>
      <c r="K75" s="1426"/>
      <c r="L75" s="1426"/>
      <c r="M75" s="1426"/>
      <c r="N75" s="1426"/>
      <c r="O75" s="1427"/>
    </row>
    <row r="76" spans="2:15" ht="18.75" x14ac:dyDescent="0.3">
      <c r="B76" s="1428"/>
      <c r="C76" s="2030" t="s">
        <v>1080</v>
      </c>
      <c r="D76" s="2030"/>
      <c r="E76" s="2030"/>
      <c r="F76" s="2030"/>
      <c r="G76" s="2030"/>
      <c r="H76" s="2030"/>
      <c r="I76" s="2030"/>
      <c r="J76" s="2030"/>
      <c r="K76" s="2030"/>
      <c r="L76" s="2030"/>
      <c r="M76" s="2030"/>
      <c r="N76" s="1158"/>
      <c r="O76" s="1429"/>
    </row>
    <row r="77" spans="2:15" x14ac:dyDescent="0.25">
      <c r="B77" s="1428"/>
      <c r="C77" s="1475"/>
      <c r="D77" s="1475"/>
      <c r="E77" s="1475"/>
      <c r="F77" s="1475"/>
      <c r="G77" s="1475"/>
      <c r="H77" s="1475"/>
      <c r="I77" s="1475"/>
      <c r="J77" s="1475"/>
      <c r="K77" s="1475"/>
      <c r="L77" s="1475"/>
      <c r="M77" s="1475"/>
      <c r="N77" s="1475"/>
      <c r="O77" s="1429"/>
    </row>
    <row r="78" spans="2:15" x14ac:dyDescent="0.25">
      <c r="B78" s="1428"/>
      <c r="C78" s="820"/>
      <c r="D78" s="1441" t="s">
        <v>1</v>
      </c>
      <c r="E78" s="1128"/>
      <c r="F78" s="1128"/>
      <c r="G78" s="1127" t="str">
        <f>IF('1A'!G68="","Enter Project Name on Form 1A",'1A'!G68)</f>
        <v>Enter Project Name on Form 1A</v>
      </c>
      <c r="H78" s="1127"/>
      <c r="I78" s="1127"/>
      <c r="J78" s="1127"/>
      <c r="K78" s="1127"/>
      <c r="L78" s="1127"/>
      <c r="M78" s="1127"/>
      <c r="N78" s="1128"/>
      <c r="O78" s="1429"/>
    </row>
    <row r="79" spans="2:15" ht="30" customHeight="1" x14ac:dyDescent="0.25">
      <c r="B79" s="1428"/>
      <c r="C79" s="1441"/>
      <c r="D79" s="1441"/>
      <c r="E79" s="1441"/>
      <c r="F79" s="1441"/>
      <c r="G79" s="1441"/>
      <c r="H79" s="1441"/>
      <c r="I79" s="1441"/>
      <c r="J79" s="1441"/>
      <c r="K79" s="1441"/>
      <c r="L79" s="1441"/>
      <c r="M79" s="1430"/>
      <c r="N79" s="1431" t="s">
        <v>557</v>
      </c>
      <c r="O79" s="1429"/>
    </row>
    <row r="80" spans="2:15" x14ac:dyDescent="0.25">
      <c r="B80" s="1428"/>
      <c r="C80" s="258">
        <v>6</v>
      </c>
      <c r="D80" s="1432" t="s">
        <v>710</v>
      </c>
      <c r="E80" s="1432"/>
      <c r="F80" s="1433"/>
      <c r="G80" s="1434"/>
      <c r="H80" s="1434"/>
      <c r="I80" s="1434"/>
      <c r="J80" s="1434"/>
      <c r="K80" s="1434"/>
      <c r="L80" s="1434"/>
      <c r="M80" s="1435"/>
      <c r="N80" s="1422">
        <v>0</v>
      </c>
      <c r="O80" s="1429"/>
    </row>
    <row r="81" spans="2:15" ht="3.75" customHeight="1" x14ac:dyDescent="0.25">
      <c r="B81" s="1428"/>
      <c r="C81" s="1213"/>
      <c r="D81" s="698"/>
      <c r="E81" s="698"/>
      <c r="F81" s="1214"/>
      <c r="G81" s="698"/>
      <c r="H81" s="698"/>
      <c r="I81" s="698"/>
      <c r="J81" s="698"/>
      <c r="K81" s="698"/>
      <c r="L81" s="698"/>
      <c r="M81" s="1442"/>
      <c r="N81" s="698"/>
      <c r="O81" s="1429"/>
    </row>
    <row r="82" spans="2:15" ht="30" customHeight="1" x14ac:dyDescent="0.25">
      <c r="B82" s="1428"/>
      <c r="C82" s="1213"/>
      <c r="D82" s="2378" t="s">
        <v>625</v>
      </c>
      <c r="E82" s="2378"/>
      <c r="F82" s="2378"/>
      <c r="G82" s="2378"/>
      <c r="H82" s="2378"/>
      <c r="I82" s="2378"/>
      <c r="J82" s="2378"/>
      <c r="K82" s="2378"/>
      <c r="L82" s="2378"/>
      <c r="M82" s="2378"/>
      <c r="N82" s="1214"/>
      <c r="O82" s="1429"/>
    </row>
    <row r="83" spans="2:15" ht="7.5" customHeight="1" x14ac:dyDescent="0.25">
      <c r="B83" s="1428"/>
      <c r="C83" s="1213"/>
      <c r="D83" s="1214"/>
      <c r="E83" s="1214"/>
      <c r="F83" s="1213"/>
      <c r="G83" s="1213"/>
      <c r="H83" s="1213"/>
      <c r="I83" s="1213"/>
      <c r="J83" s="1213"/>
      <c r="K83" s="1213"/>
      <c r="L83" s="1213"/>
      <c r="M83" s="1213"/>
      <c r="N83" s="1213"/>
      <c r="O83" s="1429"/>
    </row>
    <row r="84" spans="2:15" x14ac:dyDescent="0.25">
      <c r="B84" s="1428"/>
      <c r="C84" s="1213"/>
      <c r="D84" s="1213"/>
      <c r="E84" s="1213"/>
      <c r="F84" s="2377" t="s">
        <v>566</v>
      </c>
      <c r="G84" s="2377"/>
      <c r="H84" s="2377"/>
      <c r="I84" s="2377"/>
      <c r="J84" s="2377"/>
      <c r="K84" s="2377"/>
      <c r="L84" s="2377"/>
      <c r="M84" s="2377"/>
      <c r="N84" s="1450"/>
      <c r="O84" s="1429"/>
    </row>
    <row r="85" spans="2:15" ht="7.5" customHeight="1" x14ac:dyDescent="0.25">
      <c r="B85" s="1428"/>
      <c r="C85" s="1213"/>
      <c r="D85" s="1213"/>
      <c r="E85" s="1213"/>
      <c r="F85" s="1450"/>
      <c r="G85" s="1450"/>
      <c r="H85" s="1450"/>
      <c r="I85" s="1450"/>
      <c r="J85" s="1450"/>
      <c r="K85" s="1450"/>
      <c r="L85" s="1450"/>
      <c r="M85" s="1450"/>
      <c r="N85" s="1213"/>
      <c r="O85" s="1429"/>
    </row>
    <row r="86" spans="2:15" x14ac:dyDescent="0.25">
      <c r="B86" s="1428"/>
      <c r="C86" s="1213"/>
      <c r="D86" s="1213"/>
      <c r="E86" s="1213"/>
      <c r="F86" s="1213"/>
      <c r="G86" s="1454" t="s">
        <v>626</v>
      </c>
      <c r="H86" s="1213"/>
      <c r="I86" s="1213"/>
      <c r="J86" s="1213"/>
      <c r="K86" s="1213"/>
      <c r="L86" s="1213"/>
      <c r="M86" s="1213"/>
      <c r="N86" s="1213"/>
      <c r="O86" s="1429"/>
    </row>
    <row r="87" spans="2:15" x14ac:dyDescent="0.25">
      <c r="B87" s="1428"/>
      <c r="C87" s="1213"/>
      <c r="D87" s="1213"/>
      <c r="E87" s="1213"/>
      <c r="F87" s="1213"/>
      <c r="G87" s="1451" t="s">
        <v>627</v>
      </c>
      <c r="H87" s="1213"/>
      <c r="I87" s="1455"/>
      <c r="J87" s="1213"/>
      <c r="K87" s="2382">
        <v>0</v>
      </c>
      <c r="L87" s="2382"/>
      <c r="M87" s="1486"/>
      <c r="N87" s="1213"/>
      <c r="O87" s="1429"/>
    </row>
    <row r="88" spans="2:15" x14ac:dyDescent="0.25">
      <c r="B88" s="1428"/>
      <c r="C88" s="1213"/>
      <c r="D88" s="1213"/>
      <c r="E88" s="1213"/>
      <c r="F88" s="1213"/>
      <c r="G88" s="1482" t="s">
        <v>628</v>
      </c>
      <c r="H88" s="1483"/>
      <c r="I88" s="1484"/>
      <c r="J88" s="1489"/>
      <c r="K88" s="2382">
        <v>0</v>
      </c>
      <c r="L88" s="2382"/>
      <c r="M88" s="1486"/>
      <c r="N88" s="1213"/>
      <c r="O88" s="1429"/>
    </row>
    <row r="89" spans="2:15" x14ac:dyDescent="0.25">
      <c r="B89" s="1428"/>
      <c r="C89" s="1213"/>
      <c r="D89" s="1213"/>
      <c r="E89" s="1213"/>
      <c r="F89" s="1213"/>
      <c r="G89" s="1451" t="s">
        <v>629</v>
      </c>
      <c r="H89" s="1456"/>
      <c r="I89" s="1455"/>
      <c r="J89" s="1213"/>
      <c r="K89" s="2383">
        <f>K87+K88</f>
        <v>0</v>
      </c>
      <c r="L89" s="2383"/>
      <c r="M89" s="1465"/>
      <c r="N89" s="1213"/>
      <c r="O89" s="1429"/>
    </row>
    <row r="90" spans="2:15" ht="7.5" customHeight="1" x14ac:dyDescent="0.25">
      <c r="B90" s="1428"/>
      <c r="C90" s="1213"/>
      <c r="D90" s="1213"/>
      <c r="E90" s="1213"/>
      <c r="F90" s="1213"/>
      <c r="G90" s="1213"/>
      <c r="H90" s="1456"/>
      <c r="I90" s="1455"/>
      <c r="J90" s="1465"/>
      <c r="K90" s="1465"/>
      <c r="L90" s="1465"/>
      <c r="M90" s="1465"/>
      <c r="N90" s="1213"/>
      <c r="O90" s="1429"/>
    </row>
    <row r="91" spans="2:15" x14ac:dyDescent="0.25">
      <c r="B91" s="1428"/>
      <c r="C91" s="1441"/>
      <c r="D91" s="1441"/>
      <c r="E91" s="1441"/>
      <c r="F91" s="1441"/>
      <c r="G91" s="1451" t="s">
        <v>630</v>
      </c>
      <c r="H91" s="1456"/>
      <c r="I91" s="1455"/>
      <c r="J91" s="1465"/>
      <c r="K91" s="2385" t="str">
        <f>IFERROR(K87/K89,"0%")</f>
        <v>0%</v>
      </c>
      <c r="L91" s="2385"/>
      <c r="M91" s="1465"/>
      <c r="N91" s="1441"/>
      <c r="O91" s="1429"/>
    </row>
    <row r="92" spans="2:15" x14ac:dyDescent="0.25">
      <c r="B92" s="1428"/>
      <c r="C92" s="1441"/>
      <c r="D92" s="1441"/>
      <c r="E92" s="1441"/>
      <c r="F92" s="1441"/>
      <c r="G92" s="1441"/>
      <c r="H92" s="1456"/>
      <c r="I92" s="1455"/>
      <c r="J92" s="1465"/>
      <c r="K92" s="1490"/>
      <c r="L92" s="1465"/>
      <c r="M92" s="1465"/>
      <c r="N92" s="1441"/>
      <c r="O92" s="1429"/>
    </row>
    <row r="93" spans="2:15" x14ac:dyDescent="0.25">
      <c r="B93" s="1428"/>
      <c r="C93" s="258">
        <v>7</v>
      </c>
      <c r="D93" s="1432" t="s">
        <v>679</v>
      </c>
      <c r="E93" s="1432"/>
      <c r="F93" s="1433"/>
      <c r="G93" s="1434"/>
      <c r="H93" s="1434"/>
      <c r="I93" s="1434"/>
      <c r="J93" s="1434"/>
      <c r="K93" s="1434"/>
      <c r="L93" s="1434"/>
      <c r="M93" s="1435"/>
      <c r="N93" s="1422">
        <v>0</v>
      </c>
      <c r="O93" s="1429"/>
    </row>
    <row r="94" spans="2:15" ht="3.75" customHeight="1" x14ac:dyDescent="0.25">
      <c r="B94" s="1428"/>
      <c r="C94" s="1213"/>
      <c r="D94" s="698"/>
      <c r="E94" s="698"/>
      <c r="F94" s="1214"/>
      <c r="G94" s="698"/>
      <c r="H94" s="698"/>
      <c r="I94" s="698"/>
      <c r="J94" s="698"/>
      <c r="K94" s="698"/>
      <c r="L94" s="698"/>
      <c r="M94" s="1442"/>
      <c r="N94" s="698"/>
      <c r="O94" s="1429"/>
    </row>
    <row r="95" spans="2:15" x14ac:dyDescent="0.25">
      <c r="B95" s="1428"/>
      <c r="C95" s="1213"/>
      <c r="D95" s="2387" t="s">
        <v>582</v>
      </c>
      <c r="E95" s="2387"/>
      <c r="F95" s="2387"/>
      <c r="G95" s="2387"/>
      <c r="H95" s="2387"/>
      <c r="I95" s="2387"/>
      <c r="J95" s="2387"/>
      <c r="K95" s="2387"/>
      <c r="L95" s="2387"/>
      <c r="M95" s="2387"/>
      <c r="N95" s="1214"/>
      <c r="O95" s="1429"/>
    </row>
    <row r="96" spans="2:15" ht="7.5" customHeight="1" x14ac:dyDescent="0.25">
      <c r="B96" s="1428"/>
      <c r="C96" s="1213"/>
      <c r="D96" s="1213"/>
      <c r="E96" s="1448"/>
      <c r="F96" s="1448"/>
      <c r="G96" s="1448"/>
      <c r="H96" s="1448"/>
      <c r="I96" s="1448"/>
      <c r="J96" s="1448"/>
      <c r="K96" s="1448"/>
      <c r="L96" s="1448"/>
      <c r="M96" s="1448"/>
      <c r="N96" s="1448"/>
      <c r="O96" s="1449"/>
    </row>
    <row r="97" spans="2:15" x14ac:dyDescent="0.25">
      <c r="B97" s="1428"/>
      <c r="C97" s="1213"/>
      <c r="D97" s="1213"/>
      <c r="E97" s="1213"/>
      <c r="F97" s="2384"/>
      <c r="G97" s="2384"/>
      <c r="H97" s="1128"/>
      <c r="I97" s="1128"/>
      <c r="J97" s="1128"/>
      <c r="K97" s="1128"/>
      <c r="L97" s="1128"/>
      <c r="M97" s="1128"/>
      <c r="N97" s="1128"/>
      <c r="O97" s="1429"/>
    </row>
    <row r="98" spans="2:15" x14ac:dyDescent="0.25">
      <c r="B98" s="1428"/>
      <c r="C98" s="1213"/>
      <c r="D98" s="1213"/>
      <c r="E98" s="1213"/>
      <c r="F98" s="1213"/>
      <c r="G98" s="1213"/>
      <c r="H98" s="1456"/>
      <c r="I98" s="1455"/>
      <c r="J98" s="1491"/>
      <c r="K98" s="1491"/>
      <c r="L98" s="1465"/>
      <c r="M98" s="1465"/>
      <c r="N98" s="1213"/>
      <c r="O98" s="1429"/>
    </row>
    <row r="99" spans="2:15" x14ac:dyDescent="0.25">
      <c r="B99" s="1428"/>
      <c r="C99" s="258">
        <v>8</v>
      </c>
      <c r="D99" s="1432" t="s">
        <v>711</v>
      </c>
      <c r="E99" s="1432"/>
      <c r="F99" s="1433"/>
      <c r="G99" s="1434"/>
      <c r="H99" s="1434"/>
      <c r="I99" s="1434"/>
      <c r="J99" s="1434"/>
      <c r="K99" s="1434"/>
      <c r="L99" s="1434"/>
      <c r="M99" s="1435"/>
      <c r="N99" s="1422">
        <v>0</v>
      </c>
      <c r="O99" s="1429"/>
    </row>
    <row r="100" spans="2:15" ht="3.75" customHeight="1" x14ac:dyDescent="0.25">
      <c r="B100" s="1428"/>
      <c r="C100" s="1213"/>
      <c r="D100" s="698"/>
      <c r="E100" s="698"/>
      <c r="F100" s="1213"/>
      <c r="G100" s="698"/>
      <c r="H100" s="698"/>
      <c r="I100" s="698"/>
      <c r="J100" s="698"/>
      <c r="K100" s="698"/>
      <c r="L100" s="698"/>
      <c r="M100" s="1442"/>
      <c r="N100" s="698"/>
      <c r="O100" s="1429"/>
    </row>
    <row r="101" spans="2:15" x14ac:dyDescent="0.25">
      <c r="B101" s="1428"/>
      <c r="C101" s="1213"/>
      <c r="D101" s="1918" t="s">
        <v>631</v>
      </c>
      <c r="E101" s="1918"/>
      <c r="F101" s="1918"/>
      <c r="G101" s="1918"/>
      <c r="H101" s="1918"/>
      <c r="I101" s="1918"/>
      <c r="J101" s="1918"/>
      <c r="K101" s="1918"/>
      <c r="L101" s="1918"/>
      <c r="M101" s="1918"/>
      <c r="N101" s="1214"/>
      <c r="O101" s="1429"/>
    </row>
    <row r="102" spans="2:15" x14ac:dyDescent="0.25">
      <c r="B102" s="1428"/>
      <c r="C102" s="1213"/>
      <c r="D102" s="1214"/>
      <c r="E102" s="1214"/>
      <c r="F102" s="1450"/>
      <c r="G102" s="1450"/>
      <c r="H102" s="1213"/>
      <c r="I102" s="1450"/>
      <c r="J102" s="1450"/>
      <c r="K102" s="1450"/>
      <c r="L102" s="1450"/>
      <c r="M102" s="1453"/>
      <c r="N102" s="1450"/>
      <c r="O102" s="1429"/>
    </row>
    <row r="103" spans="2:15" x14ac:dyDescent="0.25">
      <c r="B103" s="1428"/>
      <c r="C103" s="258">
        <v>9</v>
      </c>
      <c r="D103" s="1432" t="s">
        <v>712</v>
      </c>
      <c r="E103" s="1432"/>
      <c r="F103" s="1433"/>
      <c r="G103" s="1434"/>
      <c r="H103" s="1434"/>
      <c r="I103" s="1434"/>
      <c r="J103" s="1434"/>
      <c r="K103" s="1434"/>
      <c r="L103" s="1434"/>
      <c r="M103" s="1435"/>
      <c r="N103" s="1422">
        <v>0</v>
      </c>
      <c r="O103" s="1429"/>
    </row>
    <row r="104" spans="2:15" ht="3.75" customHeight="1" x14ac:dyDescent="0.25">
      <c r="B104" s="1428"/>
      <c r="C104" s="1213"/>
      <c r="D104" s="1213"/>
      <c r="E104" s="1213"/>
      <c r="F104" s="1213"/>
      <c r="G104" s="1213"/>
      <c r="H104" s="1213"/>
      <c r="I104" s="1213"/>
      <c r="J104" s="1213"/>
      <c r="K104" s="1213"/>
      <c r="L104" s="1213"/>
      <c r="M104" s="1213"/>
      <c r="N104" s="1213"/>
      <c r="O104" s="1429"/>
    </row>
    <row r="105" spans="2:15" x14ac:dyDescent="0.25">
      <c r="B105" s="1428"/>
      <c r="C105" s="1213"/>
      <c r="D105" s="1918" t="s">
        <v>632</v>
      </c>
      <c r="E105" s="1918"/>
      <c r="F105" s="1918"/>
      <c r="G105" s="1918"/>
      <c r="H105" s="1918"/>
      <c r="I105" s="1918"/>
      <c r="J105" s="1918"/>
      <c r="K105" s="1918"/>
      <c r="L105" s="1918"/>
      <c r="M105" s="1918"/>
      <c r="N105" s="1214"/>
      <c r="O105" s="1429"/>
    </row>
    <row r="106" spans="2:15" x14ac:dyDescent="0.25">
      <c r="B106" s="1428"/>
      <c r="C106" s="1213"/>
      <c r="D106" s="1214"/>
      <c r="E106" s="1214"/>
      <c r="F106" s="1214"/>
      <c r="G106" s="1214"/>
      <c r="H106" s="1214"/>
      <c r="I106" s="1214"/>
      <c r="J106" s="1214"/>
      <c r="K106" s="1214"/>
      <c r="L106" s="1214"/>
      <c r="M106" s="1214"/>
      <c r="N106" s="1214"/>
      <c r="O106" s="1429"/>
    </row>
    <row r="107" spans="2:15" x14ac:dyDescent="0.25">
      <c r="B107" s="1428"/>
      <c r="C107" s="258">
        <v>10</v>
      </c>
      <c r="D107" s="1432" t="s">
        <v>713</v>
      </c>
      <c r="E107" s="1432"/>
      <c r="F107" s="1433"/>
      <c r="G107" s="1434"/>
      <c r="H107" s="1434"/>
      <c r="I107" s="1434"/>
      <c r="J107" s="1434"/>
      <c r="K107" s="1434"/>
      <c r="L107" s="1434"/>
      <c r="M107" s="1435"/>
      <c r="N107" s="1422">
        <v>0</v>
      </c>
      <c r="O107" s="1429"/>
    </row>
    <row r="108" spans="2:15" ht="3.75" customHeight="1" x14ac:dyDescent="0.25">
      <c r="B108" s="1428"/>
      <c r="C108" s="1213"/>
      <c r="D108" s="1213"/>
      <c r="E108" s="1213"/>
      <c r="F108" s="1213"/>
      <c r="G108" s="1213"/>
      <c r="H108" s="1213"/>
      <c r="I108" s="1213"/>
      <c r="J108" s="1213"/>
      <c r="K108" s="1213"/>
      <c r="L108" s="1213"/>
      <c r="M108" s="1213"/>
      <c r="N108" s="1213"/>
      <c r="O108" s="1429"/>
    </row>
    <row r="109" spans="2:15" ht="30" customHeight="1" x14ac:dyDescent="0.25">
      <c r="B109" s="1428"/>
      <c r="C109" s="1213"/>
      <c r="D109" s="2400" t="s">
        <v>633</v>
      </c>
      <c r="E109" s="2400"/>
      <c r="F109" s="2400"/>
      <c r="G109" s="2400"/>
      <c r="H109" s="2400"/>
      <c r="I109" s="2400"/>
      <c r="J109" s="2400"/>
      <c r="K109" s="2400"/>
      <c r="L109" s="2400"/>
      <c r="M109" s="2400"/>
      <c r="N109" s="1214"/>
      <c r="O109" s="1429"/>
    </row>
    <row r="110" spans="2:15" ht="7.5" customHeight="1" x14ac:dyDescent="0.25">
      <c r="B110" s="1428"/>
      <c r="C110" s="1213"/>
      <c r="D110" s="1214"/>
      <c r="E110" s="1214"/>
      <c r="F110" s="1214"/>
      <c r="G110" s="1214"/>
      <c r="H110" s="1214"/>
      <c r="I110" s="1214"/>
      <c r="J110" s="1214"/>
      <c r="K110" s="1214"/>
      <c r="L110" s="1214"/>
      <c r="M110" s="1214"/>
      <c r="N110" s="1214"/>
      <c r="O110" s="1429"/>
    </row>
    <row r="111" spans="2:15" x14ac:dyDescent="0.25">
      <c r="B111" s="1428"/>
      <c r="C111" s="1213"/>
      <c r="D111" s="1213"/>
      <c r="E111" s="1436"/>
      <c r="F111" s="2377" t="s">
        <v>566</v>
      </c>
      <c r="G111" s="2377"/>
      <c r="H111" s="2377"/>
      <c r="I111" s="2377"/>
      <c r="J111" s="2377"/>
      <c r="K111" s="2377"/>
      <c r="L111" s="2377"/>
      <c r="M111" s="2377"/>
      <c r="N111" s="1450"/>
      <c r="O111" s="1429"/>
    </row>
    <row r="112" spans="2:15" x14ac:dyDescent="0.25">
      <c r="B112" s="1428"/>
      <c r="C112" s="1213"/>
      <c r="D112" s="1213"/>
      <c r="E112" s="1464"/>
      <c r="F112" s="1213"/>
      <c r="G112" s="1213"/>
      <c r="H112" s="1456"/>
      <c r="I112" s="1455"/>
      <c r="J112" s="1465"/>
      <c r="K112" s="1465"/>
      <c r="L112" s="1465"/>
      <c r="M112" s="1465"/>
      <c r="N112" s="1213"/>
      <c r="O112" s="1429"/>
    </row>
    <row r="113" spans="2:15" x14ac:dyDescent="0.25">
      <c r="B113" s="1428"/>
      <c r="C113" s="258">
        <v>11</v>
      </c>
      <c r="D113" s="1432" t="s">
        <v>703</v>
      </c>
      <c r="E113" s="1432"/>
      <c r="F113" s="1433"/>
      <c r="G113" s="1434"/>
      <c r="H113" s="1434"/>
      <c r="I113" s="1434"/>
      <c r="J113" s="1434"/>
      <c r="K113" s="1434"/>
      <c r="L113" s="1434"/>
      <c r="M113" s="1435"/>
      <c r="N113" s="1422">
        <v>0</v>
      </c>
      <c r="O113" s="1429"/>
    </row>
    <row r="114" spans="2:15" ht="3.75" customHeight="1" x14ac:dyDescent="0.25">
      <c r="B114" s="1428"/>
      <c r="C114" s="1213"/>
      <c r="D114" s="1213"/>
      <c r="E114" s="1213"/>
      <c r="F114" s="1213"/>
      <c r="G114" s="1213"/>
      <c r="H114" s="1213"/>
      <c r="I114" s="1213"/>
      <c r="J114" s="1213"/>
      <c r="K114" s="1213"/>
      <c r="L114" s="1213"/>
      <c r="M114" s="1213"/>
      <c r="N114" s="1213"/>
      <c r="O114" s="1429"/>
    </row>
    <row r="115" spans="2:15" ht="30" customHeight="1" x14ac:dyDescent="0.25">
      <c r="B115" s="1428"/>
      <c r="C115" s="1213"/>
      <c r="D115" s="2378" t="s">
        <v>634</v>
      </c>
      <c r="E115" s="2378"/>
      <c r="F115" s="2378"/>
      <c r="G115" s="2378"/>
      <c r="H115" s="2378"/>
      <c r="I115" s="2378"/>
      <c r="J115" s="2378"/>
      <c r="K115" s="2378"/>
      <c r="L115" s="2378"/>
      <c r="M115" s="2378"/>
      <c r="N115" s="1214"/>
      <c r="O115" s="1429"/>
    </row>
    <row r="116" spans="2:15" ht="7.5" customHeight="1" x14ac:dyDescent="0.25">
      <c r="B116" s="1428"/>
      <c r="C116" s="1213"/>
      <c r="D116" s="1214"/>
      <c r="E116" s="1213"/>
      <c r="F116" s="1213"/>
      <c r="G116" s="1213"/>
      <c r="H116" s="1213"/>
      <c r="I116" s="1213"/>
      <c r="J116" s="1213"/>
      <c r="K116" s="1213"/>
      <c r="L116" s="1213"/>
      <c r="M116" s="1213"/>
      <c r="N116" s="1213"/>
      <c r="O116" s="1429"/>
    </row>
    <row r="117" spans="2:15" x14ac:dyDescent="0.25">
      <c r="B117" s="1428"/>
      <c r="C117" s="1213"/>
      <c r="D117" s="1213"/>
      <c r="E117" s="1213"/>
      <c r="F117" s="2377"/>
      <c r="G117" s="2377"/>
      <c r="H117" s="2377"/>
      <c r="I117" s="2377"/>
      <c r="J117" s="2377"/>
      <c r="K117" s="2377"/>
      <c r="L117" s="2377"/>
      <c r="M117" s="2377"/>
      <c r="N117" s="1450"/>
      <c r="O117" s="1429"/>
    </row>
    <row r="118" spans="2:15" ht="15" customHeight="1" x14ac:dyDescent="0.25">
      <c r="B118" s="1428"/>
      <c r="C118" s="1441"/>
      <c r="D118" s="1441"/>
      <c r="E118" s="1441"/>
      <c r="F118" s="1441"/>
      <c r="G118" s="1441"/>
      <c r="H118" s="1441"/>
      <c r="I118" s="1441"/>
      <c r="J118" s="1441"/>
      <c r="K118" s="1441"/>
      <c r="L118" s="1441"/>
      <c r="M118" s="1453"/>
      <c r="N118" s="1450"/>
      <c r="O118" s="1429"/>
    </row>
    <row r="119" spans="2:15" x14ac:dyDescent="0.25">
      <c r="B119" s="1428"/>
      <c r="C119" s="258">
        <v>12</v>
      </c>
      <c r="D119" s="1432" t="s">
        <v>714</v>
      </c>
      <c r="E119" s="1432"/>
      <c r="F119" s="1433"/>
      <c r="G119" s="1434"/>
      <c r="H119" s="1434"/>
      <c r="I119" s="1434"/>
      <c r="J119" s="1434"/>
      <c r="K119" s="1434"/>
      <c r="L119" s="1434"/>
      <c r="M119" s="1435"/>
      <c r="N119" s="1424">
        <v>0</v>
      </c>
      <c r="O119" s="1429"/>
    </row>
    <row r="120" spans="2:15" ht="3.75" customHeight="1" x14ac:dyDescent="0.25">
      <c r="B120" s="1428"/>
      <c r="C120" s="1213"/>
      <c r="D120" s="698"/>
      <c r="E120" s="698"/>
      <c r="F120" s="1214"/>
      <c r="G120" s="698"/>
      <c r="H120" s="698"/>
      <c r="I120" s="698"/>
      <c r="J120" s="698"/>
      <c r="K120" s="698"/>
      <c r="L120" s="698"/>
      <c r="M120" s="1442"/>
      <c r="N120" s="698"/>
      <c r="O120" s="1429"/>
    </row>
    <row r="121" spans="2:15" ht="30" customHeight="1" x14ac:dyDescent="0.25">
      <c r="B121" s="1428"/>
      <c r="C121" s="1213"/>
      <c r="D121" s="2378" t="s">
        <v>635</v>
      </c>
      <c r="E121" s="2378"/>
      <c r="F121" s="2378"/>
      <c r="G121" s="2378"/>
      <c r="H121" s="2378"/>
      <c r="I121" s="2378"/>
      <c r="J121" s="2378"/>
      <c r="K121" s="2378"/>
      <c r="L121" s="2378"/>
      <c r="M121" s="2378"/>
      <c r="N121" s="1214"/>
      <c r="O121" s="1429"/>
    </row>
    <row r="122" spans="2:15" x14ac:dyDescent="0.25">
      <c r="B122" s="1428"/>
      <c r="C122" s="1213"/>
      <c r="D122" s="698"/>
      <c r="E122" s="698"/>
      <c r="F122" s="1450"/>
      <c r="G122" s="1450"/>
      <c r="H122" s="1450"/>
      <c r="I122" s="1450"/>
      <c r="J122" s="1450"/>
      <c r="K122" s="698"/>
      <c r="L122" s="1466"/>
      <c r="M122" s="1442"/>
      <c r="N122" s="698"/>
      <c r="O122" s="1429"/>
    </row>
    <row r="123" spans="2:15" x14ac:dyDescent="0.25">
      <c r="B123" s="1428"/>
      <c r="C123" s="258">
        <v>13</v>
      </c>
      <c r="D123" s="1432" t="s">
        <v>686</v>
      </c>
      <c r="E123" s="1432"/>
      <c r="F123" s="1433"/>
      <c r="G123" s="1434"/>
      <c r="H123" s="1434"/>
      <c r="I123" s="1434"/>
      <c r="J123" s="1434"/>
      <c r="K123" s="1434"/>
      <c r="L123" s="1434"/>
      <c r="M123" s="1435"/>
      <c r="N123" s="1422">
        <v>0</v>
      </c>
      <c r="O123" s="1429"/>
    </row>
    <row r="124" spans="2:15" ht="3.75" customHeight="1" x14ac:dyDescent="0.25">
      <c r="B124" s="1428"/>
      <c r="C124" s="1213"/>
      <c r="D124" s="698"/>
      <c r="E124" s="698"/>
      <c r="F124" s="1214"/>
      <c r="G124" s="698"/>
      <c r="H124" s="698"/>
      <c r="I124" s="698"/>
      <c r="J124" s="698"/>
      <c r="K124" s="698"/>
      <c r="L124" s="698"/>
      <c r="M124" s="1442"/>
      <c r="N124" s="698"/>
      <c r="O124" s="1429"/>
    </row>
    <row r="125" spans="2:15" ht="30" customHeight="1" x14ac:dyDescent="0.25">
      <c r="B125" s="1428"/>
      <c r="C125" s="1213"/>
      <c r="D125" s="2378" t="s">
        <v>636</v>
      </c>
      <c r="E125" s="2378"/>
      <c r="F125" s="2378"/>
      <c r="G125" s="2378"/>
      <c r="H125" s="2378"/>
      <c r="I125" s="2378"/>
      <c r="J125" s="2378"/>
      <c r="K125" s="2378"/>
      <c r="L125" s="2378"/>
      <c r="M125" s="2378"/>
      <c r="N125" s="1214"/>
      <c r="O125" s="1429"/>
    </row>
    <row r="126" spans="2:15" x14ac:dyDescent="0.25">
      <c r="B126" s="1428"/>
      <c r="C126" s="1213"/>
      <c r="D126" s="698"/>
      <c r="E126" s="698"/>
      <c r="F126" s="1450"/>
      <c r="G126" s="1450"/>
      <c r="H126" s="1450"/>
      <c r="I126" s="1450"/>
      <c r="J126" s="1450"/>
      <c r="K126" s="698"/>
      <c r="L126" s="1466"/>
      <c r="M126" s="1442"/>
      <c r="N126" s="698"/>
      <c r="O126" s="1429"/>
    </row>
    <row r="127" spans="2:15" x14ac:dyDescent="0.25">
      <c r="B127" s="1428"/>
      <c r="C127" s="258">
        <v>14</v>
      </c>
      <c r="D127" s="1432" t="s">
        <v>693</v>
      </c>
      <c r="E127" s="1432"/>
      <c r="F127" s="1433"/>
      <c r="G127" s="1434"/>
      <c r="H127" s="1434"/>
      <c r="I127" s="1434"/>
      <c r="J127" s="1434"/>
      <c r="K127" s="1434"/>
      <c r="L127" s="1434"/>
      <c r="M127" s="1435"/>
      <c r="N127" s="1422">
        <v>0</v>
      </c>
      <c r="O127" s="1429"/>
    </row>
    <row r="128" spans="2:15" ht="3.75" customHeight="1" x14ac:dyDescent="0.25">
      <c r="B128" s="1428"/>
      <c r="C128" s="1213"/>
      <c r="D128" s="698"/>
      <c r="E128" s="698"/>
      <c r="F128" s="1214"/>
      <c r="G128" s="698"/>
      <c r="H128" s="698"/>
      <c r="I128" s="698"/>
      <c r="J128" s="698"/>
      <c r="K128" s="698"/>
      <c r="L128" s="698"/>
      <c r="M128" s="1442"/>
      <c r="N128" s="698"/>
      <c r="O128" s="1429"/>
    </row>
    <row r="129" spans="2:15" x14ac:dyDescent="0.25">
      <c r="B129" s="1428"/>
      <c r="C129" s="1213"/>
      <c r="D129" s="1918" t="s">
        <v>637</v>
      </c>
      <c r="E129" s="1918"/>
      <c r="F129" s="1918"/>
      <c r="G129" s="1918"/>
      <c r="H129" s="1918"/>
      <c r="I129" s="1918"/>
      <c r="J129" s="1918"/>
      <c r="K129" s="1918"/>
      <c r="L129" s="1918"/>
      <c r="M129" s="1918"/>
      <c r="N129" s="1214"/>
      <c r="O129" s="1429"/>
    </row>
    <row r="130" spans="2:15" ht="7.5" customHeight="1" x14ac:dyDescent="0.25">
      <c r="B130" s="1428"/>
      <c r="C130" s="1213"/>
      <c r="D130" s="1448"/>
      <c r="E130" s="1448"/>
      <c r="F130" s="1448"/>
      <c r="G130" s="1448"/>
      <c r="H130" s="1448"/>
      <c r="I130" s="1448"/>
      <c r="J130" s="1448"/>
      <c r="K130" s="1448"/>
      <c r="L130" s="1448"/>
      <c r="M130" s="1448"/>
      <c r="N130" s="1448"/>
      <c r="O130" s="1429"/>
    </row>
    <row r="131" spans="2:15" x14ac:dyDescent="0.25">
      <c r="B131" s="1428"/>
      <c r="C131" s="1213"/>
      <c r="D131" s="1213"/>
      <c r="E131" s="1213"/>
      <c r="F131" s="2377"/>
      <c r="G131" s="2377"/>
      <c r="H131" s="2377"/>
      <c r="I131" s="2377"/>
      <c r="J131" s="2377"/>
      <c r="K131" s="2377"/>
      <c r="L131" s="2377"/>
      <c r="M131" s="2377"/>
      <c r="N131" s="1213"/>
      <c r="O131" s="1429"/>
    </row>
    <row r="132" spans="2:15" x14ac:dyDescent="0.25">
      <c r="B132" s="1428"/>
      <c r="C132" s="1213"/>
      <c r="D132" s="1213"/>
      <c r="E132" s="1213"/>
      <c r="F132" s="1213"/>
      <c r="G132" s="1213"/>
      <c r="H132" s="1450"/>
      <c r="I132" s="1450"/>
      <c r="J132" s="1450"/>
      <c r="K132" s="1450"/>
      <c r="L132" s="1450"/>
      <c r="M132" s="1450"/>
      <c r="N132" s="1213"/>
      <c r="O132" s="1429"/>
    </row>
    <row r="133" spans="2:15" x14ac:dyDescent="0.25">
      <c r="B133" s="1428"/>
      <c r="C133" s="258">
        <v>15</v>
      </c>
      <c r="D133" s="1432" t="s">
        <v>715</v>
      </c>
      <c r="E133" s="1432"/>
      <c r="F133" s="1433"/>
      <c r="G133" s="1434"/>
      <c r="H133" s="1434"/>
      <c r="I133" s="1434"/>
      <c r="J133" s="1434"/>
      <c r="K133" s="1434"/>
      <c r="L133" s="1434"/>
      <c r="M133" s="1435"/>
      <c r="N133" s="1422">
        <v>0</v>
      </c>
      <c r="O133" s="1429"/>
    </row>
    <row r="134" spans="2:15" ht="3.75" customHeight="1" x14ac:dyDescent="0.25">
      <c r="B134" s="1428"/>
      <c r="C134" s="1213"/>
      <c r="D134" s="698"/>
      <c r="E134" s="698"/>
      <c r="F134" s="1214"/>
      <c r="G134" s="698"/>
      <c r="H134" s="698"/>
      <c r="I134" s="698"/>
      <c r="J134" s="698"/>
      <c r="K134" s="698"/>
      <c r="L134" s="698"/>
      <c r="M134" s="1442"/>
      <c r="N134" s="698"/>
      <c r="O134" s="1429"/>
    </row>
    <row r="135" spans="2:15" ht="30" customHeight="1" x14ac:dyDescent="0.25">
      <c r="B135" s="1428"/>
      <c r="C135" s="1213"/>
      <c r="D135" s="2378" t="s">
        <v>638</v>
      </c>
      <c r="E135" s="2378"/>
      <c r="F135" s="2378"/>
      <c r="G135" s="2378"/>
      <c r="H135" s="2378"/>
      <c r="I135" s="2378"/>
      <c r="J135" s="2378"/>
      <c r="K135" s="2378"/>
      <c r="L135" s="2378"/>
      <c r="M135" s="2378"/>
      <c r="N135" s="1214"/>
      <c r="O135" s="1429"/>
    </row>
    <row r="136" spans="2:15" ht="15" customHeight="1" thickBot="1" x14ac:dyDescent="0.3">
      <c r="B136" s="1458"/>
      <c r="C136" s="1492"/>
      <c r="D136" s="1492"/>
      <c r="E136" s="1492"/>
      <c r="F136" s="1492"/>
      <c r="G136" s="1492"/>
      <c r="H136" s="1492"/>
      <c r="I136" s="1492"/>
      <c r="J136" s="1492"/>
      <c r="K136" s="1492"/>
      <c r="L136" s="1492"/>
      <c r="M136" s="1492"/>
      <c r="N136" s="1492"/>
      <c r="O136" s="1463"/>
    </row>
    <row r="137" spans="2:15" ht="9" customHeight="1" x14ac:dyDescent="0.25">
      <c r="B137" s="1425"/>
      <c r="C137" s="1426"/>
      <c r="D137" s="1426"/>
      <c r="E137" s="1426"/>
      <c r="F137" s="1426"/>
      <c r="G137" s="1426"/>
      <c r="H137" s="1426"/>
      <c r="I137" s="1426"/>
      <c r="J137" s="1426"/>
      <c r="K137" s="1426"/>
      <c r="L137" s="1426"/>
      <c r="M137" s="1426"/>
      <c r="N137" s="1426"/>
      <c r="O137" s="1427"/>
    </row>
    <row r="138" spans="2:15" ht="18.75" x14ac:dyDescent="0.3">
      <c r="B138" s="1428"/>
      <c r="C138" s="2030" t="s">
        <v>1081</v>
      </c>
      <c r="D138" s="2030"/>
      <c r="E138" s="2030"/>
      <c r="F138" s="2030"/>
      <c r="G138" s="2030"/>
      <c r="H138" s="2030"/>
      <c r="I138" s="2030"/>
      <c r="J138" s="2030"/>
      <c r="K138" s="2030"/>
      <c r="L138" s="2030"/>
      <c r="M138" s="2030"/>
      <c r="N138" s="1158"/>
      <c r="O138" s="1429"/>
    </row>
    <row r="139" spans="2:15" x14ac:dyDescent="0.25">
      <c r="B139" s="1428"/>
      <c r="C139" s="1475"/>
      <c r="D139" s="1475"/>
      <c r="E139" s="1475"/>
      <c r="F139" s="1475"/>
      <c r="G139" s="1475"/>
      <c r="H139" s="1475"/>
      <c r="I139" s="1475"/>
      <c r="J139" s="1475"/>
      <c r="K139" s="1475"/>
      <c r="L139" s="1475"/>
      <c r="M139" s="1475"/>
      <c r="N139" s="1475"/>
      <c r="O139" s="1429"/>
    </row>
    <row r="140" spans="2:15" x14ac:dyDescent="0.25">
      <c r="B140" s="1428"/>
      <c r="C140" s="820"/>
      <c r="D140" s="1441" t="s">
        <v>1</v>
      </c>
      <c r="E140" s="1128"/>
      <c r="F140" s="1128"/>
      <c r="G140" s="1127" t="str">
        <f>IF('1A'!G130="","Enter Project Name on Form 1A",'1A'!G130)</f>
        <v>Enter Project Name on Form 1A</v>
      </c>
      <c r="H140" s="1127"/>
      <c r="I140" s="1127"/>
      <c r="J140" s="1127"/>
      <c r="K140" s="1127"/>
      <c r="L140" s="1127"/>
      <c r="M140" s="1127"/>
      <c r="N140" s="1128"/>
      <c r="O140" s="1429"/>
    </row>
    <row r="141" spans="2:15" ht="30" customHeight="1" x14ac:dyDescent="0.25">
      <c r="B141" s="1428"/>
      <c r="C141" s="1441"/>
      <c r="D141" s="1441"/>
      <c r="E141" s="1441"/>
      <c r="F141" s="1441"/>
      <c r="G141" s="1441"/>
      <c r="H141" s="1441"/>
      <c r="I141" s="1441"/>
      <c r="J141" s="1441"/>
      <c r="K141" s="1441"/>
      <c r="L141" s="1441"/>
      <c r="M141" s="1430"/>
      <c r="N141" s="1431" t="s">
        <v>557</v>
      </c>
      <c r="O141" s="1429"/>
    </row>
    <row r="142" spans="2:15" x14ac:dyDescent="0.25">
      <c r="B142" s="1428"/>
      <c r="C142" s="1213"/>
      <c r="D142" s="1448"/>
      <c r="E142" s="1448"/>
      <c r="F142" s="1448"/>
      <c r="G142" s="1448"/>
      <c r="H142" s="1448"/>
      <c r="I142" s="1448"/>
      <c r="J142" s="1448"/>
      <c r="K142" s="1448"/>
      <c r="L142" s="1448"/>
      <c r="M142" s="1448"/>
      <c r="N142" s="1448"/>
      <c r="O142" s="1429"/>
    </row>
    <row r="143" spans="2:15" x14ac:dyDescent="0.25">
      <c r="B143" s="1428"/>
      <c r="C143" s="258">
        <v>16</v>
      </c>
      <c r="D143" s="1432" t="s">
        <v>716</v>
      </c>
      <c r="E143" s="1432"/>
      <c r="F143" s="1433"/>
      <c r="G143" s="1434"/>
      <c r="H143" s="1434"/>
      <c r="I143" s="1434"/>
      <c r="J143" s="1434"/>
      <c r="K143" s="1434"/>
      <c r="L143" s="1434"/>
      <c r="M143" s="1435"/>
      <c r="N143" s="1422">
        <v>0</v>
      </c>
      <c r="O143" s="1429"/>
    </row>
    <row r="144" spans="2:15" ht="3.75" customHeight="1" x14ac:dyDescent="0.25">
      <c r="B144" s="1428"/>
      <c r="C144" s="1213"/>
      <c r="D144" s="698"/>
      <c r="E144" s="698"/>
      <c r="F144" s="1214"/>
      <c r="G144" s="698"/>
      <c r="H144" s="698"/>
      <c r="I144" s="698"/>
      <c r="J144" s="698"/>
      <c r="K144" s="698"/>
      <c r="L144" s="698"/>
      <c r="M144" s="1442"/>
      <c r="N144" s="698"/>
      <c r="O144" s="1429"/>
    </row>
    <row r="145" spans="2:15" ht="30" customHeight="1" x14ac:dyDescent="0.25">
      <c r="B145" s="1428"/>
      <c r="C145" s="1213"/>
      <c r="D145" s="2378" t="s">
        <v>639</v>
      </c>
      <c r="E145" s="2378"/>
      <c r="F145" s="2378"/>
      <c r="G145" s="2378"/>
      <c r="H145" s="2378"/>
      <c r="I145" s="2378"/>
      <c r="J145" s="2378"/>
      <c r="K145" s="2378"/>
      <c r="L145" s="2378"/>
      <c r="M145" s="2378"/>
      <c r="N145" s="1214"/>
      <c r="O145" s="1429"/>
    </row>
    <row r="146" spans="2:15" ht="7.5" customHeight="1" x14ac:dyDescent="0.25">
      <c r="B146" s="1428"/>
      <c r="C146" s="1213"/>
      <c r="D146" s="1448"/>
      <c r="E146" s="1448"/>
      <c r="F146" s="1448"/>
      <c r="G146" s="1448"/>
      <c r="H146" s="1448"/>
      <c r="I146" s="1448"/>
      <c r="J146" s="1448"/>
      <c r="K146" s="1448"/>
      <c r="L146" s="1448"/>
      <c r="M146" s="1448"/>
      <c r="N146" s="1448"/>
      <c r="O146" s="1429"/>
    </row>
    <row r="147" spans="2:15" x14ac:dyDescent="0.25">
      <c r="B147" s="1428"/>
      <c r="C147" s="1213"/>
      <c r="D147" s="1213"/>
      <c r="E147" s="1213"/>
      <c r="F147" s="1450"/>
      <c r="G147" s="1478" t="s">
        <v>640</v>
      </c>
      <c r="H147" s="1213"/>
      <c r="I147" s="1450"/>
      <c r="J147" s="1450"/>
      <c r="K147" s="1450"/>
      <c r="L147" s="1450"/>
      <c r="M147" s="1453"/>
      <c r="N147" s="1450"/>
      <c r="O147" s="1429"/>
    </row>
    <row r="148" spans="2:15" x14ac:dyDescent="0.25">
      <c r="B148" s="1428"/>
      <c r="C148" s="1213"/>
      <c r="D148" s="1213"/>
      <c r="E148" s="1213"/>
      <c r="F148" s="1450"/>
      <c r="G148" s="1738"/>
      <c r="H148" s="1450" t="s">
        <v>641</v>
      </c>
      <c r="I148" s="1450"/>
      <c r="J148" s="1450"/>
      <c r="K148" s="1450"/>
      <c r="L148" s="1450"/>
      <c r="M148" s="1453"/>
      <c r="N148" s="1450"/>
      <c r="O148" s="1429"/>
    </row>
    <row r="149" spans="2:15" x14ac:dyDescent="0.25">
      <c r="B149" s="1428"/>
      <c r="C149" s="1213"/>
      <c r="D149" s="1213"/>
      <c r="E149" s="1213"/>
      <c r="F149" s="1450"/>
      <c r="G149" s="1738"/>
      <c r="H149" s="1450" t="s">
        <v>642</v>
      </c>
      <c r="I149" s="1450"/>
      <c r="J149" s="1450"/>
      <c r="K149" s="1450"/>
      <c r="L149" s="1450"/>
      <c r="M149" s="1453"/>
      <c r="N149" s="1450"/>
      <c r="O149" s="1429"/>
    </row>
    <row r="150" spans="2:15" x14ac:dyDescent="0.25">
      <c r="B150" s="1428"/>
      <c r="C150" s="1213"/>
      <c r="D150" s="1213"/>
      <c r="E150" s="1213"/>
      <c r="F150" s="1450"/>
      <c r="G150" s="1738"/>
      <c r="H150" s="1450" t="s">
        <v>643</v>
      </c>
      <c r="I150" s="1450"/>
      <c r="J150" s="1450"/>
      <c r="K150" s="1450"/>
      <c r="L150" s="1450"/>
      <c r="M150" s="1453"/>
      <c r="N150" s="1450"/>
      <c r="O150" s="1429"/>
    </row>
    <row r="151" spans="2:15" x14ac:dyDescent="0.25">
      <c r="B151" s="1428"/>
      <c r="C151" s="1213"/>
      <c r="D151" s="1213"/>
      <c r="E151" s="1213"/>
      <c r="F151" s="1450"/>
      <c r="G151" s="1738"/>
      <c r="H151" s="1441" t="s">
        <v>644</v>
      </c>
      <c r="I151" s="1450"/>
      <c r="J151" s="1450"/>
      <c r="K151" s="1450"/>
      <c r="L151" s="1450"/>
      <c r="M151" s="1453"/>
      <c r="N151" s="1450"/>
      <c r="O151" s="1429"/>
    </row>
    <row r="152" spans="2:15" ht="7.5" customHeight="1" thickBot="1" x14ac:dyDescent="0.3">
      <c r="B152" s="1428"/>
      <c r="C152" s="1213"/>
      <c r="D152" s="1213"/>
      <c r="E152" s="1213"/>
      <c r="F152" s="1469"/>
      <c r="G152" s="1493"/>
      <c r="H152" s="1493"/>
      <c r="I152" s="1493"/>
      <c r="J152" s="1493"/>
      <c r="K152" s="1493"/>
      <c r="L152" s="1493"/>
      <c r="M152" s="1213"/>
      <c r="N152" s="1213"/>
      <c r="O152" s="1429"/>
    </row>
    <row r="153" spans="2:15" ht="17.25" thickTop="1" thickBot="1" x14ac:dyDescent="0.3">
      <c r="B153" s="1428"/>
      <c r="C153" s="1494"/>
      <c r="D153" s="2389" t="s">
        <v>645</v>
      </c>
      <c r="E153" s="2390"/>
      <c r="F153" s="2390"/>
      <c r="G153" s="2390"/>
      <c r="H153" s="2390"/>
      <c r="I153" s="2390"/>
      <c r="J153" s="2390"/>
      <c r="K153" s="2390"/>
      <c r="L153" s="2390"/>
      <c r="M153" s="2391"/>
      <c r="N153" s="1495">
        <f>N18+N24+N30+N53+N64+N80+N93+N99+N103+N107+N113+N119+N123+N127+N133+N143</f>
        <v>30</v>
      </c>
      <c r="O153" s="1429"/>
    </row>
    <row r="154" spans="2:15" ht="9" customHeight="1" thickBot="1" x14ac:dyDescent="0.3">
      <c r="B154" s="1458"/>
      <c r="C154" s="1459"/>
      <c r="D154" s="1459"/>
      <c r="E154" s="1459"/>
      <c r="F154" s="1459"/>
      <c r="G154" s="1459"/>
      <c r="H154" s="1459"/>
      <c r="I154" s="1459"/>
      <c r="J154" s="1459"/>
      <c r="K154" s="1459"/>
      <c r="L154" s="1459"/>
      <c r="M154" s="1459"/>
      <c r="N154" s="1459"/>
      <c r="O154" s="1463"/>
    </row>
  </sheetData>
  <sheetProtection password="9F6B" sheet="1" objects="1" scenarios="1" formatCells="0" formatColumns="0" formatRows="0"/>
  <mergeCells count="38">
    <mergeCell ref="D135:M135"/>
    <mergeCell ref="D145:M145"/>
    <mergeCell ref="D55:M55"/>
    <mergeCell ref="D66:M66"/>
    <mergeCell ref="D82:M82"/>
    <mergeCell ref="D95:M95"/>
    <mergeCell ref="D101:M101"/>
    <mergeCell ref="F131:M131"/>
    <mergeCell ref="K91:L91"/>
    <mergeCell ref="F97:G97"/>
    <mergeCell ref="F111:M111"/>
    <mergeCell ref="F117:M117"/>
    <mergeCell ref="D105:M105"/>
    <mergeCell ref="D129:M129"/>
    <mergeCell ref="D109:M109"/>
    <mergeCell ref="D115:M115"/>
    <mergeCell ref="J72:K72"/>
    <mergeCell ref="J73:K73"/>
    <mergeCell ref="F84:M84"/>
    <mergeCell ref="K87:L87"/>
    <mergeCell ref="K88:L88"/>
    <mergeCell ref="C76:M76"/>
    <mergeCell ref="D153:M153"/>
    <mergeCell ref="C138:M138"/>
    <mergeCell ref="F44:M44"/>
    <mergeCell ref="D20:M20"/>
    <mergeCell ref="D26:M26"/>
    <mergeCell ref="D32:M32"/>
    <mergeCell ref="F40:M40"/>
    <mergeCell ref="F22:M22"/>
    <mergeCell ref="F28:G28"/>
    <mergeCell ref="F36:M36"/>
    <mergeCell ref="D121:M121"/>
    <mergeCell ref="D125:M125"/>
    <mergeCell ref="K89:L89"/>
    <mergeCell ref="F57:M57"/>
    <mergeCell ref="F68:M68"/>
    <mergeCell ref="J71:K71"/>
  </mergeCells>
  <conditionalFormatting sqref="G148:G151">
    <cfRule type="cellIs" dxfId="0" priority="1" operator="equal">
      <formula>"X"</formula>
    </cfRule>
  </conditionalFormatting>
  <dataValidations count="13">
    <dataValidation type="list" allowBlank="1" showInputMessage="1" showErrorMessage="1" sqref="F22:M22">
      <formula1>LIH_Commit</formula1>
    </dataValidation>
    <dataValidation type="list" allowBlank="1" showInputMessage="1" showErrorMessage="1" sqref="F28:G28">
      <formula1>Years</formula1>
    </dataValidation>
    <dataValidation type="list" allowBlank="1" showInputMessage="1" showErrorMessage="1" sqref="F36:M36">
      <formula1>PriorityPopulations10</formula1>
    </dataValidation>
    <dataValidation type="list" allowBlank="1" showInputMessage="1" showErrorMessage="1" sqref="F40:M40">
      <formula1>PriorityPopulations20</formula1>
    </dataValidation>
    <dataValidation type="list" allowBlank="1" showInputMessage="1" showErrorMessage="1" sqref="F44:M44">
      <formula1>senior_housing_10</formula1>
    </dataValidation>
    <dataValidation type="list" allowBlank="1" showInputMessage="1" showErrorMessage="1" sqref="G47:G51 G148:G151">
      <formula1>"X"</formula1>
    </dataValidation>
    <dataValidation type="list" allowBlank="1" showInputMessage="1" showErrorMessage="1" sqref="F57:M57">
      <formula1>Project_Based_Rental_Assistance</formula1>
    </dataValidation>
    <dataValidation type="list" allowBlank="1" showInputMessage="1" showErrorMessage="1" sqref="F68:M68">
      <formula1>leveraging_public_resources_10</formula1>
    </dataValidation>
    <dataValidation type="list" allowBlank="1" showInputMessage="1" showErrorMessage="1" sqref="F84:M84">
      <formula1>leveraging_taxable_bonds_7</formula1>
    </dataValidation>
    <dataValidation type="list" allowBlank="1" showInputMessage="1" showErrorMessage="1" sqref="F97:G97">
      <formula1>DevFees</formula1>
    </dataValidation>
    <dataValidation type="list" allowBlank="1" showInputMessage="1" showErrorMessage="1" sqref="F111:M111">
      <formula1>property_type_10</formula1>
    </dataValidation>
    <dataValidation type="list" allowBlank="1" showInputMessage="1" showErrorMessage="1" sqref="F117:M117">
      <formula1>Location_eff</formula1>
    </dataValidation>
    <dataValidation type="list" allowBlank="1" showInputMessage="1" showErrorMessage="1" sqref="F131:M131">
      <formula1>NP_Sponsor_4_Perc</formula1>
    </dataValidation>
  </dataValidations>
  <pageMargins left="0.7" right="0.7" top="0.75" bottom="0.75" header="0.3" footer="0.3"/>
  <pageSetup scale="81" fitToHeight="3" orientation="portrait" r:id="rId1"/>
  <headerFooter>
    <oddFooter>&amp;LForm 11B
4%/Bond LIHTC Scoring Synopsis&amp;CCFA Forms&amp;REdition: 2015
Version: 1.1</oddFooter>
  </headerFooter>
  <rowBreaks count="2" manualBreakCount="2">
    <brk id="74" min="1" max="14" man="1"/>
    <brk id="136" min="1" max="14"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1:CQ3"/>
  <sheetViews>
    <sheetView workbookViewId="0">
      <selection activeCell="C2" sqref="C2"/>
    </sheetView>
  </sheetViews>
  <sheetFormatPr defaultRowHeight="15" x14ac:dyDescent="0.25"/>
  <cols>
    <col min="1" max="1" width="15.28515625" bestFit="1" customWidth="1"/>
    <col min="2" max="2" width="23.5703125" bestFit="1" customWidth="1"/>
    <col min="3" max="3" width="13.140625" bestFit="1" customWidth="1"/>
    <col min="4" max="5" width="8.42578125" bestFit="1" customWidth="1"/>
    <col min="6" max="6" width="10.85546875" bestFit="1" customWidth="1"/>
    <col min="7" max="7" width="10.7109375" bestFit="1" customWidth="1"/>
    <col min="8" max="8" width="7.42578125" bestFit="1" customWidth="1"/>
    <col min="9" max="9" width="12.42578125" bestFit="1" customWidth="1"/>
    <col min="10" max="10" width="7.5703125" bestFit="1" customWidth="1"/>
    <col min="11" max="11" width="10.5703125" bestFit="1" customWidth="1"/>
    <col min="12" max="12" width="8" bestFit="1" customWidth="1"/>
    <col min="13" max="13" width="6.42578125" bestFit="1" customWidth="1"/>
    <col min="14" max="17" width="4.5703125" bestFit="1" customWidth="1"/>
    <col min="18" max="18" width="7.28515625" bestFit="1" customWidth="1"/>
    <col min="19" max="19" width="4.85546875" bestFit="1" customWidth="1"/>
    <col min="20" max="20" width="4" bestFit="1" customWidth="1"/>
    <col min="21" max="21" width="11.140625" bestFit="1" customWidth="1"/>
    <col min="22" max="26" width="4.7109375" bestFit="1" customWidth="1"/>
    <col min="27" max="27" width="5.28515625" bestFit="1" customWidth="1"/>
    <col min="28" max="28" width="6.7109375" bestFit="1" customWidth="1"/>
    <col min="29" max="33" width="4.7109375" bestFit="1" customWidth="1"/>
    <col min="34" max="34" width="5.28515625" bestFit="1" customWidth="1"/>
    <col min="35" max="35" width="9.42578125" bestFit="1" customWidth="1"/>
    <col min="36" max="36" width="13.28515625" bestFit="1" customWidth="1"/>
    <col min="37" max="44" width="4.42578125" bestFit="1" customWidth="1"/>
    <col min="45" max="45" width="11.28515625" bestFit="1" customWidth="1"/>
    <col min="46" max="46" width="7.85546875" bestFit="1" customWidth="1"/>
    <col min="47" max="47" width="15.28515625" bestFit="1" customWidth="1"/>
    <col min="48" max="48" width="16.140625" bestFit="1" customWidth="1"/>
    <col min="49" max="49" width="7.42578125" bestFit="1" customWidth="1"/>
    <col min="50" max="50" width="7.5703125" bestFit="1" customWidth="1"/>
    <col min="51" max="51" width="12.5703125" bestFit="1" customWidth="1"/>
    <col min="52" max="52" width="14.85546875" bestFit="1" customWidth="1"/>
    <col min="53" max="53" width="10.7109375" bestFit="1" customWidth="1"/>
    <col min="54" max="54" width="12.85546875" bestFit="1" customWidth="1"/>
    <col min="55" max="55" width="10.140625" bestFit="1" customWidth="1"/>
    <col min="56" max="56" width="10.28515625" bestFit="1" customWidth="1"/>
    <col min="57" max="57" width="11.140625" bestFit="1" customWidth="1"/>
    <col min="58" max="58" width="12" bestFit="1" customWidth="1"/>
    <col min="59" max="59" width="11" bestFit="1" customWidth="1"/>
    <col min="60" max="60" width="11.85546875" bestFit="1" customWidth="1"/>
    <col min="61" max="61" width="10.140625" bestFit="1" customWidth="1"/>
    <col min="62" max="62" width="10.28515625" bestFit="1" customWidth="1"/>
    <col min="63" max="63" width="11" bestFit="1" customWidth="1"/>
    <col min="64" max="64" width="11.140625" bestFit="1" customWidth="1"/>
    <col min="65" max="65" width="4.42578125" bestFit="1" customWidth="1"/>
    <col min="66" max="66" width="4.5703125" bestFit="1" customWidth="1"/>
    <col min="67" max="67" width="10.5703125" bestFit="1" customWidth="1"/>
    <col min="68" max="68" width="11.85546875" bestFit="1" customWidth="1"/>
    <col min="69" max="69" width="11.85546875" style="1748" customWidth="1"/>
    <col min="70" max="70" width="4.5703125" bestFit="1" customWidth="1"/>
    <col min="71" max="71" width="7.7109375" style="1748" bestFit="1" customWidth="1"/>
    <col min="72" max="73" width="11.42578125" bestFit="1" customWidth="1"/>
    <col min="74" max="74" width="7.42578125" bestFit="1" customWidth="1"/>
    <col min="75" max="75" width="10.42578125" bestFit="1" customWidth="1"/>
    <col min="76" max="76" width="14.28515625" bestFit="1" customWidth="1"/>
    <col min="77" max="77" width="10.85546875" bestFit="1" customWidth="1"/>
    <col min="78" max="78" width="9.42578125" bestFit="1" customWidth="1"/>
    <col min="79" max="79" width="11" bestFit="1" customWidth="1"/>
    <col min="80" max="80" width="13.85546875" customWidth="1"/>
    <col min="81" max="81" width="11.140625" bestFit="1" customWidth="1"/>
    <col min="82" max="82" width="9.85546875" bestFit="1" customWidth="1"/>
    <col min="83" max="83" width="9" bestFit="1" customWidth="1"/>
    <col min="84" max="84" width="12.7109375" bestFit="1" customWidth="1"/>
    <col min="85" max="85" width="13.140625" bestFit="1" customWidth="1"/>
    <col min="86" max="86" width="22.140625" bestFit="1" customWidth="1"/>
    <col min="87" max="87" width="11.140625" bestFit="1" customWidth="1"/>
    <col min="88" max="90" width="8.85546875" bestFit="1" customWidth="1"/>
    <col min="91" max="91" width="16.85546875" bestFit="1" customWidth="1"/>
    <col min="92" max="94" width="13.140625" bestFit="1" customWidth="1"/>
    <col min="95" max="95" width="8.28515625" bestFit="1" customWidth="1"/>
  </cols>
  <sheetData>
    <row r="1" spans="1:95" ht="46.5" x14ac:dyDescent="0.35">
      <c r="A1" s="1749" t="s">
        <v>1273</v>
      </c>
      <c r="B1" s="1749" t="s">
        <v>500</v>
      </c>
      <c r="C1" s="1749" t="s">
        <v>63</v>
      </c>
      <c r="D1" s="1749" t="s">
        <v>1274</v>
      </c>
      <c r="E1" s="1749" t="s">
        <v>1275</v>
      </c>
      <c r="F1" s="1749" t="s">
        <v>1276</v>
      </c>
      <c r="G1" s="1749" t="s">
        <v>1277</v>
      </c>
      <c r="H1" s="1749" t="s">
        <v>1278</v>
      </c>
      <c r="I1" s="1749" t="s">
        <v>540</v>
      </c>
      <c r="J1" s="1749" t="s">
        <v>1279</v>
      </c>
      <c r="K1" s="1750" t="s">
        <v>1280</v>
      </c>
      <c r="L1" s="1750" t="s">
        <v>1281</v>
      </c>
      <c r="M1" s="1750" t="s">
        <v>1282</v>
      </c>
      <c r="N1" s="1754">
        <v>0.3</v>
      </c>
      <c r="O1" s="1755">
        <v>0.4</v>
      </c>
      <c r="P1" s="1755">
        <v>0.5</v>
      </c>
      <c r="Q1" s="1755">
        <v>0.6</v>
      </c>
      <c r="R1" s="1755" t="s">
        <v>1348</v>
      </c>
      <c r="S1" s="1750" t="s">
        <v>1283</v>
      </c>
      <c r="T1" s="1750" t="s">
        <v>1284</v>
      </c>
      <c r="U1" s="1750" t="s">
        <v>1349</v>
      </c>
      <c r="V1" s="1750" t="s">
        <v>1285</v>
      </c>
      <c r="W1" s="1750" t="s">
        <v>1286</v>
      </c>
      <c r="X1" s="1750" t="s">
        <v>1287</v>
      </c>
      <c r="Y1" s="1750" t="s">
        <v>1288</v>
      </c>
      <c r="Z1" s="1750" t="s">
        <v>1289</v>
      </c>
      <c r="AA1" s="1750" t="s">
        <v>39</v>
      </c>
      <c r="AB1" s="1752" t="s">
        <v>1350</v>
      </c>
      <c r="AC1" s="1752" t="s">
        <v>1285</v>
      </c>
      <c r="AD1" s="1752" t="s">
        <v>1286</v>
      </c>
      <c r="AE1" s="1752" t="s">
        <v>1287</v>
      </c>
      <c r="AF1" s="1752" t="s">
        <v>1288</v>
      </c>
      <c r="AG1" s="1752" t="s">
        <v>1289</v>
      </c>
      <c r="AH1" s="1752" t="s">
        <v>39</v>
      </c>
      <c r="AI1" s="1762" t="s">
        <v>1290</v>
      </c>
      <c r="AJ1" s="1762" t="s">
        <v>1291</v>
      </c>
      <c r="AK1" s="1751" t="s">
        <v>1292</v>
      </c>
      <c r="AL1" s="1751" t="s">
        <v>1293</v>
      </c>
      <c r="AM1" s="1751" t="s">
        <v>1294</v>
      </c>
      <c r="AN1" s="1751" t="s">
        <v>1295</v>
      </c>
      <c r="AO1" s="1751" t="s">
        <v>1296</v>
      </c>
      <c r="AP1" s="1751" t="s">
        <v>1297</v>
      </c>
      <c r="AQ1" s="1751" t="s">
        <v>1298</v>
      </c>
      <c r="AR1" s="1751" t="s">
        <v>1299</v>
      </c>
      <c r="AS1" s="1749" t="s">
        <v>1300</v>
      </c>
      <c r="AT1" s="1749" t="s">
        <v>1301</v>
      </c>
      <c r="AU1" s="1749" t="s">
        <v>1302</v>
      </c>
      <c r="AV1" s="1749" t="s">
        <v>1303</v>
      </c>
      <c r="AW1" s="1760" t="s">
        <v>1304</v>
      </c>
      <c r="AX1" s="1760" t="s">
        <v>1305</v>
      </c>
      <c r="AY1" s="1760" t="s">
        <v>1306</v>
      </c>
      <c r="AZ1" s="1760" t="s">
        <v>1307</v>
      </c>
      <c r="BA1" s="1760" t="s">
        <v>1308</v>
      </c>
      <c r="BB1" s="1760" t="s">
        <v>1309</v>
      </c>
      <c r="BC1" s="1760" t="s">
        <v>1310</v>
      </c>
      <c r="BD1" s="1760" t="s">
        <v>1311</v>
      </c>
      <c r="BE1" s="1760" t="s">
        <v>1312</v>
      </c>
      <c r="BF1" s="1760" t="s">
        <v>1313</v>
      </c>
      <c r="BG1" s="1760" t="s">
        <v>1314</v>
      </c>
      <c r="BH1" s="1760" t="s">
        <v>1315</v>
      </c>
      <c r="BI1" s="1760" t="s">
        <v>1316</v>
      </c>
      <c r="BJ1" s="1760" t="s">
        <v>1317</v>
      </c>
      <c r="BK1" s="1760" t="s">
        <v>1318</v>
      </c>
      <c r="BL1" s="1760" t="s">
        <v>1319</v>
      </c>
      <c r="BM1" s="1760" t="s">
        <v>1320</v>
      </c>
      <c r="BN1" s="1760" t="s">
        <v>1321</v>
      </c>
      <c r="BO1" s="1749" t="s">
        <v>1322</v>
      </c>
      <c r="BP1" s="1750" t="s">
        <v>1351</v>
      </c>
      <c r="BQ1" s="1750" t="s">
        <v>1352</v>
      </c>
      <c r="BR1" s="1757" t="s">
        <v>1323</v>
      </c>
      <c r="BS1" s="1757" t="s">
        <v>1353</v>
      </c>
      <c r="BT1" s="1759" t="s">
        <v>1324</v>
      </c>
      <c r="BU1" s="1751" t="s">
        <v>1325</v>
      </c>
      <c r="BV1" s="1751" t="s">
        <v>942</v>
      </c>
      <c r="BW1" s="1751" t="s">
        <v>1326</v>
      </c>
      <c r="BX1" s="1751" t="s">
        <v>1327</v>
      </c>
      <c r="BY1" s="1751" t="s">
        <v>1328</v>
      </c>
      <c r="BZ1" s="1751" t="s">
        <v>1329</v>
      </c>
      <c r="CA1" s="1751" t="s">
        <v>1330</v>
      </c>
      <c r="CB1" s="1761" t="s">
        <v>1331</v>
      </c>
      <c r="CC1" s="1751" t="s">
        <v>1332</v>
      </c>
      <c r="CD1" s="1751" t="s">
        <v>1333</v>
      </c>
      <c r="CE1" s="1751" t="s">
        <v>1334</v>
      </c>
      <c r="CF1" s="1760" t="s">
        <v>1335</v>
      </c>
      <c r="CG1" s="1760" t="s">
        <v>1336</v>
      </c>
      <c r="CH1" s="1760" t="s">
        <v>1337</v>
      </c>
      <c r="CI1" s="1760" t="s">
        <v>1338</v>
      </c>
      <c r="CJ1" s="1760" t="s">
        <v>1339</v>
      </c>
      <c r="CK1" s="1760" t="s">
        <v>1340</v>
      </c>
      <c r="CL1" s="1760" t="s">
        <v>1341</v>
      </c>
      <c r="CM1" s="1762" t="s">
        <v>1342</v>
      </c>
      <c r="CN1" s="1751" t="s">
        <v>1343</v>
      </c>
      <c r="CO1" s="1751" t="s">
        <v>1344</v>
      </c>
      <c r="CP1" s="1751" t="s">
        <v>1345</v>
      </c>
      <c r="CQ1" s="1749" t="s">
        <v>1346</v>
      </c>
    </row>
    <row r="2" spans="1:95" x14ac:dyDescent="0.25">
      <c r="A2" s="1748" t="str">
        <f>IF('1A'!G8="","",'1A'!G8)</f>
        <v>Capitol Hill Housing</v>
      </c>
      <c r="B2" s="1748" t="str">
        <f>IF('1A'!G15="","n/a",'1A'!G15)</f>
        <v>N/A</v>
      </c>
      <c r="C2" s="1748" t="str">
        <f>'1A'!G5</f>
        <v>Liberty Bank Building</v>
      </c>
      <c r="D2" s="1748" t="str">
        <f>'1A'!G29</f>
        <v>Seattle</v>
      </c>
      <c r="E2" s="1748" t="str">
        <f>'1A'!J29</f>
        <v>King</v>
      </c>
      <c r="F2" s="1758"/>
      <c r="G2" s="1748">
        <f>'1A'!G31</f>
        <v>37</v>
      </c>
      <c r="H2" s="1748" t="s">
        <v>1347</v>
      </c>
      <c r="I2" s="1758"/>
      <c r="J2" s="1758"/>
      <c r="K2" s="1758"/>
      <c r="L2" s="1758"/>
      <c r="M2" s="1748">
        <f>'1B'!L21</f>
        <v>115</v>
      </c>
      <c r="N2" s="1748">
        <f>'1B'!L8+'1B'!L9</f>
        <v>8</v>
      </c>
      <c r="O2" s="1748">
        <f>'1B'!L10+'1B'!L11</f>
        <v>0</v>
      </c>
      <c r="P2" s="1748">
        <f>'1B'!L12+'1B'!L13</f>
        <v>10</v>
      </c>
      <c r="Q2" s="1748">
        <f>'1B'!L14+'1B'!L15</f>
        <v>96</v>
      </c>
      <c r="R2" s="1748">
        <f>'1B'!L16+'1B'!L17</f>
        <v>0</v>
      </c>
      <c r="S2" s="1748">
        <f>'1B'!L20</f>
        <v>1</v>
      </c>
      <c r="T2" s="1748">
        <f>'1B'!L19</f>
        <v>0</v>
      </c>
      <c r="U2" s="1748">
        <f>'1B'!E21+'1B'!F21</f>
        <v>25</v>
      </c>
      <c r="V2" s="1748">
        <f>'1B'!G21</f>
        <v>75</v>
      </c>
      <c r="W2" s="1748">
        <f>'1B'!H21</f>
        <v>15</v>
      </c>
      <c r="X2" s="1748">
        <f>'1B'!I21</f>
        <v>0</v>
      </c>
      <c r="Y2" s="1748">
        <f>'1B'!J21</f>
        <v>0</v>
      </c>
      <c r="Z2" s="1748">
        <f>'1B'!K21</f>
        <v>0</v>
      </c>
      <c r="AA2" s="1748">
        <f>'1B'!D21</f>
        <v>0</v>
      </c>
      <c r="AB2" s="1748">
        <f>'1B'!E24+'1B'!F24</f>
        <v>525</v>
      </c>
      <c r="AC2" s="1748">
        <f>'1B'!G24</f>
        <v>650</v>
      </c>
      <c r="AD2" s="1748">
        <f>'1B'!H24</f>
        <v>875</v>
      </c>
      <c r="AE2" s="1748">
        <f>'1B'!I24</f>
        <v>0</v>
      </c>
      <c r="AF2" s="1748">
        <f>'1B'!J24</f>
        <v>0</v>
      </c>
      <c r="AG2" s="1748">
        <f>'1B'!K24</f>
        <v>0</v>
      </c>
      <c r="AH2" s="1748">
        <f>'1B'!D24</f>
        <v>0</v>
      </c>
      <c r="AI2" s="1747">
        <f>'2B'!K34</f>
        <v>99883</v>
      </c>
      <c r="AJ2" s="1747">
        <f>'2B'!N34</f>
        <v>2436</v>
      </c>
      <c r="AK2" s="1748" t="e">
        <f>#REF!</f>
        <v>#REF!</v>
      </c>
      <c r="AL2" s="1748" t="e">
        <f>#REF!</f>
        <v>#REF!</v>
      </c>
      <c r="AM2" s="1748" t="e">
        <f>#REF!</f>
        <v>#REF!</v>
      </c>
      <c r="AN2" s="1748" t="e">
        <f>#REF!</f>
        <v>#REF!</v>
      </c>
      <c r="AO2" s="1748" t="e">
        <f>#REF!</f>
        <v>#REF!</v>
      </c>
      <c r="AP2" s="1748" t="e">
        <f>#REF!</f>
        <v>#REF!</v>
      </c>
      <c r="AQ2" s="1748" t="e">
        <f>#REF!</f>
        <v>#REF!</v>
      </c>
      <c r="AR2" s="1748" t="e">
        <f>#REF!</f>
        <v>#REF!</v>
      </c>
      <c r="AS2" s="1758"/>
      <c r="AT2" s="1748">
        <f>'5'!F61</f>
        <v>42795</v>
      </c>
      <c r="AU2" s="1748">
        <f>'5'!F72</f>
        <v>42856</v>
      </c>
      <c r="AV2" s="1748">
        <f>'5'!F73</f>
        <v>43313</v>
      </c>
      <c r="AW2" s="1763">
        <f>'6A'!J20</f>
        <v>560000</v>
      </c>
      <c r="AX2" s="1763">
        <f>'6A'!K20</f>
        <v>554456</v>
      </c>
      <c r="AY2" s="1763">
        <f>'6A'!J34</f>
        <v>1063554</v>
      </c>
      <c r="AZ2" s="1763">
        <f>'6A'!J35</f>
        <v>0</v>
      </c>
      <c r="BA2" s="1758"/>
      <c r="BB2" s="1758"/>
      <c r="BC2" s="1763">
        <f>'6A'!J45</f>
        <v>22379217.607999999</v>
      </c>
      <c r="BD2" s="1763">
        <f>'6A'!K45</f>
        <v>22157910.607999999</v>
      </c>
      <c r="BE2" s="1763">
        <f>'6A'!J56</f>
        <v>2443643</v>
      </c>
      <c r="BF2" s="1763">
        <f>'6A'!J57</f>
        <v>0</v>
      </c>
      <c r="BG2" s="1758"/>
      <c r="BH2" s="1758"/>
      <c r="BI2" s="1763">
        <f>'6A'!J88</f>
        <v>591423</v>
      </c>
      <c r="BJ2" s="1763">
        <f>'6A'!K88</f>
        <v>591423</v>
      </c>
      <c r="BK2" s="1763">
        <f>'6A'!J89</f>
        <v>115000</v>
      </c>
      <c r="BL2" s="1763">
        <f>'6A'!K89</f>
        <v>115000</v>
      </c>
      <c r="BM2" s="1763">
        <f>'6A'!J118</f>
        <v>30299657.607999999</v>
      </c>
      <c r="BN2" s="1763">
        <f>'6A'!K118</f>
        <v>30049851.607999999</v>
      </c>
      <c r="BO2" s="1758"/>
      <c r="BP2" s="1748">
        <f>'11A'!N162</f>
        <v>0</v>
      </c>
      <c r="BQ2" s="1748">
        <f>'11B'!N153</f>
        <v>30</v>
      </c>
      <c r="BR2" s="1756">
        <f>IF((BP2+BQ2)=0,"n/a",'6D'!G40)</f>
        <v>1.02</v>
      </c>
      <c r="BS2" s="1756" t="str">
        <f>IF('7A'!F20=0,"n/a","YES")</f>
        <v>YES</v>
      </c>
      <c r="BT2" s="1758"/>
      <c r="BU2" s="1753">
        <f>'7A'!F33</f>
        <v>8824244.6079999991</v>
      </c>
      <c r="BV2" s="1758"/>
      <c r="BW2" s="1753">
        <f>'7A'!F35</f>
        <v>30049851.607999999</v>
      </c>
      <c r="BX2" s="1753">
        <f>'7A'!F43</f>
        <v>249806</v>
      </c>
      <c r="BY2" s="1753">
        <f>'7A'!E29+'7A'!E41</f>
        <v>21475413</v>
      </c>
      <c r="BZ2" s="1753">
        <f>'7A'!F29+'7A'!F41</f>
        <v>0</v>
      </c>
      <c r="CA2" s="1758"/>
      <c r="CB2" s="1764">
        <f>'8B'!H28</f>
        <v>0</v>
      </c>
      <c r="CC2" s="1765">
        <f>'8B'!H18</f>
        <v>74664</v>
      </c>
      <c r="CD2" s="1765">
        <f>'8B'!H36</f>
        <v>18423</v>
      </c>
      <c r="CE2" s="1764">
        <f>'8E'!J42</f>
        <v>1290583.2</v>
      </c>
      <c r="CF2" s="1765">
        <f>'8E'!J46</f>
        <v>94340.479999999996</v>
      </c>
      <c r="CG2" s="1765">
        <f>'8E'!J47</f>
        <v>95765</v>
      </c>
      <c r="CH2" s="1765">
        <f>'8E'!J67</f>
        <v>695982.48</v>
      </c>
      <c r="CI2" s="1765">
        <f>'8E'!J69</f>
        <v>40250</v>
      </c>
      <c r="CJ2" s="1765">
        <f>'8E'!J70</f>
        <v>0</v>
      </c>
      <c r="CK2" s="1765">
        <f>'8E'!K70</f>
        <v>0</v>
      </c>
      <c r="CL2" s="1765">
        <f>'8E'!J73</f>
        <v>18423.3105</v>
      </c>
      <c r="CM2" s="1748">
        <f>'8E'!J86</f>
        <v>1.2000864571157299</v>
      </c>
      <c r="CN2" s="1765">
        <f>'8E'!J97</f>
        <v>0</v>
      </c>
      <c r="CO2" s="1765">
        <f>'8E'!K97</f>
        <v>0</v>
      </c>
      <c r="CP2" s="1765">
        <f>'8E'!L97</f>
        <v>0</v>
      </c>
      <c r="CQ2" s="1748" t="str">
        <f>IF('8D'!K43=0,"N","Y")</f>
        <v>Y</v>
      </c>
    </row>
    <row r="3" spans="1:95" x14ac:dyDescent="0.25">
      <c r="A3" s="1748"/>
      <c r="B3" s="1748"/>
      <c r="C3" s="1748"/>
      <c r="D3" s="1748"/>
      <c r="E3" s="1748"/>
      <c r="F3" s="1748"/>
      <c r="G3" s="1748"/>
      <c r="H3" s="1748"/>
      <c r="I3" s="1748"/>
      <c r="J3" s="1748"/>
      <c r="K3" s="1748"/>
      <c r="L3" s="1748"/>
      <c r="M3" s="1748"/>
      <c r="N3" s="1748"/>
      <c r="O3" s="1748"/>
      <c r="P3" s="1748"/>
      <c r="Q3" s="1748"/>
      <c r="R3" s="1748"/>
      <c r="S3" s="1748"/>
      <c r="T3" s="1748"/>
      <c r="U3" s="1748"/>
      <c r="V3" s="1748"/>
      <c r="W3" s="1748"/>
      <c r="X3" s="1748"/>
      <c r="Y3" s="1748"/>
      <c r="Z3" s="1748"/>
      <c r="AA3" s="1748"/>
      <c r="AB3" s="1748"/>
      <c r="AC3" s="1748"/>
      <c r="AD3" s="1748"/>
      <c r="AE3" s="1748"/>
      <c r="AF3" s="1748"/>
      <c r="AG3" s="1748"/>
      <c r="AH3" s="1748"/>
      <c r="AI3" s="1748"/>
      <c r="AJ3" s="1748"/>
      <c r="AK3" s="1748"/>
      <c r="AL3" s="1748"/>
      <c r="AM3" s="1748"/>
      <c r="AN3" s="1748"/>
      <c r="AO3" s="1748"/>
      <c r="AP3" s="1748"/>
      <c r="AQ3" s="1748"/>
      <c r="AR3" s="1748"/>
      <c r="AS3" s="1748"/>
      <c r="AT3" s="1748"/>
      <c r="AU3" s="1748"/>
      <c r="AV3" s="1748"/>
      <c r="AW3" s="1748"/>
      <c r="AX3" s="1748"/>
      <c r="AY3" s="1748"/>
      <c r="AZ3" s="1748"/>
      <c r="BA3" s="1748"/>
      <c r="BB3" s="1748"/>
      <c r="BC3" s="1748"/>
      <c r="BD3" s="1748"/>
      <c r="BE3" s="1748"/>
      <c r="BF3" s="1748"/>
      <c r="BG3" s="1748"/>
      <c r="BH3" s="1748"/>
      <c r="BI3" s="1748"/>
      <c r="BJ3" s="1748"/>
      <c r="BK3" s="1748"/>
      <c r="BL3" s="1748"/>
      <c r="BM3" s="1748"/>
      <c r="BN3" s="1748"/>
      <c r="BO3" s="1748"/>
      <c r="BP3" s="1748"/>
      <c r="BR3" s="1748"/>
      <c r="BT3" s="1748"/>
      <c r="BU3" s="1748"/>
      <c r="BV3" s="1748"/>
      <c r="BW3" s="1748"/>
      <c r="BX3" s="1748"/>
      <c r="BY3" s="1748"/>
      <c r="BZ3" s="1748"/>
      <c r="CA3" s="1748"/>
      <c r="CB3" s="1748"/>
      <c r="CC3" s="1748"/>
      <c r="CD3" s="1748"/>
      <c r="CE3" s="1748"/>
      <c r="CF3" s="1748"/>
      <c r="CG3" s="1748"/>
      <c r="CH3" s="1748"/>
      <c r="CI3" s="1748"/>
      <c r="CJ3" s="1748"/>
      <c r="CK3" s="1748"/>
      <c r="CL3" s="1748"/>
      <c r="CM3" s="1748"/>
      <c r="CN3" s="1748"/>
      <c r="CO3" s="1748"/>
      <c r="CP3" s="1748"/>
      <c r="CQ3" s="174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292"/>
  <sheetViews>
    <sheetView topLeftCell="A70" workbookViewId="0">
      <selection activeCell="E116" sqref="D116:E116"/>
    </sheetView>
  </sheetViews>
  <sheetFormatPr defaultRowHeight="15" x14ac:dyDescent="0.25"/>
  <cols>
    <col min="1" max="1" width="34" bestFit="1" customWidth="1"/>
    <col min="2" max="2" width="61.42578125" customWidth="1"/>
    <col min="5" max="5" width="41.140625" bestFit="1" customWidth="1"/>
    <col min="6" max="6" width="63.7109375" customWidth="1"/>
  </cols>
  <sheetData>
    <row r="1" spans="1:6" x14ac:dyDescent="0.25">
      <c r="A1" s="750">
        <v>0.04</v>
      </c>
      <c r="B1" s="751"/>
      <c r="C1" s="752"/>
      <c r="D1" s="752"/>
      <c r="E1" s="748">
        <v>0.09</v>
      </c>
      <c r="F1" s="749"/>
    </row>
    <row r="2" spans="1:6" x14ac:dyDescent="0.25">
      <c r="A2" s="743" t="s">
        <v>735</v>
      </c>
      <c r="B2" s="742" t="s">
        <v>608</v>
      </c>
      <c r="C2" s="752"/>
      <c r="D2" s="752"/>
      <c r="E2" s="754" t="s">
        <v>810</v>
      </c>
      <c r="F2" s="755" t="s">
        <v>564</v>
      </c>
    </row>
    <row r="3" spans="1:6" x14ac:dyDescent="0.25">
      <c r="A3" s="742" t="s">
        <v>1071</v>
      </c>
      <c r="B3" s="742" t="s">
        <v>736</v>
      </c>
      <c r="C3" s="752"/>
      <c r="D3" s="752"/>
      <c r="E3" s="755" t="s">
        <v>811</v>
      </c>
      <c r="F3" s="755" t="s">
        <v>812</v>
      </c>
    </row>
    <row r="4" spans="1:6" x14ac:dyDescent="0.25">
      <c r="B4" s="742" t="s">
        <v>737</v>
      </c>
      <c r="C4" s="752"/>
      <c r="D4" s="752"/>
      <c r="E4" s="753"/>
      <c r="F4" s="755" t="s">
        <v>813</v>
      </c>
    </row>
    <row r="5" spans="1:6" x14ac:dyDescent="0.25">
      <c r="B5" s="742" t="s">
        <v>738</v>
      </c>
      <c r="C5" s="752"/>
      <c r="D5" s="752"/>
      <c r="E5" s="753"/>
      <c r="F5" s="755" t="s">
        <v>814</v>
      </c>
    </row>
    <row r="6" spans="1:6" x14ac:dyDescent="0.25">
      <c r="B6" s="742" t="s">
        <v>739</v>
      </c>
      <c r="C6" s="752"/>
      <c r="D6" s="752"/>
      <c r="E6" s="754"/>
      <c r="F6" s="755" t="s">
        <v>815</v>
      </c>
    </row>
    <row r="7" spans="1:6" x14ac:dyDescent="0.25">
      <c r="B7" s="742" t="s">
        <v>740</v>
      </c>
      <c r="C7" s="752"/>
      <c r="D7" s="752"/>
      <c r="E7" s="754"/>
      <c r="F7" s="755" t="s">
        <v>816</v>
      </c>
    </row>
    <row r="8" spans="1:6" x14ac:dyDescent="0.25">
      <c r="B8" s="742" t="s">
        <v>741</v>
      </c>
      <c r="C8" s="752"/>
      <c r="D8" s="752"/>
      <c r="E8" s="754"/>
      <c r="F8" s="755" t="s">
        <v>817</v>
      </c>
    </row>
    <row r="9" spans="1:6" x14ac:dyDescent="0.25">
      <c r="C9" s="752"/>
      <c r="D9" s="752"/>
      <c r="E9" s="754"/>
      <c r="F9" s="755" t="s">
        <v>818</v>
      </c>
    </row>
    <row r="10" spans="1:6" x14ac:dyDescent="0.25">
      <c r="C10" s="752"/>
      <c r="D10" s="752"/>
      <c r="E10" s="754"/>
      <c r="F10" s="755" t="s">
        <v>819</v>
      </c>
    </row>
    <row r="11" spans="1:6" x14ac:dyDescent="0.25">
      <c r="A11" s="743" t="s">
        <v>742</v>
      </c>
      <c r="B11" s="744">
        <v>0</v>
      </c>
      <c r="C11" s="752"/>
      <c r="D11" s="752"/>
      <c r="E11" s="754"/>
      <c r="F11" s="755" t="s">
        <v>820</v>
      </c>
    </row>
    <row r="12" spans="1:6" x14ac:dyDescent="0.25">
      <c r="A12" s="742" t="s">
        <v>1067</v>
      </c>
      <c r="B12" s="744">
        <v>0.1</v>
      </c>
      <c r="C12" s="752"/>
      <c r="D12" s="752"/>
      <c r="E12" s="754"/>
      <c r="F12" s="755" t="s">
        <v>821</v>
      </c>
    </row>
    <row r="13" spans="1:6" x14ac:dyDescent="0.25">
      <c r="B13" s="744">
        <v>0.3</v>
      </c>
      <c r="C13" s="752"/>
      <c r="D13" s="752"/>
      <c r="E13" s="754"/>
      <c r="F13" s="755" t="s">
        <v>822</v>
      </c>
    </row>
    <row r="14" spans="1:6" x14ac:dyDescent="0.25">
      <c r="B14" s="744">
        <v>0.5</v>
      </c>
      <c r="C14" s="752"/>
      <c r="D14" s="752"/>
      <c r="E14" s="754"/>
      <c r="F14" s="755" t="s">
        <v>823</v>
      </c>
    </row>
    <row r="15" spans="1:6" x14ac:dyDescent="0.25">
      <c r="B15" s="744">
        <v>0.7</v>
      </c>
      <c r="C15" s="752"/>
      <c r="D15" s="752"/>
      <c r="E15" s="754"/>
      <c r="F15" s="755" t="s">
        <v>824</v>
      </c>
    </row>
    <row r="16" spans="1:6" x14ac:dyDescent="0.25">
      <c r="B16" s="744">
        <v>0.9</v>
      </c>
      <c r="C16" s="752"/>
      <c r="D16" s="752"/>
      <c r="E16" s="754"/>
      <c r="F16" s="755" t="s">
        <v>825</v>
      </c>
    </row>
    <row r="17" spans="1:6" x14ac:dyDescent="0.25">
      <c r="B17" s="744">
        <v>1</v>
      </c>
      <c r="C17" s="752"/>
      <c r="D17" s="752"/>
      <c r="E17" s="754"/>
      <c r="F17" s="753"/>
    </row>
    <row r="18" spans="1:6" x14ac:dyDescent="0.25">
      <c r="C18" s="752"/>
      <c r="D18" s="752"/>
      <c r="E18" s="754" t="s">
        <v>826</v>
      </c>
      <c r="F18" s="755" t="s">
        <v>562</v>
      </c>
    </row>
    <row r="19" spans="1:6" x14ac:dyDescent="0.25">
      <c r="A19" s="743" t="s">
        <v>1068</v>
      </c>
      <c r="B19" s="742" t="s">
        <v>566</v>
      </c>
      <c r="C19" s="752"/>
      <c r="D19" s="752"/>
      <c r="E19" s="755" t="s">
        <v>827</v>
      </c>
      <c r="F19" s="755" t="s">
        <v>828</v>
      </c>
    </row>
    <row r="20" spans="1:6" x14ac:dyDescent="0.25">
      <c r="B20" s="745" t="s">
        <v>745</v>
      </c>
      <c r="C20" s="752"/>
      <c r="D20" s="752"/>
      <c r="E20" s="753"/>
      <c r="F20" s="755" t="s">
        <v>829</v>
      </c>
    </row>
    <row r="21" spans="1:6" x14ac:dyDescent="0.25">
      <c r="B21" s="745" t="s">
        <v>746</v>
      </c>
      <c r="C21" s="752"/>
      <c r="D21" s="752"/>
      <c r="E21" s="753"/>
      <c r="F21" s="755" t="s">
        <v>830</v>
      </c>
    </row>
    <row r="22" spans="1:6" x14ac:dyDescent="0.25">
      <c r="B22" s="745" t="s">
        <v>747</v>
      </c>
      <c r="C22" s="752"/>
      <c r="D22" s="752"/>
      <c r="E22" s="753"/>
      <c r="F22" s="755" t="s">
        <v>831</v>
      </c>
    </row>
    <row r="23" spans="1:6" x14ac:dyDescent="0.25">
      <c r="B23" s="745" t="s">
        <v>748</v>
      </c>
      <c r="C23" s="752"/>
      <c r="D23" s="752"/>
      <c r="E23" s="753"/>
      <c r="F23" s="755" t="s">
        <v>832</v>
      </c>
    </row>
    <row r="24" spans="1:6" x14ac:dyDescent="0.25">
      <c r="B24" s="745" t="s">
        <v>749</v>
      </c>
      <c r="C24" s="752"/>
      <c r="D24" s="752"/>
      <c r="E24" s="753"/>
      <c r="F24" s="755" t="s">
        <v>833</v>
      </c>
    </row>
    <row r="25" spans="1:6" x14ac:dyDescent="0.25">
      <c r="B25" s="745" t="s">
        <v>750</v>
      </c>
      <c r="C25" s="752"/>
      <c r="D25" s="752"/>
      <c r="E25" s="753"/>
      <c r="F25" s="755" t="s">
        <v>834</v>
      </c>
    </row>
    <row r="26" spans="1:6" x14ac:dyDescent="0.25">
      <c r="B26" s="745" t="s">
        <v>751</v>
      </c>
      <c r="C26" s="752"/>
      <c r="D26" s="752"/>
      <c r="E26" s="753"/>
      <c r="F26" s="755" t="s">
        <v>835</v>
      </c>
    </row>
    <row r="27" spans="1:6" x14ac:dyDescent="0.25">
      <c r="B27" s="745" t="s">
        <v>752</v>
      </c>
      <c r="C27" s="752"/>
      <c r="D27" s="752"/>
      <c r="E27" s="753"/>
      <c r="F27" s="755" t="s">
        <v>836</v>
      </c>
    </row>
    <row r="28" spans="1:6" x14ac:dyDescent="0.25">
      <c r="B28" s="745" t="s">
        <v>753</v>
      </c>
      <c r="C28" s="752"/>
      <c r="D28" s="752"/>
      <c r="E28" s="753"/>
      <c r="F28" s="755" t="s">
        <v>837</v>
      </c>
    </row>
    <row r="29" spans="1:6" x14ac:dyDescent="0.25">
      <c r="B29" s="745" t="s">
        <v>754</v>
      </c>
      <c r="C29" s="752"/>
      <c r="D29" s="752"/>
      <c r="E29" s="753"/>
      <c r="F29" s="755" t="s">
        <v>838</v>
      </c>
    </row>
    <row r="30" spans="1:6" x14ac:dyDescent="0.25">
      <c r="B30" s="745" t="s">
        <v>755</v>
      </c>
      <c r="C30" s="752"/>
      <c r="D30" s="752"/>
      <c r="E30" s="753"/>
      <c r="F30" s="755" t="s">
        <v>839</v>
      </c>
    </row>
    <row r="31" spans="1:6" x14ac:dyDescent="0.25">
      <c r="B31" s="745" t="s">
        <v>756</v>
      </c>
      <c r="C31" s="752"/>
      <c r="D31" s="752"/>
      <c r="E31" s="753"/>
      <c r="F31" s="755" t="s">
        <v>840</v>
      </c>
    </row>
    <row r="32" spans="1:6" x14ac:dyDescent="0.25">
      <c r="B32" s="745" t="s">
        <v>757</v>
      </c>
      <c r="C32" s="752"/>
      <c r="D32" s="752"/>
      <c r="E32" s="753"/>
      <c r="F32" s="755" t="s">
        <v>841</v>
      </c>
    </row>
    <row r="33" spans="1:6" x14ac:dyDescent="0.25">
      <c r="B33" s="745" t="s">
        <v>758</v>
      </c>
      <c r="C33" s="752"/>
      <c r="D33" s="752"/>
      <c r="E33" s="753"/>
      <c r="F33" s="755" t="s">
        <v>842</v>
      </c>
    </row>
    <row r="34" spans="1:6" x14ac:dyDescent="0.25">
      <c r="B34" s="745" t="s">
        <v>759</v>
      </c>
      <c r="C34" s="752"/>
      <c r="D34" s="752"/>
      <c r="E34" s="753"/>
      <c r="F34" s="755" t="s">
        <v>843</v>
      </c>
    </row>
    <row r="35" spans="1:6" x14ac:dyDescent="0.25">
      <c r="B35" s="745" t="s">
        <v>760</v>
      </c>
      <c r="C35" s="752"/>
      <c r="D35" s="752"/>
      <c r="E35" s="753"/>
      <c r="F35" s="755" t="s">
        <v>844</v>
      </c>
    </row>
    <row r="36" spans="1:6" x14ac:dyDescent="0.25">
      <c r="B36" s="745" t="s">
        <v>761</v>
      </c>
      <c r="C36" s="752"/>
      <c r="D36" s="752"/>
      <c r="E36" s="753"/>
      <c r="F36" s="755" t="s">
        <v>845</v>
      </c>
    </row>
    <row r="37" spans="1:6" x14ac:dyDescent="0.25">
      <c r="B37" s="745" t="s">
        <v>762</v>
      </c>
      <c r="C37" s="752"/>
      <c r="D37" s="752"/>
      <c r="E37" s="753"/>
      <c r="F37" s="755" t="s">
        <v>846</v>
      </c>
    </row>
    <row r="38" spans="1:6" x14ac:dyDescent="0.25">
      <c r="B38" s="745" t="s">
        <v>763</v>
      </c>
      <c r="C38" s="752"/>
      <c r="D38" s="752"/>
      <c r="E38" s="753"/>
      <c r="F38" s="755" t="s">
        <v>847</v>
      </c>
    </row>
    <row r="39" spans="1:6" x14ac:dyDescent="0.25">
      <c r="B39" s="745" t="s">
        <v>764</v>
      </c>
      <c r="C39" s="752"/>
      <c r="D39" s="752"/>
    </row>
    <row r="40" spans="1:6" x14ac:dyDescent="0.25">
      <c r="B40" s="745" t="s">
        <v>765</v>
      </c>
      <c r="C40" s="752"/>
      <c r="D40" s="752"/>
      <c r="E40" s="754" t="s">
        <v>848</v>
      </c>
      <c r="F40" s="755" t="s">
        <v>560</v>
      </c>
    </row>
    <row r="41" spans="1:6" x14ac:dyDescent="0.25">
      <c r="B41" s="745" t="s">
        <v>766</v>
      </c>
      <c r="C41" s="752"/>
      <c r="D41" s="752"/>
      <c r="E41" s="755" t="s">
        <v>849</v>
      </c>
      <c r="F41" s="755" t="s">
        <v>850</v>
      </c>
    </row>
    <row r="42" spans="1:6" x14ac:dyDescent="0.25">
      <c r="C42" s="752"/>
      <c r="D42" s="752"/>
      <c r="E42" s="753"/>
      <c r="F42" s="755" t="s">
        <v>851</v>
      </c>
    </row>
    <row r="43" spans="1:6" x14ac:dyDescent="0.25">
      <c r="A43" s="745" t="s">
        <v>767</v>
      </c>
      <c r="B43" s="745" t="s">
        <v>566</v>
      </c>
      <c r="C43" s="752"/>
      <c r="D43" s="752"/>
      <c r="E43" s="753"/>
      <c r="F43" s="755" t="s">
        <v>852</v>
      </c>
    </row>
    <row r="44" spans="1:6" x14ac:dyDescent="0.25">
      <c r="B44" s="746" t="s">
        <v>768</v>
      </c>
      <c r="C44" s="752"/>
      <c r="D44" s="752"/>
      <c r="E44" s="753"/>
      <c r="F44" s="755" t="s">
        <v>853</v>
      </c>
    </row>
    <row r="45" spans="1:6" x14ac:dyDescent="0.25">
      <c r="B45" s="746" t="s">
        <v>769</v>
      </c>
      <c r="C45" s="752"/>
      <c r="D45" s="752"/>
      <c r="E45" s="753"/>
      <c r="F45" s="755" t="s">
        <v>854</v>
      </c>
    </row>
    <row r="46" spans="1:6" x14ac:dyDescent="0.25">
      <c r="B46" s="746" t="s">
        <v>770</v>
      </c>
      <c r="C46" s="752"/>
      <c r="D46" s="752"/>
      <c r="E46" s="753"/>
      <c r="F46" s="755" t="s">
        <v>855</v>
      </c>
    </row>
    <row r="47" spans="1:6" x14ac:dyDescent="0.25">
      <c r="C47" s="752"/>
      <c r="D47" s="752"/>
      <c r="E47" s="753"/>
      <c r="F47" s="755" t="s">
        <v>856</v>
      </c>
    </row>
    <row r="48" spans="1:6" x14ac:dyDescent="0.25">
      <c r="A48" s="745" t="s">
        <v>771</v>
      </c>
      <c r="B48" s="745" t="s">
        <v>566</v>
      </c>
      <c r="C48" s="752"/>
      <c r="D48" s="752"/>
      <c r="E48" s="753"/>
      <c r="F48" s="755" t="s">
        <v>857</v>
      </c>
    </row>
    <row r="49" spans="1:6" x14ac:dyDescent="0.25">
      <c r="B49" s="746" t="s">
        <v>772</v>
      </c>
      <c r="C49" s="752"/>
      <c r="D49" s="752"/>
      <c r="F49" s="755" t="s">
        <v>858</v>
      </c>
    </row>
    <row r="50" spans="1:6" x14ac:dyDescent="0.25">
      <c r="B50" s="746" t="s">
        <v>773</v>
      </c>
      <c r="C50" s="752"/>
      <c r="D50" s="752"/>
      <c r="F50" s="755" t="s">
        <v>859</v>
      </c>
    </row>
    <row r="51" spans="1:6" x14ac:dyDescent="0.25">
      <c r="B51" s="746" t="s">
        <v>774</v>
      </c>
      <c r="C51" s="752"/>
      <c r="D51" s="752"/>
      <c r="F51" s="755" t="s">
        <v>860</v>
      </c>
    </row>
    <row r="52" spans="1:6" x14ac:dyDescent="0.25">
      <c r="C52" s="752"/>
      <c r="D52" s="752"/>
      <c r="F52" s="755" t="s">
        <v>861</v>
      </c>
    </row>
    <row r="53" spans="1:6" x14ac:dyDescent="0.25">
      <c r="A53" s="742" t="s">
        <v>775</v>
      </c>
      <c r="B53" s="742" t="s">
        <v>566</v>
      </c>
      <c r="C53" s="752"/>
      <c r="D53" s="752"/>
      <c r="F53" s="755" t="s">
        <v>862</v>
      </c>
    </row>
    <row r="54" spans="1:6" x14ac:dyDescent="0.25">
      <c r="A54" s="742" t="s">
        <v>776</v>
      </c>
      <c r="B54" s="742" t="s">
        <v>777</v>
      </c>
      <c r="C54" s="752"/>
      <c r="D54" s="752"/>
      <c r="F54" s="755" t="s">
        <v>863</v>
      </c>
    </row>
    <row r="55" spans="1:6" x14ac:dyDescent="0.25">
      <c r="C55" s="752"/>
      <c r="D55" s="752"/>
      <c r="F55" s="755" t="s">
        <v>864</v>
      </c>
    </row>
    <row r="56" spans="1:6" x14ac:dyDescent="0.25">
      <c r="C56" s="752"/>
      <c r="D56" s="752"/>
      <c r="F56" s="755" t="s">
        <v>865</v>
      </c>
    </row>
    <row r="57" spans="1:6" x14ac:dyDescent="0.25">
      <c r="C57" s="752"/>
      <c r="D57" s="752"/>
      <c r="F57" s="755" t="s">
        <v>866</v>
      </c>
    </row>
    <row r="58" spans="1:6" x14ac:dyDescent="0.25">
      <c r="A58" s="745" t="s">
        <v>778</v>
      </c>
      <c r="B58" s="745" t="s">
        <v>566</v>
      </c>
      <c r="C58" s="752"/>
      <c r="D58" s="752"/>
      <c r="F58" s="755" t="s">
        <v>867</v>
      </c>
    </row>
    <row r="59" spans="1:6" x14ac:dyDescent="0.25">
      <c r="A59" s="745" t="s">
        <v>779</v>
      </c>
      <c r="B59" s="745" t="s">
        <v>780</v>
      </c>
      <c r="C59" s="752"/>
      <c r="D59" s="752"/>
      <c r="F59" s="755" t="s">
        <v>868</v>
      </c>
    </row>
    <row r="60" spans="1:6" x14ac:dyDescent="0.25">
      <c r="B60" s="745" t="s">
        <v>781</v>
      </c>
      <c r="C60" s="752"/>
      <c r="D60" s="752"/>
      <c r="F60" s="755" t="s">
        <v>869</v>
      </c>
    </row>
    <row r="61" spans="1:6" x14ac:dyDescent="0.25">
      <c r="B61" s="745" t="s">
        <v>782</v>
      </c>
      <c r="C61" s="752"/>
      <c r="D61" s="752"/>
      <c r="F61" s="755" t="s">
        <v>870</v>
      </c>
    </row>
    <row r="62" spans="1:6" x14ac:dyDescent="0.25">
      <c r="B62" s="745" t="s">
        <v>783</v>
      </c>
      <c r="C62" s="752"/>
      <c r="D62" s="752"/>
      <c r="F62" s="755" t="s">
        <v>871</v>
      </c>
    </row>
    <row r="63" spans="1:6" x14ac:dyDescent="0.25">
      <c r="C63" s="752"/>
      <c r="D63" s="752"/>
      <c r="F63" s="755" t="s">
        <v>872</v>
      </c>
    </row>
    <row r="64" spans="1:6" x14ac:dyDescent="0.25">
      <c r="C64" s="752"/>
      <c r="D64" s="752"/>
      <c r="F64" s="755" t="s">
        <v>873</v>
      </c>
    </row>
    <row r="65" spans="1:6" x14ac:dyDescent="0.25">
      <c r="A65" s="742" t="s">
        <v>784</v>
      </c>
      <c r="B65" s="742" t="s">
        <v>566</v>
      </c>
      <c r="C65" s="752"/>
      <c r="D65" s="752"/>
      <c r="E65" s="753"/>
      <c r="F65" s="755" t="s">
        <v>874</v>
      </c>
    </row>
    <row r="66" spans="1:6" x14ac:dyDescent="0.25">
      <c r="A66" s="742" t="s">
        <v>785</v>
      </c>
      <c r="B66" s="742" t="s">
        <v>786</v>
      </c>
      <c r="C66" s="752"/>
      <c r="D66" s="752"/>
      <c r="E66" s="753"/>
      <c r="F66" s="755" t="s">
        <v>875</v>
      </c>
    </row>
    <row r="67" spans="1:6" x14ac:dyDescent="0.25">
      <c r="B67" s="742" t="s">
        <v>787</v>
      </c>
      <c r="C67" s="752"/>
      <c r="D67" s="752"/>
      <c r="E67" s="753"/>
      <c r="F67" s="755" t="s">
        <v>876</v>
      </c>
    </row>
    <row r="68" spans="1:6" x14ac:dyDescent="0.25">
      <c r="B68" s="742" t="s">
        <v>788</v>
      </c>
      <c r="C68" s="752"/>
      <c r="D68" s="752"/>
    </row>
    <row r="69" spans="1:6" x14ac:dyDescent="0.25">
      <c r="C69" s="752"/>
      <c r="D69" s="752"/>
      <c r="E69" s="754" t="s">
        <v>877</v>
      </c>
      <c r="F69" s="755" t="s">
        <v>562</v>
      </c>
    </row>
    <row r="70" spans="1:6" x14ac:dyDescent="0.25">
      <c r="A70" s="742" t="s">
        <v>789</v>
      </c>
      <c r="B70" s="742" t="s">
        <v>566</v>
      </c>
      <c r="C70" s="752"/>
      <c r="D70" s="752"/>
      <c r="E70" s="755" t="s">
        <v>878</v>
      </c>
      <c r="F70" s="755" t="s">
        <v>879</v>
      </c>
    </row>
    <row r="71" spans="1:6" x14ac:dyDescent="0.25">
      <c r="A71" s="742" t="s">
        <v>790</v>
      </c>
      <c r="B71" s="742" t="s">
        <v>791</v>
      </c>
      <c r="C71" s="752"/>
      <c r="D71" s="752"/>
      <c r="E71" s="753"/>
      <c r="F71" s="755" t="s">
        <v>880</v>
      </c>
    </row>
    <row r="72" spans="1:6" x14ac:dyDescent="0.25">
      <c r="B72" s="742" t="s">
        <v>792</v>
      </c>
      <c r="C72" s="752"/>
      <c r="D72" s="752"/>
      <c r="E72" s="753"/>
      <c r="F72" s="755" t="s">
        <v>881</v>
      </c>
    </row>
    <row r="73" spans="1:6" x14ac:dyDescent="0.25">
      <c r="B73" s="742" t="s">
        <v>793</v>
      </c>
      <c r="C73" s="752"/>
      <c r="D73" s="752"/>
      <c r="E73" s="753"/>
      <c r="F73" s="755" t="s">
        <v>882</v>
      </c>
    </row>
    <row r="74" spans="1:6" x14ac:dyDescent="0.25">
      <c r="B74" s="742" t="s">
        <v>794</v>
      </c>
      <c r="C74" s="752"/>
      <c r="D74" s="752"/>
      <c r="E74" s="753"/>
      <c r="F74" s="755" t="s">
        <v>883</v>
      </c>
    </row>
    <row r="75" spans="1:6" x14ac:dyDescent="0.25">
      <c r="B75" s="742" t="s">
        <v>795</v>
      </c>
      <c r="C75" s="752"/>
      <c r="D75" s="752"/>
      <c r="E75" s="753"/>
      <c r="F75" s="755" t="s">
        <v>884</v>
      </c>
    </row>
    <row r="76" spans="1:6" x14ac:dyDescent="0.25">
      <c r="B76" s="742" t="s">
        <v>796</v>
      </c>
      <c r="C76" s="752"/>
      <c r="D76" s="752"/>
      <c r="E76" s="753"/>
      <c r="F76" s="755" t="s">
        <v>885</v>
      </c>
    </row>
    <row r="77" spans="1:6" x14ac:dyDescent="0.25">
      <c r="B77" s="742" t="s">
        <v>797</v>
      </c>
      <c r="C77" s="752"/>
      <c r="D77" s="752"/>
      <c r="E77" s="753"/>
      <c r="F77" s="755" t="s">
        <v>886</v>
      </c>
    </row>
    <row r="78" spans="1:6" x14ac:dyDescent="0.25">
      <c r="C78" s="752"/>
      <c r="D78" s="752"/>
      <c r="E78" s="753"/>
      <c r="F78" s="755" t="s">
        <v>887</v>
      </c>
    </row>
    <row r="79" spans="1:6" x14ac:dyDescent="0.25">
      <c r="C79" s="752"/>
      <c r="D79" s="752"/>
      <c r="E79" s="753"/>
      <c r="F79" s="755" t="s">
        <v>888</v>
      </c>
    </row>
    <row r="80" spans="1:6" x14ac:dyDescent="0.25">
      <c r="A80" s="742"/>
      <c r="B80" s="742"/>
      <c r="C80" s="752"/>
      <c r="D80" s="752"/>
      <c r="E80" s="753"/>
      <c r="F80" s="755" t="s">
        <v>889</v>
      </c>
    </row>
    <row r="81" spans="1:6" x14ac:dyDescent="0.25">
      <c r="B81" s="742"/>
      <c r="C81" s="752"/>
      <c r="D81" s="752"/>
      <c r="E81" s="753"/>
      <c r="F81" s="755" t="s">
        <v>890</v>
      </c>
    </row>
    <row r="82" spans="1:6" x14ac:dyDescent="0.25">
      <c r="B82" s="742"/>
      <c r="C82" s="752"/>
      <c r="D82" s="752"/>
      <c r="E82" s="753"/>
      <c r="F82" s="755" t="s">
        <v>891</v>
      </c>
    </row>
    <row r="83" spans="1:6" x14ac:dyDescent="0.25">
      <c r="B83" s="742"/>
      <c r="C83" s="752"/>
      <c r="D83" s="752"/>
      <c r="E83" s="753"/>
      <c r="F83" s="755" t="s">
        <v>892</v>
      </c>
    </row>
    <row r="84" spans="1:6" x14ac:dyDescent="0.25">
      <c r="B84" s="742"/>
      <c r="C84" s="752"/>
      <c r="D84" s="752"/>
      <c r="E84" s="753"/>
      <c r="F84" s="755" t="s">
        <v>893</v>
      </c>
    </row>
    <row r="85" spans="1:6" x14ac:dyDescent="0.25">
      <c r="B85" s="742"/>
      <c r="C85" s="752"/>
      <c r="D85" s="752"/>
      <c r="E85" s="753"/>
      <c r="F85" s="755" t="s">
        <v>894</v>
      </c>
    </row>
    <row r="86" spans="1:6" x14ac:dyDescent="0.25">
      <c r="C86" s="752"/>
      <c r="D86" s="752"/>
      <c r="E86" s="753"/>
      <c r="F86" s="755" t="s">
        <v>895</v>
      </c>
    </row>
    <row r="87" spans="1:6" x14ac:dyDescent="0.25">
      <c r="C87" s="752"/>
      <c r="D87" s="752"/>
      <c r="E87" s="753"/>
      <c r="F87" s="755" t="s">
        <v>896</v>
      </c>
    </row>
    <row r="88" spans="1:6" x14ac:dyDescent="0.25">
      <c r="A88" s="742" t="s">
        <v>799</v>
      </c>
      <c r="B88" s="742" t="s">
        <v>566</v>
      </c>
      <c r="C88" s="752"/>
      <c r="D88" s="752"/>
      <c r="E88" s="753"/>
      <c r="F88" s="755" t="s">
        <v>897</v>
      </c>
    </row>
    <row r="89" spans="1:6" x14ac:dyDescent="0.25">
      <c r="A89" s="742" t="s">
        <v>800</v>
      </c>
      <c r="B89" s="743" t="s">
        <v>801</v>
      </c>
      <c r="C89" s="752"/>
      <c r="D89" s="752"/>
      <c r="E89" s="753"/>
      <c r="F89" s="755" t="s">
        <v>898</v>
      </c>
    </row>
    <row r="90" spans="1:6" x14ac:dyDescent="0.25">
      <c r="B90" s="743" t="s">
        <v>802</v>
      </c>
      <c r="C90" s="752"/>
      <c r="D90" s="752"/>
    </row>
    <row r="91" spans="1:6" x14ac:dyDescent="0.25">
      <c r="B91" s="743" t="s">
        <v>803</v>
      </c>
      <c r="C91" s="752"/>
      <c r="D91" s="752"/>
      <c r="E91" s="754" t="s">
        <v>742</v>
      </c>
      <c r="F91" s="756">
        <v>0</v>
      </c>
    </row>
    <row r="92" spans="1:6" x14ac:dyDescent="0.25">
      <c r="B92" s="743" t="s">
        <v>804</v>
      </c>
      <c r="C92" s="752"/>
      <c r="D92" s="752"/>
      <c r="E92" s="755" t="s">
        <v>743</v>
      </c>
      <c r="F92" s="756">
        <v>0.1</v>
      </c>
    </row>
    <row r="93" spans="1:6" x14ac:dyDescent="0.25">
      <c r="C93" s="752"/>
      <c r="D93" s="752"/>
      <c r="E93" s="753"/>
      <c r="F93" s="756">
        <v>0.2</v>
      </c>
    </row>
    <row r="94" spans="1:6" x14ac:dyDescent="0.25">
      <c r="C94" s="752"/>
      <c r="D94" s="752"/>
      <c r="E94" s="753"/>
      <c r="F94" s="756">
        <v>0.25</v>
      </c>
    </row>
    <row r="95" spans="1:6" x14ac:dyDescent="0.25">
      <c r="A95" s="745"/>
      <c r="B95" s="742"/>
      <c r="C95" s="752"/>
      <c r="D95" s="752"/>
      <c r="E95" s="753"/>
      <c r="F95" s="756">
        <v>0.3</v>
      </c>
    </row>
    <row r="96" spans="1:6" x14ac:dyDescent="0.25">
      <c r="A96" s="745"/>
      <c r="B96" s="745"/>
      <c r="C96" s="752"/>
      <c r="D96" s="752"/>
      <c r="E96" s="753"/>
      <c r="F96" s="756">
        <v>0.4</v>
      </c>
    </row>
    <row r="97" spans="1:6" x14ac:dyDescent="0.25">
      <c r="B97" s="745"/>
      <c r="C97" s="752"/>
      <c r="D97" s="752"/>
      <c r="E97" s="753"/>
      <c r="F97" s="756">
        <v>0.5</v>
      </c>
    </row>
    <row r="98" spans="1:6" x14ac:dyDescent="0.25">
      <c r="B98" s="745"/>
      <c r="C98" s="752"/>
      <c r="D98" s="752"/>
      <c r="E98" s="753"/>
      <c r="F98" s="756">
        <v>0.6</v>
      </c>
    </row>
    <row r="99" spans="1:6" x14ac:dyDescent="0.25">
      <c r="C99" s="752"/>
      <c r="D99" s="752"/>
      <c r="E99" s="753"/>
      <c r="F99" s="756">
        <v>0.75</v>
      </c>
    </row>
    <row r="100" spans="1:6" x14ac:dyDescent="0.25">
      <c r="A100" t="s">
        <v>807</v>
      </c>
      <c r="C100" s="752"/>
      <c r="D100" s="752"/>
      <c r="E100" s="753"/>
      <c r="F100" s="756">
        <v>1</v>
      </c>
    </row>
    <row r="101" spans="1:6" x14ac:dyDescent="0.25">
      <c r="A101" s="745" t="s">
        <v>1069</v>
      </c>
      <c r="B101" s="742" t="s">
        <v>566</v>
      </c>
      <c r="C101" s="752"/>
      <c r="D101" s="752"/>
    </row>
    <row r="102" spans="1:6" x14ac:dyDescent="0.25">
      <c r="B102" s="745" t="s">
        <v>808</v>
      </c>
      <c r="C102" s="752"/>
      <c r="D102" s="752"/>
      <c r="E102" s="754" t="s">
        <v>744</v>
      </c>
      <c r="F102" s="755" t="s">
        <v>566</v>
      </c>
    </row>
    <row r="103" spans="1:6" x14ac:dyDescent="0.25">
      <c r="B103" s="745" t="s">
        <v>809</v>
      </c>
      <c r="C103" s="752"/>
      <c r="D103" s="752"/>
      <c r="E103" s="753"/>
      <c r="F103" s="757" t="s">
        <v>899</v>
      </c>
    </row>
    <row r="104" spans="1:6" x14ac:dyDescent="0.25">
      <c r="C104" s="752"/>
      <c r="D104" s="752"/>
      <c r="E104" s="753"/>
      <c r="F104" s="757" t="s">
        <v>900</v>
      </c>
    </row>
    <row r="105" spans="1:6" x14ac:dyDescent="0.25">
      <c r="C105" s="752"/>
      <c r="D105" s="752"/>
      <c r="E105" s="753"/>
      <c r="F105" s="757" t="s">
        <v>901</v>
      </c>
    </row>
    <row r="106" spans="1:6" x14ac:dyDescent="0.25">
      <c r="A106" s="742"/>
      <c r="B106" s="747"/>
      <c r="C106" s="752"/>
      <c r="D106" s="752"/>
      <c r="E106" s="753"/>
      <c r="F106" s="757" t="s">
        <v>902</v>
      </c>
    </row>
    <row r="107" spans="1:6" x14ac:dyDescent="0.25">
      <c r="B107" s="747"/>
      <c r="C107" s="752"/>
      <c r="D107" s="752"/>
      <c r="E107" s="753"/>
      <c r="F107" s="757" t="s">
        <v>903</v>
      </c>
    </row>
    <row r="108" spans="1:6" x14ac:dyDescent="0.25">
      <c r="C108" s="752"/>
      <c r="D108" s="752"/>
      <c r="E108" s="753"/>
      <c r="F108" s="757" t="s">
        <v>904</v>
      </c>
    </row>
    <row r="109" spans="1:6" x14ac:dyDescent="0.25">
      <c r="A109" s="742"/>
      <c r="B109" s="747"/>
      <c r="C109" s="752"/>
      <c r="D109" s="752"/>
      <c r="E109" s="753"/>
      <c r="F109" s="757" t="s">
        <v>905</v>
      </c>
    </row>
    <row r="110" spans="1:6" x14ac:dyDescent="0.25">
      <c r="B110" s="747"/>
      <c r="C110" s="752"/>
      <c r="D110" s="752"/>
      <c r="E110" s="753"/>
      <c r="F110" s="757" t="s">
        <v>906</v>
      </c>
    </row>
    <row r="111" spans="1:6" x14ac:dyDescent="0.25">
      <c r="B111" s="747"/>
      <c r="C111" s="752"/>
      <c r="D111" s="752"/>
      <c r="E111" s="753"/>
      <c r="F111" s="757" t="s">
        <v>907</v>
      </c>
    </row>
    <row r="112" spans="1:6" x14ac:dyDescent="0.25">
      <c r="B112" s="747"/>
      <c r="C112" s="752"/>
      <c r="D112" s="752"/>
      <c r="E112" s="753"/>
      <c r="F112" s="757" t="s">
        <v>908</v>
      </c>
    </row>
    <row r="113" spans="1:6" x14ac:dyDescent="0.25">
      <c r="B113" s="747"/>
      <c r="C113" s="752"/>
      <c r="D113" s="752"/>
      <c r="E113" s="753"/>
      <c r="F113" s="757" t="s">
        <v>909</v>
      </c>
    </row>
    <row r="114" spans="1:6" x14ac:dyDescent="0.25">
      <c r="C114" s="752"/>
      <c r="D114" s="752"/>
      <c r="E114" s="753"/>
      <c r="F114" s="757" t="s">
        <v>910</v>
      </c>
    </row>
    <row r="115" spans="1:6" x14ac:dyDescent="0.25">
      <c r="A115" s="742"/>
      <c r="B115" s="747"/>
      <c r="C115" s="752"/>
      <c r="D115" s="752"/>
      <c r="E115" s="753"/>
      <c r="F115" s="757" t="s">
        <v>911</v>
      </c>
    </row>
    <row r="116" spans="1:6" x14ac:dyDescent="0.25">
      <c r="B116" s="747"/>
      <c r="C116" s="752"/>
      <c r="D116" s="752"/>
      <c r="E116" s="753"/>
      <c r="F116" s="757" t="s">
        <v>912</v>
      </c>
    </row>
    <row r="117" spans="1:6" x14ac:dyDescent="0.25">
      <c r="B117" s="747"/>
      <c r="C117" s="752"/>
      <c r="D117" s="752"/>
      <c r="E117" s="753"/>
      <c r="F117" s="757" t="s">
        <v>913</v>
      </c>
    </row>
    <row r="118" spans="1:6" x14ac:dyDescent="0.25">
      <c r="B118" s="747"/>
      <c r="C118" s="752"/>
      <c r="D118" s="752"/>
      <c r="E118" s="753"/>
      <c r="F118" s="757" t="s">
        <v>914</v>
      </c>
    </row>
    <row r="119" spans="1:6" x14ac:dyDescent="0.25">
      <c r="B119" s="747"/>
      <c r="C119" s="752"/>
      <c r="D119" s="752"/>
      <c r="E119" s="753"/>
      <c r="F119" s="757" t="s">
        <v>915</v>
      </c>
    </row>
    <row r="120" spans="1:6" x14ac:dyDescent="0.25">
      <c r="B120" s="747"/>
      <c r="C120" s="752"/>
      <c r="D120" s="752"/>
      <c r="E120" s="753"/>
      <c r="F120" s="757" t="s">
        <v>916</v>
      </c>
    </row>
    <row r="121" spans="1:6" x14ac:dyDescent="0.25">
      <c r="A121" s="742"/>
      <c r="C121" s="752"/>
      <c r="D121" s="752"/>
      <c r="E121" s="753"/>
      <c r="F121" s="757" t="s">
        <v>917</v>
      </c>
    </row>
    <row r="122" spans="1:6" x14ac:dyDescent="0.25">
      <c r="C122" s="752"/>
      <c r="D122" s="752"/>
      <c r="E122" s="753"/>
      <c r="F122" s="757" t="s">
        <v>918</v>
      </c>
    </row>
    <row r="123" spans="1:6" x14ac:dyDescent="0.25">
      <c r="C123" s="752"/>
      <c r="D123" s="752"/>
      <c r="E123" s="753"/>
      <c r="F123" s="757" t="s">
        <v>919</v>
      </c>
    </row>
    <row r="124" spans="1:6" x14ac:dyDescent="0.25">
      <c r="C124" s="752"/>
      <c r="D124" s="752"/>
      <c r="E124" s="753"/>
      <c r="F124" s="757" t="s">
        <v>698</v>
      </c>
    </row>
    <row r="125" spans="1:6" x14ac:dyDescent="0.25">
      <c r="C125" s="752"/>
      <c r="D125" s="752"/>
    </row>
    <row r="126" spans="1:6" x14ac:dyDescent="0.25">
      <c r="C126" s="752"/>
      <c r="D126" s="752"/>
      <c r="E126" s="757" t="s">
        <v>920</v>
      </c>
      <c r="F126" s="757" t="s">
        <v>566</v>
      </c>
    </row>
    <row r="127" spans="1:6" x14ac:dyDescent="0.25">
      <c r="C127" s="752"/>
      <c r="D127" s="752"/>
      <c r="E127" s="757"/>
      <c r="F127" s="758" t="s">
        <v>699</v>
      </c>
    </row>
    <row r="128" spans="1:6" x14ac:dyDescent="0.25">
      <c r="C128" s="752"/>
      <c r="D128" s="752"/>
      <c r="E128" s="757"/>
      <c r="F128" s="758"/>
    </row>
    <row r="129" spans="3:6" x14ac:dyDescent="0.25">
      <c r="C129" s="752"/>
      <c r="D129" s="752"/>
      <c r="E129" s="757"/>
      <c r="F129" s="757"/>
    </row>
    <row r="130" spans="3:6" x14ac:dyDescent="0.25">
      <c r="C130" s="752"/>
      <c r="D130" s="752"/>
      <c r="E130" s="757" t="s">
        <v>921</v>
      </c>
      <c r="F130" s="757" t="s">
        <v>566</v>
      </c>
    </row>
    <row r="131" spans="3:6" x14ac:dyDescent="0.25">
      <c r="C131" s="752"/>
      <c r="D131" s="752"/>
      <c r="E131" s="757"/>
      <c r="F131" s="757" t="s">
        <v>922</v>
      </c>
    </row>
    <row r="132" spans="3:6" x14ac:dyDescent="0.25">
      <c r="C132" s="752"/>
      <c r="D132" s="752"/>
      <c r="E132" s="757"/>
      <c r="F132" s="758" t="s">
        <v>923</v>
      </c>
    </row>
    <row r="133" spans="3:6" x14ac:dyDescent="0.25">
      <c r="C133" s="752"/>
      <c r="D133" s="752"/>
      <c r="E133" s="757"/>
      <c r="F133" s="758" t="s">
        <v>924</v>
      </c>
    </row>
    <row r="134" spans="3:6" x14ac:dyDescent="0.25">
      <c r="C134" s="752"/>
      <c r="D134" s="752"/>
      <c r="E134" s="757"/>
      <c r="F134" s="758" t="s">
        <v>925</v>
      </c>
    </row>
    <row r="135" spans="3:6" x14ac:dyDescent="0.25">
      <c r="C135" s="752"/>
      <c r="D135" s="752"/>
      <c r="E135" s="757"/>
      <c r="F135" s="758" t="s">
        <v>926</v>
      </c>
    </row>
    <row r="136" spans="3:6" x14ac:dyDescent="0.25">
      <c r="C136" s="752"/>
      <c r="D136" s="752"/>
      <c r="E136" s="757"/>
      <c r="F136" s="759" t="s">
        <v>927</v>
      </c>
    </row>
    <row r="137" spans="3:6" x14ac:dyDescent="0.25">
      <c r="C137" s="752"/>
      <c r="D137" s="752"/>
      <c r="E137" s="757"/>
      <c r="F137" s="759" t="s">
        <v>928</v>
      </c>
    </row>
    <row r="138" spans="3:6" x14ac:dyDescent="0.25">
      <c r="C138" s="752"/>
      <c r="D138" s="752"/>
      <c r="E138" s="757"/>
      <c r="F138" s="759" t="s">
        <v>696</v>
      </c>
    </row>
    <row r="139" spans="3:6" x14ac:dyDescent="0.25">
      <c r="C139" s="752"/>
      <c r="D139" s="752"/>
      <c r="E139" s="757"/>
      <c r="F139" s="757"/>
    </row>
    <row r="140" spans="3:6" x14ac:dyDescent="0.25">
      <c r="C140" s="752"/>
      <c r="D140" s="752"/>
      <c r="E140" s="757" t="s">
        <v>929</v>
      </c>
      <c r="F140" s="757" t="s">
        <v>599</v>
      </c>
    </row>
    <row r="141" spans="3:6" x14ac:dyDescent="0.25">
      <c r="C141" s="752"/>
      <c r="D141" s="752"/>
      <c r="E141" s="757" t="s">
        <v>930</v>
      </c>
      <c r="F141" s="757" t="s">
        <v>931</v>
      </c>
    </row>
    <row r="142" spans="3:6" x14ac:dyDescent="0.25">
      <c r="C142" s="752"/>
      <c r="D142" s="752"/>
      <c r="E142" s="753"/>
      <c r="F142" s="757" t="s">
        <v>932</v>
      </c>
    </row>
    <row r="143" spans="3:6" x14ac:dyDescent="0.25">
      <c r="C143" s="752"/>
      <c r="D143" s="752"/>
      <c r="E143" s="757"/>
      <c r="F143" s="757" t="s">
        <v>933</v>
      </c>
    </row>
    <row r="144" spans="3:6" x14ac:dyDescent="0.25">
      <c r="C144" s="752"/>
      <c r="D144" s="752"/>
      <c r="E144" s="757"/>
      <c r="F144" s="757" t="s">
        <v>934</v>
      </c>
    </row>
    <row r="145" spans="3:6" x14ac:dyDescent="0.25">
      <c r="C145" s="752"/>
      <c r="D145" s="752"/>
      <c r="E145" s="757"/>
      <c r="F145" s="757" t="s">
        <v>935</v>
      </c>
    </row>
    <row r="146" spans="3:6" x14ac:dyDescent="0.25">
      <c r="C146" s="752"/>
      <c r="D146" s="752"/>
      <c r="E146" s="757"/>
      <c r="F146" s="757" t="s">
        <v>936</v>
      </c>
    </row>
    <row r="147" spans="3:6" x14ac:dyDescent="0.25">
      <c r="C147" s="752"/>
      <c r="D147" s="752"/>
      <c r="E147" s="757"/>
      <c r="F147" s="757" t="s">
        <v>937</v>
      </c>
    </row>
    <row r="148" spans="3:6" x14ac:dyDescent="0.25">
      <c r="C148" s="752"/>
      <c r="D148" s="752"/>
      <c r="E148" s="757"/>
      <c r="F148" s="753"/>
    </row>
    <row r="149" spans="3:6" x14ac:dyDescent="0.25">
      <c r="C149" s="752"/>
      <c r="D149" s="752"/>
      <c r="E149" s="757" t="s">
        <v>938</v>
      </c>
      <c r="F149" s="755" t="s">
        <v>939</v>
      </c>
    </row>
    <row r="150" spans="3:6" x14ac:dyDescent="0.25">
      <c r="C150" s="752"/>
      <c r="D150" s="752"/>
      <c r="E150" s="757" t="s">
        <v>940</v>
      </c>
      <c r="F150" s="759" t="s">
        <v>941</v>
      </c>
    </row>
    <row r="151" spans="3:6" x14ac:dyDescent="0.25">
      <c r="C151" s="752"/>
      <c r="D151" s="752"/>
      <c r="E151" s="753"/>
      <c r="F151" s="759" t="s">
        <v>942</v>
      </c>
    </row>
    <row r="152" spans="3:6" x14ac:dyDescent="0.25">
      <c r="C152" s="752"/>
      <c r="D152" s="752"/>
      <c r="E152" s="757"/>
      <c r="F152" s="759">
        <v>2060</v>
      </c>
    </row>
    <row r="153" spans="3:6" x14ac:dyDescent="0.25">
      <c r="C153" s="752"/>
      <c r="D153" s="752"/>
      <c r="E153" s="757"/>
      <c r="F153" s="759">
        <v>2163</v>
      </c>
    </row>
    <row r="154" spans="3:6" x14ac:dyDescent="0.25">
      <c r="C154" s="752"/>
      <c r="D154" s="752"/>
      <c r="E154" s="757"/>
      <c r="F154" s="759" t="s">
        <v>943</v>
      </c>
    </row>
    <row r="155" spans="3:6" x14ac:dyDescent="0.25">
      <c r="C155" s="752"/>
      <c r="D155" s="752"/>
      <c r="E155" s="757"/>
      <c r="F155" s="757" t="s">
        <v>944</v>
      </c>
    </row>
    <row r="156" spans="3:6" x14ac:dyDescent="0.25">
      <c r="C156" s="752"/>
      <c r="D156" s="752"/>
      <c r="E156" s="757"/>
      <c r="F156" s="757" t="s">
        <v>945</v>
      </c>
    </row>
    <row r="157" spans="3:6" x14ac:dyDescent="0.25">
      <c r="C157" s="752"/>
      <c r="D157" s="752"/>
      <c r="E157" s="757"/>
      <c r="F157" s="757" t="s">
        <v>946</v>
      </c>
    </row>
    <row r="158" spans="3:6" x14ac:dyDescent="0.25">
      <c r="C158" s="752"/>
      <c r="D158" s="752"/>
      <c r="E158" s="757"/>
      <c r="F158" s="757" t="s">
        <v>947</v>
      </c>
    </row>
    <row r="159" spans="3:6" x14ac:dyDescent="0.25">
      <c r="C159" s="752"/>
      <c r="D159" s="752"/>
      <c r="E159" s="757"/>
      <c r="F159" s="757" t="s">
        <v>948</v>
      </c>
    </row>
    <row r="160" spans="3:6" x14ac:dyDescent="0.25">
      <c r="C160" s="752"/>
      <c r="D160" s="752"/>
      <c r="E160" s="757"/>
      <c r="F160" s="757" t="s">
        <v>949</v>
      </c>
    </row>
    <row r="161" spans="3:6" x14ac:dyDescent="0.25">
      <c r="C161" s="752"/>
      <c r="D161" s="752"/>
      <c r="E161" s="757"/>
      <c r="F161" s="757" t="s">
        <v>950</v>
      </c>
    </row>
    <row r="162" spans="3:6" x14ac:dyDescent="0.25">
      <c r="C162" s="752"/>
      <c r="D162" s="752"/>
      <c r="E162" s="757"/>
      <c r="F162" s="757"/>
    </row>
    <row r="163" spans="3:6" x14ac:dyDescent="0.25">
      <c r="C163" s="752"/>
      <c r="D163" s="752"/>
      <c r="E163" s="757" t="s">
        <v>951</v>
      </c>
      <c r="F163" s="757" t="s">
        <v>939</v>
      </c>
    </row>
    <row r="164" spans="3:6" x14ac:dyDescent="0.25">
      <c r="C164" s="752"/>
      <c r="D164" s="752"/>
      <c r="E164" s="757" t="s">
        <v>952</v>
      </c>
      <c r="F164" s="757" t="s">
        <v>215</v>
      </c>
    </row>
    <row r="165" spans="3:6" x14ac:dyDescent="0.25">
      <c r="C165" s="752"/>
      <c r="D165" s="752"/>
      <c r="E165" s="753"/>
      <c r="F165" s="757" t="s">
        <v>953</v>
      </c>
    </row>
    <row r="166" spans="3:6" x14ac:dyDescent="0.25">
      <c r="C166" s="752"/>
      <c r="D166" s="752"/>
      <c r="E166" s="757"/>
      <c r="F166" s="757" t="s">
        <v>943</v>
      </c>
    </row>
    <row r="167" spans="3:6" x14ac:dyDescent="0.25">
      <c r="C167" s="752"/>
      <c r="D167" s="752"/>
      <c r="E167" s="757"/>
      <c r="F167" s="757" t="s">
        <v>778</v>
      </c>
    </row>
    <row r="168" spans="3:6" x14ac:dyDescent="0.25">
      <c r="C168" s="752"/>
      <c r="D168" s="752"/>
      <c r="E168" s="757"/>
      <c r="F168" s="757" t="s">
        <v>954</v>
      </c>
    </row>
    <row r="169" spans="3:6" x14ac:dyDescent="0.25">
      <c r="C169" s="752"/>
      <c r="D169" s="752"/>
      <c r="E169" s="757"/>
      <c r="F169" s="757" t="s">
        <v>955</v>
      </c>
    </row>
    <row r="170" spans="3:6" x14ac:dyDescent="0.25">
      <c r="C170" s="752"/>
      <c r="D170" s="752"/>
      <c r="E170" s="757"/>
      <c r="F170" s="757"/>
    </row>
    <row r="171" spans="3:6" x14ac:dyDescent="0.25">
      <c r="C171" s="752"/>
      <c r="D171" s="752"/>
      <c r="E171" s="757" t="s">
        <v>956</v>
      </c>
      <c r="F171" s="755" t="s">
        <v>562</v>
      </c>
    </row>
    <row r="172" spans="3:6" x14ac:dyDescent="0.25">
      <c r="C172" s="752"/>
      <c r="D172" s="752"/>
      <c r="E172" s="757" t="s">
        <v>957</v>
      </c>
      <c r="F172" s="759" t="s">
        <v>958</v>
      </c>
    </row>
    <row r="173" spans="3:6" x14ac:dyDescent="0.25">
      <c r="C173" s="752"/>
      <c r="D173" s="752"/>
      <c r="E173" s="757"/>
      <c r="F173" s="759" t="s">
        <v>959</v>
      </c>
    </row>
    <row r="174" spans="3:6" x14ac:dyDescent="0.25">
      <c r="C174" s="752"/>
      <c r="D174" s="752"/>
      <c r="E174" s="757"/>
      <c r="F174" s="759" t="s">
        <v>960</v>
      </c>
    </row>
    <row r="175" spans="3:6" x14ac:dyDescent="0.25">
      <c r="C175" s="752"/>
      <c r="D175" s="752"/>
      <c r="E175" s="757"/>
      <c r="F175" s="759" t="s">
        <v>961</v>
      </c>
    </row>
    <row r="176" spans="3:6" x14ac:dyDescent="0.25">
      <c r="C176" s="752"/>
      <c r="D176" s="752"/>
      <c r="E176" s="757"/>
      <c r="F176" s="759" t="s">
        <v>962</v>
      </c>
    </row>
    <row r="177" spans="3:6" x14ac:dyDescent="0.25">
      <c r="C177" s="752"/>
      <c r="D177" s="752"/>
      <c r="E177" s="757"/>
      <c r="F177" s="757" t="s">
        <v>963</v>
      </c>
    </row>
    <row r="178" spans="3:6" x14ac:dyDescent="0.25">
      <c r="C178" s="752"/>
      <c r="D178" s="752"/>
      <c r="E178" s="757"/>
      <c r="F178" s="757"/>
    </row>
    <row r="179" spans="3:6" x14ac:dyDescent="0.25">
      <c r="C179" s="752"/>
      <c r="D179" s="752"/>
      <c r="E179" s="757" t="s">
        <v>964</v>
      </c>
      <c r="F179" s="757" t="s">
        <v>965</v>
      </c>
    </row>
    <row r="180" spans="3:6" x14ac:dyDescent="0.25">
      <c r="C180" s="752"/>
      <c r="D180" s="752"/>
      <c r="E180" s="757" t="s">
        <v>966</v>
      </c>
      <c r="F180" s="757" t="s">
        <v>967</v>
      </c>
    </row>
    <row r="181" spans="3:6" x14ac:dyDescent="0.25">
      <c r="C181" s="752"/>
      <c r="D181" s="752"/>
      <c r="E181" s="757"/>
      <c r="F181" s="757" t="s">
        <v>697</v>
      </c>
    </row>
    <row r="182" spans="3:6" x14ac:dyDescent="0.25">
      <c r="C182" s="752"/>
      <c r="D182" s="752"/>
      <c r="E182" s="757"/>
      <c r="F182" s="757"/>
    </row>
    <row r="183" spans="3:6" x14ac:dyDescent="0.25">
      <c r="C183" s="752"/>
      <c r="D183" s="752"/>
      <c r="E183" s="757" t="s">
        <v>968</v>
      </c>
      <c r="F183" s="755" t="s">
        <v>969</v>
      </c>
    </row>
    <row r="184" spans="3:6" x14ac:dyDescent="0.25">
      <c r="C184" s="752"/>
      <c r="D184" s="752"/>
      <c r="E184" s="757"/>
      <c r="F184" s="757" t="s">
        <v>970</v>
      </c>
    </row>
    <row r="185" spans="3:6" x14ac:dyDescent="0.25">
      <c r="C185" s="752"/>
      <c r="D185" s="752"/>
      <c r="E185" s="757"/>
      <c r="F185" s="757" t="s">
        <v>971</v>
      </c>
    </row>
    <row r="186" spans="3:6" x14ac:dyDescent="0.25">
      <c r="C186" s="752"/>
      <c r="D186" s="752"/>
      <c r="E186" s="757"/>
      <c r="F186" s="757" t="s">
        <v>972</v>
      </c>
    </row>
    <row r="187" spans="3:6" x14ac:dyDescent="0.25">
      <c r="C187" s="752"/>
      <c r="D187" s="752"/>
      <c r="E187" s="757"/>
      <c r="F187" s="760"/>
    </row>
    <row r="188" spans="3:6" x14ac:dyDescent="0.25">
      <c r="C188" s="752"/>
      <c r="D188" s="752"/>
      <c r="E188" s="757"/>
      <c r="F188" s="757"/>
    </row>
    <row r="189" spans="3:6" x14ac:dyDescent="0.25">
      <c r="C189" s="752"/>
      <c r="D189" s="752"/>
      <c r="E189" s="757" t="s">
        <v>798</v>
      </c>
      <c r="F189" s="757" t="s">
        <v>973</v>
      </c>
    </row>
    <row r="190" spans="3:6" x14ac:dyDescent="0.25">
      <c r="C190" s="752"/>
      <c r="D190" s="752"/>
      <c r="E190" s="757"/>
      <c r="F190" s="757" t="s">
        <v>974</v>
      </c>
    </row>
    <row r="191" spans="3:6" x14ac:dyDescent="0.25">
      <c r="C191" s="752"/>
      <c r="D191" s="752"/>
      <c r="E191" s="757"/>
      <c r="F191" s="757" t="s">
        <v>975</v>
      </c>
    </row>
    <row r="192" spans="3:6" x14ac:dyDescent="0.25">
      <c r="C192" s="752"/>
      <c r="D192" s="752"/>
      <c r="E192" s="757"/>
      <c r="F192" s="757" t="s">
        <v>976</v>
      </c>
    </row>
    <row r="193" spans="3:6" x14ac:dyDescent="0.25">
      <c r="C193" s="752"/>
      <c r="D193" s="752"/>
      <c r="E193" s="757"/>
      <c r="F193" s="757" t="s">
        <v>977</v>
      </c>
    </row>
    <row r="194" spans="3:6" x14ac:dyDescent="0.25">
      <c r="C194" s="752"/>
      <c r="D194" s="752"/>
      <c r="E194" s="757"/>
      <c r="F194" s="757" t="s">
        <v>583</v>
      </c>
    </row>
    <row r="195" spans="3:6" x14ac:dyDescent="0.25">
      <c r="C195" s="752"/>
      <c r="D195" s="752"/>
      <c r="E195" s="757"/>
      <c r="F195" s="757"/>
    </row>
    <row r="196" spans="3:6" x14ac:dyDescent="0.25">
      <c r="C196" s="752"/>
      <c r="D196" s="752"/>
      <c r="E196" s="757"/>
      <c r="F196" s="757"/>
    </row>
    <row r="197" spans="3:6" x14ac:dyDescent="0.25">
      <c r="C197" s="752"/>
      <c r="D197" s="752"/>
      <c r="E197" s="757" t="s">
        <v>978</v>
      </c>
      <c r="F197" s="757" t="s">
        <v>979</v>
      </c>
    </row>
    <row r="198" spans="3:6" x14ac:dyDescent="0.25">
      <c r="C198" s="752"/>
      <c r="D198" s="752"/>
      <c r="E198" s="757"/>
      <c r="F198" s="757" t="s">
        <v>980</v>
      </c>
    </row>
    <row r="199" spans="3:6" x14ac:dyDescent="0.25">
      <c r="C199" s="752"/>
      <c r="D199" s="752"/>
      <c r="E199" s="757"/>
      <c r="F199" s="757" t="s">
        <v>981</v>
      </c>
    </row>
    <row r="200" spans="3:6" x14ac:dyDescent="0.25">
      <c r="C200" s="752"/>
      <c r="D200" s="752"/>
      <c r="E200" s="757"/>
      <c r="F200" s="757"/>
    </row>
    <row r="201" spans="3:6" x14ac:dyDescent="0.25">
      <c r="C201" s="752"/>
      <c r="D201" s="752"/>
      <c r="E201" s="757" t="s">
        <v>683</v>
      </c>
      <c r="F201" s="757" t="s">
        <v>982</v>
      </c>
    </row>
    <row r="202" spans="3:6" x14ac:dyDescent="0.25">
      <c r="C202" s="752"/>
      <c r="D202" s="752"/>
      <c r="E202" s="757" t="s">
        <v>983</v>
      </c>
      <c r="F202" s="757" t="s">
        <v>984</v>
      </c>
    </row>
    <row r="203" spans="3:6" x14ac:dyDescent="0.25">
      <c r="C203" s="752"/>
      <c r="D203" s="752"/>
      <c r="E203" s="757"/>
      <c r="F203" s="757" t="s">
        <v>985</v>
      </c>
    </row>
    <row r="204" spans="3:6" x14ac:dyDescent="0.25">
      <c r="C204" s="752"/>
      <c r="D204" s="752"/>
      <c r="E204" s="757"/>
      <c r="F204" s="757" t="s">
        <v>986</v>
      </c>
    </row>
    <row r="205" spans="3:6" x14ac:dyDescent="0.25">
      <c r="C205" s="752"/>
      <c r="D205" s="752"/>
      <c r="E205" s="757"/>
      <c r="F205" s="757" t="s">
        <v>987</v>
      </c>
    </row>
    <row r="206" spans="3:6" x14ac:dyDescent="0.25">
      <c r="C206" s="752"/>
      <c r="D206" s="752"/>
      <c r="E206" s="757"/>
      <c r="F206" s="757" t="s">
        <v>988</v>
      </c>
    </row>
    <row r="207" spans="3:6" x14ac:dyDescent="0.25">
      <c r="C207" s="752"/>
      <c r="D207" s="752"/>
      <c r="E207" s="757"/>
      <c r="F207" s="757" t="s">
        <v>989</v>
      </c>
    </row>
    <row r="208" spans="3:6" x14ac:dyDescent="0.25">
      <c r="C208" s="752"/>
      <c r="D208" s="752"/>
      <c r="E208" s="757"/>
      <c r="F208" s="757" t="s">
        <v>990</v>
      </c>
    </row>
    <row r="209" spans="3:6" x14ac:dyDescent="0.25">
      <c r="C209" s="752"/>
      <c r="D209" s="752"/>
      <c r="E209" s="757"/>
      <c r="F209" s="757" t="s">
        <v>991</v>
      </c>
    </row>
    <row r="210" spans="3:6" x14ac:dyDescent="0.25">
      <c r="C210" s="752"/>
      <c r="D210" s="752"/>
      <c r="E210" s="757"/>
      <c r="F210" s="757" t="s">
        <v>992</v>
      </c>
    </row>
    <row r="211" spans="3:6" x14ac:dyDescent="0.25">
      <c r="C211" s="752"/>
      <c r="D211" s="752"/>
      <c r="E211" s="757"/>
      <c r="F211" s="757" t="s">
        <v>993</v>
      </c>
    </row>
    <row r="212" spans="3:6" x14ac:dyDescent="0.25">
      <c r="C212" s="752"/>
      <c r="D212" s="752"/>
      <c r="E212" s="757"/>
      <c r="F212" s="757" t="s">
        <v>994</v>
      </c>
    </row>
    <row r="213" spans="3:6" x14ac:dyDescent="0.25">
      <c r="C213" s="752"/>
      <c r="D213" s="752"/>
      <c r="E213" s="757"/>
      <c r="F213" s="757" t="s">
        <v>995</v>
      </c>
    </row>
    <row r="214" spans="3:6" x14ac:dyDescent="0.25">
      <c r="C214" s="752"/>
      <c r="D214" s="752"/>
      <c r="E214" s="757"/>
      <c r="F214" s="757" t="s">
        <v>996</v>
      </c>
    </row>
    <row r="215" spans="3:6" x14ac:dyDescent="0.25">
      <c r="C215" s="752"/>
      <c r="D215" s="752"/>
      <c r="E215" s="757"/>
      <c r="F215" s="757"/>
    </row>
    <row r="216" spans="3:6" x14ac:dyDescent="0.25">
      <c r="C216" s="752"/>
      <c r="D216" s="752"/>
      <c r="E216" s="757" t="s">
        <v>805</v>
      </c>
      <c r="F216" s="755" t="s">
        <v>566</v>
      </c>
    </row>
    <row r="217" spans="3:6" x14ac:dyDescent="0.25">
      <c r="C217" s="752"/>
      <c r="D217" s="752"/>
      <c r="E217" s="757" t="s">
        <v>806</v>
      </c>
      <c r="F217" s="757" t="s">
        <v>997</v>
      </c>
    </row>
    <row r="218" spans="3:6" x14ac:dyDescent="0.25">
      <c r="C218" s="752"/>
      <c r="D218" s="752"/>
      <c r="E218" s="757"/>
      <c r="F218" s="757" t="s">
        <v>998</v>
      </c>
    </row>
    <row r="219" spans="3:6" x14ac:dyDescent="0.25">
      <c r="C219" s="752"/>
      <c r="D219" s="752"/>
      <c r="E219" s="757"/>
      <c r="F219" s="757" t="s">
        <v>999</v>
      </c>
    </row>
    <row r="220" spans="3:6" x14ac:dyDescent="0.25">
      <c r="C220" s="752"/>
      <c r="D220" s="752"/>
      <c r="E220" s="757"/>
      <c r="F220" s="757"/>
    </row>
    <row r="221" spans="3:6" x14ac:dyDescent="0.25">
      <c r="C221" s="752"/>
      <c r="D221" s="752"/>
      <c r="E221" s="757" t="s">
        <v>1000</v>
      </c>
      <c r="F221" s="757" t="s">
        <v>1001</v>
      </c>
    </row>
    <row r="222" spans="3:6" x14ac:dyDescent="0.25">
      <c r="C222" s="752"/>
      <c r="D222" s="752"/>
      <c r="E222" s="757" t="s">
        <v>1002</v>
      </c>
      <c r="F222" s="757" t="s">
        <v>1003</v>
      </c>
    </row>
    <row r="223" spans="3:6" x14ac:dyDescent="0.25">
      <c r="C223" s="752"/>
      <c r="D223" s="752"/>
      <c r="E223" s="757"/>
      <c r="F223" s="757" t="s">
        <v>937</v>
      </c>
    </row>
    <row r="224" spans="3:6" x14ac:dyDescent="0.25">
      <c r="C224" s="752"/>
      <c r="D224" s="752"/>
      <c r="E224" s="757"/>
      <c r="F224" s="757"/>
    </row>
    <row r="225" spans="3:6" x14ac:dyDescent="0.25">
      <c r="C225" s="752"/>
      <c r="D225" s="752"/>
      <c r="E225" s="757" t="s">
        <v>1004</v>
      </c>
      <c r="F225" s="757" t="s">
        <v>1005</v>
      </c>
    </row>
    <row r="226" spans="3:6" x14ac:dyDescent="0.25">
      <c r="C226" s="752"/>
      <c r="D226" s="752"/>
      <c r="E226" s="757" t="s">
        <v>1006</v>
      </c>
      <c r="F226" s="757" t="s">
        <v>1003</v>
      </c>
    </row>
    <row r="227" spans="3:6" x14ac:dyDescent="0.25">
      <c r="C227" s="752"/>
      <c r="D227" s="752"/>
      <c r="E227" s="757"/>
      <c r="F227" s="757" t="s">
        <v>937</v>
      </c>
    </row>
    <row r="228" spans="3:6" x14ac:dyDescent="0.25">
      <c r="C228" s="752"/>
      <c r="D228" s="752"/>
      <c r="E228" s="757"/>
      <c r="F228" s="757"/>
    </row>
    <row r="229" spans="3:6" x14ac:dyDescent="0.25">
      <c r="C229" s="752"/>
      <c r="D229" s="752"/>
      <c r="E229" s="757" t="s">
        <v>692</v>
      </c>
      <c r="F229" s="757" t="s">
        <v>602</v>
      </c>
    </row>
    <row r="230" spans="3:6" x14ac:dyDescent="0.25">
      <c r="C230" s="752"/>
      <c r="D230" s="752"/>
      <c r="E230" s="757" t="s">
        <v>1007</v>
      </c>
      <c r="F230" s="757" t="s">
        <v>1008</v>
      </c>
    </row>
    <row r="231" spans="3:6" x14ac:dyDescent="0.25">
      <c r="C231" s="752"/>
      <c r="D231" s="752"/>
      <c r="E231" s="753"/>
      <c r="F231" s="757" t="s">
        <v>1009</v>
      </c>
    </row>
    <row r="232" spans="3:6" x14ac:dyDescent="0.25">
      <c r="C232" s="752"/>
      <c r="D232" s="752"/>
      <c r="E232" s="757"/>
      <c r="F232" s="755" t="s">
        <v>1010</v>
      </c>
    </row>
    <row r="233" spans="3:6" x14ac:dyDescent="0.25">
      <c r="C233" s="752"/>
      <c r="D233" s="752"/>
      <c r="E233" s="757"/>
      <c r="F233" s="755" t="s">
        <v>1011</v>
      </c>
    </row>
    <row r="234" spans="3:6" x14ac:dyDescent="0.25">
      <c r="C234" s="752"/>
      <c r="D234" s="752"/>
      <c r="E234" s="757"/>
      <c r="F234" s="757"/>
    </row>
    <row r="235" spans="3:6" x14ac:dyDescent="0.25">
      <c r="C235" s="752"/>
      <c r="D235" s="752"/>
      <c r="E235" s="757" t="s">
        <v>692</v>
      </c>
      <c r="F235" s="757" t="s">
        <v>603</v>
      </c>
    </row>
    <row r="236" spans="3:6" x14ac:dyDescent="0.25">
      <c r="C236" s="752"/>
      <c r="D236" s="752"/>
      <c r="E236" s="757" t="s">
        <v>1012</v>
      </c>
      <c r="F236" s="757" t="s">
        <v>1013</v>
      </c>
    </row>
    <row r="237" spans="3:6" x14ac:dyDescent="0.25">
      <c r="C237" s="752"/>
      <c r="D237" s="752"/>
      <c r="E237" s="753"/>
      <c r="F237" s="757" t="s">
        <v>1014</v>
      </c>
    </row>
    <row r="238" spans="3:6" x14ac:dyDescent="0.25">
      <c r="C238" s="752"/>
      <c r="D238" s="752"/>
      <c r="E238" s="757"/>
      <c r="F238" s="757" t="s">
        <v>1015</v>
      </c>
    </row>
    <row r="239" spans="3:6" x14ac:dyDescent="0.25">
      <c r="C239" s="752"/>
      <c r="D239" s="752"/>
      <c r="E239" s="757"/>
      <c r="F239" s="757" t="s">
        <v>1016</v>
      </c>
    </row>
    <row r="240" spans="3:6" x14ac:dyDescent="0.25">
      <c r="C240" s="752"/>
      <c r="D240" s="752"/>
      <c r="E240" s="757"/>
      <c r="F240" s="757" t="s">
        <v>1017</v>
      </c>
    </row>
    <row r="241" spans="3:6" x14ac:dyDescent="0.25">
      <c r="C241" s="752"/>
      <c r="D241" s="752"/>
      <c r="E241" s="757"/>
      <c r="F241" s="757" t="s">
        <v>1018</v>
      </c>
    </row>
    <row r="242" spans="3:6" x14ac:dyDescent="0.25">
      <c r="C242" s="752"/>
      <c r="D242" s="752"/>
      <c r="E242" s="757"/>
      <c r="F242" s="757" t="s">
        <v>1019</v>
      </c>
    </row>
    <row r="243" spans="3:6" x14ac:dyDescent="0.25">
      <c r="C243" s="752"/>
      <c r="D243" s="752"/>
      <c r="E243" s="757"/>
      <c r="F243" s="757" t="s">
        <v>1020</v>
      </c>
    </row>
    <row r="244" spans="3:6" x14ac:dyDescent="0.25">
      <c r="C244" s="752"/>
      <c r="D244" s="752"/>
      <c r="E244" s="757"/>
      <c r="F244" s="757" t="s">
        <v>1021</v>
      </c>
    </row>
    <row r="245" spans="3:6" x14ac:dyDescent="0.25">
      <c r="C245" s="752"/>
      <c r="D245" s="752"/>
      <c r="E245" s="757"/>
      <c r="F245" s="757" t="s">
        <v>1022</v>
      </c>
    </row>
    <row r="246" spans="3:6" x14ac:dyDescent="0.25">
      <c r="C246" s="752"/>
      <c r="D246" s="752"/>
      <c r="E246" s="757"/>
      <c r="F246" s="757" t="s">
        <v>1023</v>
      </c>
    </row>
    <row r="247" spans="3:6" x14ac:dyDescent="0.25">
      <c r="C247" s="752"/>
      <c r="D247" s="752"/>
      <c r="E247" s="757"/>
      <c r="F247" s="757" t="s">
        <v>1024</v>
      </c>
    </row>
    <row r="248" spans="3:6" x14ac:dyDescent="0.25">
      <c r="C248" s="752"/>
      <c r="D248" s="752"/>
      <c r="E248" s="757"/>
      <c r="F248" s="757" t="s">
        <v>1025</v>
      </c>
    </row>
    <row r="249" spans="3:6" x14ac:dyDescent="0.25">
      <c r="C249" s="752"/>
      <c r="D249" s="752"/>
      <c r="E249" s="757"/>
      <c r="F249" s="757" t="s">
        <v>1026</v>
      </c>
    </row>
    <row r="250" spans="3:6" x14ac:dyDescent="0.25">
      <c r="C250" s="752"/>
      <c r="D250" s="752"/>
      <c r="E250" s="757"/>
      <c r="F250" s="757" t="s">
        <v>1027</v>
      </c>
    </row>
    <row r="251" spans="3:6" x14ac:dyDescent="0.25">
      <c r="C251" s="752"/>
      <c r="D251" s="752"/>
      <c r="E251" s="757"/>
      <c r="F251" s="757" t="s">
        <v>1028</v>
      </c>
    </row>
    <row r="252" spans="3:6" x14ac:dyDescent="0.25">
      <c r="C252" s="752"/>
      <c r="D252" s="752"/>
      <c r="E252" s="757"/>
      <c r="F252" s="757" t="s">
        <v>1029</v>
      </c>
    </row>
    <row r="253" spans="3:6" x14ac:dyDescent="0.25">
      <c r="C253" s="752"/>
      <c r="D253" s="752"/>
      <c r="E253" s="757"/>
      <c r="F253" s="757" t="s">
        <v>1030</v>
      </c>
    </row>
    <row r="254" spans="3:6" x14ac:dyDescent="0.25">
      <c r="C254" s="752"/>
      <c r="D254" s="752"/>
      <c r="E254" s="757"/>
      <c r="F254" s="757" t="s">
        <v>1031</v>
      </c>
    </row>
    <row r="255" spans="3:6" x14ac:dyDescent="0.25">
      <c r="C255" s="752"/>
      <c r="D255" s="752"/>
      <c r="E255" s="757"/>
      <c r="F255" s="757" t="s">
        <v>1032</v>
      </c>
    </row>
    <row r="256" spans="3:6" x14ac:dyDescent="0.25">
      <c r="C256" s="752"/>
      <c r="D256" s="752"/>
      <c r="E256" s="757"/>
      <c r="F256" s="757" t="s">
        <v>1033</v>
      </c>
    </row>
    <row r="257" spans="3:6" x14ac:dyDescent="0.25">
      <c r="C257" s="752"/>
      <c r="D257" s="752"/>
      <c r="E257" s="757"/>
      <c r="F257" s="757" t="s">
        <v>1034</v>
      </c>
    </row>
    <row r="258" spans="3:6" x14ac:dyDescent="0.25">
      <c r="C258" s="752"/>
      <c r="D258" s="752"/>
      <c r="E258" s="757"/>
      <c r="F258" s="757" t="s">
        <v>1035</v>
      </c>
    </row>
    <row r="259" spans="3:6" x14ac:dyDescent="0.25">
      <c r="C259" s="752"/>
      <c r="D259" s="752"/>
      <c r="E259" s="757"/>
      <c r="F259" s="757" t="s">
        <v>1036</v>
      </c>
    </row>
    <row r="260" spans="3:6" x14ac:dyDescent="0.25">
      <c r="C260" s="752"/>
      <c r="D260" s="752"/>
      <c r="E260" s="757"/>
      <c r="F260" s="757" t="s">
        <v>1037</v>
      </c>
    </row>
    <row r="261" spans="3:6" x14ac:dyDescent="0.25">
      <c r="C261" s="752"/>
      <c r="D261" s="752"/>
      <c r="E261" s="757"/>
      <c r="F261" s="757" t="s">
        <v>1038</v>
      </c>
    </row>
    <row r="262" spans="3:6" x14ac:dyDescent="0.25">
      <c r="C262" s="752"/>
      <c r="D262" s="752"/>
      <c r="E262" s="757"/>
      <c r="F262" s="757" t="s">
        <v>1039</v>
      </c>
    </row>
    <row r="263" spans="3:6" x14ac:dyDescent="0.25">
      <c r="C263" s="752"/>
      <c r="D263" s="752"/>
      <c r="E263" s="757"/>
      <c r="F263" s="757" t="s">
        <v>1040</v>
      </c>
    </row>
    <row r="264" spans="3:6" x14ac:dyDescent="0.25">
      <c r="C264" s="752"/>
      <c r="D264" s="752"/>
      <c r="E264" s="757"/>
      <c r="F264" s="757" t="s">
        <v>1041</v>
      </c>
    </row>
    <row r="265" spans="3:6" x14ac:dyDescent="0.25">
      <c r="C265" s="752"/>
      <c r="D265" s="752"/>
      <c r="E265" s="757"/>
      <c r="F265" s="757" t="s">
        <v>1042</v>
      </c>
    </row>
    <row r="266" spans="3:6" x14ac:dyDescent="0.25">
      <c r="C266" s="752"/>
      <c r="D266" s="752"/>
      <c r="E266" s="757"/>
      <c r="F266" s="757" t="s">
        <v>1043</v>
      </c>
    </row>
    <row r="267" spans="3:6" x14ac:dyDescent="0.25">
      <c r="C267" s="752"/>
      <c r="D267" s="752"/>
      <c r="E267" s="757"/>
      <c r="F267" s="757" t="s">
        <v>1044</v>
      </c>
    </row>
    <row r="268" spans="3:6" x14ac:dyDescent="0.25">
      <c r="C268" s="752"/>
      <c r="D268" s="752"/>
      <c r="E268" s="757"/>
      <c r="F268" s="757" t="s">
        <v>1045</v>
      </c>
    </row>
    <row r="269" spans="3:6" x14ac:dyDescent="0.25">
      <c r="C269" s="752"/>
      <c r="D269" s="752"/>
      <c r="E269" s="757"/>
      <c r="F269" s="757" t="s">
        <v>1046</v>
      </c>
    </row>
    <row r="270" spans="3:6" x14ac:dyDescent="0.25">
      <c r="C270" s="752"/>
      <c r="D270" s="752"/>
      <c r="E270" s="757"/>
      <c r="F270" s="757" t="s">
        <v>1047</v>
      </c>
    </row>
    <row r="271" spans="3:6" x14ac:dyDescent="0.25">
      <c r="C271" s="752"/>
      <c r="D271" s="752"/>
      <c r="E271" s="757"/>
      <c r="F271" s="757" t="s">
        <v>1048</v>
      </c>
    </row>
    <row r="272" spans="3:6" x14ac:dyDescent="0.25">
      <c r="C272" s="752"/>
      <c r="D272" s="752"/>
      <c r="E272" s="757"/>
      <c r="F272" s="757" t="s">
        <v>1049</v>
      </c>
    </row>
    <row r="273" spans="3:6" x14ac:dyDescent="0.25">
      <c r="C273" s="752"/>
      <c r="D273" s="752"/>
      <c r="E273" s="757"/>
      <c r="F273" s="757" t="s">
        <v>1050</v>
      </c>
    </row>
    <row r="274" spans="3:6" x14ac:dyDescent="0.25">
      <c r="C274" s="752"/>
      <c r="D274" s="752"/>
      <c r="E274" s="757"/>
      <c r="F274" s="757" t="s">
        <v>871</v>
      </c>
    </row>
    <row r="275" spans="3:6" x14ac:dyDescent="0.25">
      <c r="C275" s="752"/>
      <c r="D275" s="752"/>
      <c r="E275" s="757"/>
      <c r="F275" s="757" t="s">
        <v>1051</v>
      </c>
    </row>
    <row r="276" spans="3:6" x14ac:dyDescent="0.25">
      <c r="C276" s="752"/>
      <c r="D276" s="752"/>
      <c r="E276" s="757"/>
      <c r="F276" s="757" t="s">
        <v>1052</v>
      </c>
    </row>
    <row r="277" spans="3:6" x14ac:dyDescent="0.25">
      <c r="C277" s="752"/>
      <c r="D277" s="752"/>
      <c r="E277" s="757"/>
      <c r="F277" s="757" t="s">
        <v>1053</v>
      </c>
    </row>
    <row r="278" spans="3:6" x14ac:dyDescent="0.25">
      <c r="C278" s="752"/>
      <c r="D278" s="752"/>
      <c r="E278" s="757"/>
      <c r="F278" s="757" t="s">
        <v>1054</v>
      </c>
    </row>
    <row r="279" spans="3:6" x14ac:dyDescent="0.25">
      <c r="C279" s="752"/>
      <c r="D279" s="752"/>
      <c r="E279" s="757"/>
      <c r="F279" s="757" t="s">
        <v>1055</v>
      </c>
    </row>
    <row r="280" spans="3:6" x14ac:dyDescent="0.25">
      <c r="C280" s="752"/>
      <c r="D280" s="752"/>
      <c r="E280" s="757"/>
      <c r="F280" s="757" t="s">
        <v>1056</v>
      </c>
    </row>
    <row r="281" spans="3:6" x14ac:dyDescent="0.25">
      <c r="C281" s="752"/>
      <c r="D281" s="752"/>
      <c r="E281" s="757"/>
      <c r="F281" s="757" t="s">
        <v>1057</v>
      </c>
    </row>
    <row r="282" spans="3:6" x14ac:dyDescent="0.25">
      <c r="C282" s="752"/>
      <c r="D282" s="752"/>
      <c r="E282" s="757"/>
      <c r="F282" s="757" t="s">
        <v>874</v>
      </c>
    </row>
    <row r="283" spans="3:6" x14ac:dyDescent="0.25">
      <c r="C283" s="752"/>
      <c r="D283" s="752"/>
      <c r="E283" s="757"/>
      <c r="F283" s="757" t="s">
        <v>1058</v>
      </c>
    </row>
    <row r="284" spans="3:6" x14ac:dyDescent="0.25">
      <c r="C284" s="752"/>
      <c r="D284" s="752"/>
      <c r="E284" s="757"/>
      <c r="F284" s="757" t="s">
        <v>1059</v>
      </c>
    </row>
    <row r="285" spans="3:6" x14ac:dyDescent="0.25">
      <c r="C285" s="752"/>
      <c r="D285" s="752"/>
      <c r="E285" s="757"/>
      <c r="F285" s="757"/>
    </row>
    <row r="286" spans="3:6" x14ac:dyDescent="0.25">
      <c r="C286" s="752"/>
      <c r="D286" s="752"/>
      <c r="E286" s="757" t="s">
        <v>1066</v>
      </c>
      <c r="F286" s="755" t="s">
        <v>566</v>
      </c>
    </row>
    <row r="287" spans="3:6" x14ac:dyDescent="0.25">
      <c r="C287" s="752"/>
      <c r="D287" s="752"/>
      <c r="E287" s="757"/>
      <c r="F287" s="757" t="s">
        <v>1060</v>
      </c>
    </row>
    <row r="288" spans="3:6" x14ac:dyDescent="0.25">
      <c r="C288" s="752"/>
      <c r="D288" s="752"/>
      <c r="E288" s="757"/>
      <c r="F288" s="757" t="s">
        <v>1061</v>
      </c>
    </row>
    <row r="289" spans="3:6" x14ac:dyDescent="0.25">
      <c r="C289" s="752"/>
      <c r="D289" s="752"/>
      <c r="E289" s="757"/>
      <c r="F289" s="757" t="s">
        <v>1062</v>
      </c>
    </row>
    <row r="290" spans="3:6" x14ac:dyDescent="0.25">
      <c r="C290" s="752"/>
      <c r="D290" s="752"/>
      <c r="E290" s="757"/>
      <c r="F290" s="757"/>
    </row>
    <row r="291" spans="3:6" x14ac:dyDescent="0.25">
      <c r="C291" s="752"/>
      <c r="D291" s="752"/>
      <c r="E291" s="755" t="s">
        <v>1063</v>
      </c>
      <c r="F291" s="755" t="s">
        <v>1064</v>
      </c>
    </row>
    <row r="292" spans="3:6" x14ac:dyDescent="0.25">
      <c r="C292" s="752"/>
      <c r="D292" s="752"/>
      <c r="E292" s="753"/>
      <c r="F292" s="755" t="s">
        <v>1065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886c73ab09eeb714c03c25c5e45963c5">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14dfbd3ba1cc6ec88b55c9d6abe23fb6"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8124F-3F6E-46A5-ADA0-2AB11E915610}">
  <ds:schemaRefs>
    <ds:schemaRef ds:uri="http://schemas.microsoft.com/office/2006/documentManagement/types"/>
    <ds:schemaRef ds:uri="http://purl.org/dc/dcmitype/"/>
    <ds:schemaRef ds:uri="http://schemas.openxmlformats.org/package/2006/metadata/core-properties"/>
    <ds:schemaRef ds:uri="http://purl.org/dc/terms/"/>
    <ds:schemaRef ds:uri="63979cc8-f6b2-4ee6-8bed-630b6048d169"/>
    <ds:schemaRef ds:uri="http://www.w3.org/XML/1998/namespace"/>
    <ds:schemaRef ds:uri="http://purl.org/dc/elements/1.1/"/>
    <ds:schemaRef ds:uri="http://schemas.microsoft.com/sharepoint/v3"/>
    <ds:schemaRef ds:uri="http://schemas.microsoft.com/office/2006/metadata/properties"/>
    <ds:schemaRef ds:uri="http://schemas.microsoft.com/office/infopath/2007/PartnerControls"/>
    <ds:schemaRef ds:uri="59db5950-9a61-4c09-b3e2-fe6d472fba04"/>
  </ds:schemaRefs>
</ds:datastoreItem>
</file>

<file path=customXml/itemProps2.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3.xml><?xml version="1.0" encoding="utf-8"?>
<ds:datastoreItem xmlns:ds="http://schemas.openxmlformats.org/officeDocument/2006/customXml" ds:itemID="{02B9275B-BA54-4A6E-A796-4AB5EB5F1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72</vt:i4>
      </vt:variant>
    </vt:vector>
  </HeadingPairs>
  <TitlesOfParts>
    <vt:vector size="106" baseType="lpstr">
      <vt:lpstr>PopTypes_Dropdown</vt:lpstr>
      <vt:lpstr>Definitions</vt:lpstr>
      <vt:lpstr>1A</vt:lpstr>
      <vt:lpstr>1B</vt:lpstr>
      <vt:lpstr>2A</vt:lpstr>
      <vt:lpstr>2B</vt:lpstr>
      <vt:lpstr>2C</vt:lpstr>
      <vt:lpstr>ESDS-Lookup-Table</vt:lpstr>
      <vt:lpstr>3</vt:lpstr>
      <vt:lpstr>4</vt:lpstr>
      <vt:lpstr>5</vt:lpstr>
      <vt:lpstr>6A</vt:lpstr>
      <vt:lpstr>6B</vt:lpstr>
      <vt:lpstr>6C</vt:lpstr>
      <vt:lpstr>6D</vt:lpstr>
      <vt:lpstr>6E</vt:lpstr>
      <vt:lpstr>7A</vt:lpstr>
      <vt:lpstr>7B</vt:lpstr>
      <vt:lpstr>8A</vt:lpstr>
      <vt:lpstr>8B</vt:lpstr>
      <vt:lpstr>8C</vt:lpstr>
      <vt:lpstr>8D</vt:lpstr>
      <vt:lpstr>8E</vt:lpstr>
      <vt:lpstr>8E(2)</vt:lpstr>
      <vt:lpstr>8F</vt:lpstr>
      <vt:lpstr>9A</vt:lpstr>
      <vt:lpstr>9B</vt:lpstr>
      <vt:lpstr>9C</vt:lpstr>
      <vt:lpstr>9D</vt:lpstr>
      <vt:lpstr>9E</vt:lpstr>
      <vt:lpstr>11A</vt:lpstr>
      <vt:lpstr>11B</vt:lpstr>
      <vt:lpstr>HTF ROLLUP</vt:lpstr>
      <vt:lpstr>LIHTC_Dropdowns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Incomes_4_Perc</vt:lpstr>
      <vt:lpstr>job_centers</vt:lpstr>
      <vt:lpstr>KC_HTF</vt:lpstr>
      <vt:lpstr>KC_only</vt:lpstr>
      <vt:lpstr>KC_OppArea</vt:lpstr>
      <vt:lpstr>leveraging_public_resources_10</vt:lpstr>
      <vt:lpstr>leveraging_taxable_bonds_7</vt:lpstr>
      <vt:lpstr>LIH_Commit</vt:lpstr>
      <vt:lpstr>LIH40percent</vt:lpstr>
      <vt:lpstr>LIH50percent</vt:lpstr>
      <vt:lpstr>LIH60percent</vt:lpstr>
      <vt:lpstr>local_funding_counties</vt:lpstr>
      <vt:lpstr>local_funding_sources</vt:lpstr>
      <vt:lpstr>local_funding_types</vt:lpstr>
      <vt:lpstr>Location_eff</vt:lpstr>
      <vt:lpstr>lower_income</vt:lpstr>
      <vt:lpstr>NP_Sponsor</vt:lpstr>
      <vt:lpstr>NP_Sponsor_4_Perc</vt:lpstr>
      <vt:lpstr>PBRA_units</vt:lpstr>
      <vt:lpstr>Population_Types</vt:lpstr>
      <vt:lpstr>'11A'!Print_Area</vt:lpstr>
      <vt:lpstr>'11B'!Print_Area</vt:lpstr>
      <vt:lpstr>'1A'!Print_Area</vt:lpstr>
      <vt:lpstr>'1B'!Print_Area</vt:lpstr>
      <vt:lpstr>'2A'!Print_Area</vt:lpstr>
      <vt:lpstr>'2B'!Print_Area</vt:lpstr>
      <vt:lpstr>'2C'!Print_Area</vt:lpstr>
      <vt:lpstr>'3'!Print_Area</vt:lpstr>
      <vt:lpstr>'4'!Print_Area</vt:lpstr>
      <vt:lpstr>'5'!Print_Area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'8E(2)'!Print_Area</vt:lpstr>
      <vt:lpstr>'8F'!Print_Area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PriorityPopulations10</vt:lpstr>
      <vt:lpstr>PriorityPopulations20</vt:lpstr>
      <vt:lpstr>Project_Based_Rental_Assistance</vt:lpstr>
      <vt:lpstr>property_type_10</vt:lpstr>
      <vt:lpstr>senior_housing_10</vt:lpstr>
      <vt:lpstr>SpecNeeds20</vt:lpstr>
      <vt:lpstr>TDC_Limit</vt:lpstr>
      <vt:lpstr>Years</vt:lpstr>
      <vt:lpstr>Years_4_Perc</vt:lpstr>
    </vt:vector>
  </TitlesOfParts>
  <Company>Washington State Department of Commerce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Katie Porter</cp:lastModifiedBy>
  <cp:lastPrinted>2015-09-12T02:02:11Z</cp:lastPrinted>
  <dcterms:created xsi:type="dcterms:W3CDTF">2015-05-06T15:11:33Z</dcterms:created>
  <dcterms:modified xsi:type="dcterms:W3CDTF">2015-09-12T02:02:29Z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