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5.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7.xml" ContentType="application/vnd.openxmlformats-officedocument.spreadsheetml.comments+xml"/>
  <Override PartName="/xl/drawings/drawing36.xml" ContentType="application/vnd.openxmlformats-officedocument.drawing+xml"/>
  <Override PartName="/xl/comments8.xml" ContentType="application/vnd.openxmlformats-officedocument.spreadsheetml.comments+xml"/>
  <Override PartName="/xl/drawings/drawing3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showInkAnnotation="0" defaultThemeVersion="124226"/>
  <mc:AlternateContent xmlns:mc="http://schemas.openxmlformats.org/markup-compatibility/2006">
    <mc:Choice Requires="x15">
      <x15ac:absPath xmlns:x15ac="http://schemas.microsoft.com/office/spreadsheetml/2010/11/ac" url="H:\1 - Current Projects\Roosevelt TOD\1 - Proposals\Bellwether and Mercy\"/>
    </mc:Choice>
  </mc:AlternateContent>
  <bookViews>
    <workbookView xWindow="0" yWindow="0" windowWidth="20436" windowHeight="7476" tabRatio="763" firstSheet="31" activeTab="38" xr2:uid="{00000000-000D-0000-FFFF-FFFF00000000}"/>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HTF_Quickload" sheetId="51" state="hidden" r:id="rId7"/>
    <sheet name="Validations Checklist" sheetId="37" r:id="rId8"/>
    <sheet name="1" sheetId="1" r:id="rId9"/>
    <sheet name="2A" sheetId="3" r:id="rId10"/>
    <sheet name="2B" sheetId="4" r:id="rId11"/>
    <sheet name="2C" sheetId="38" r:id="rId12"/>
    <sheet name="3" sheetId="6" r:id="rId13"/>
    <sheet name="4" sheetId="7" state="hidden" r:id="rId14"/>
    <sheet name="5" sheetId="8" r:id="rId15"/>
    <sheet name="6A Rollup" sheetId="9" r:id="rId16"/>
    <sheet name="6A - 4% Building" sheetId="87" r:id="rId17"/>
    <sheet name="6B - 4% Building" sheetId="10" r:id="rId18"/>
    <sheet name="6C - 4% Building" sheetId="11" r:id="rId19"/>
    <sheet name="6D - 4% Building" sheetId="12" r:id="rId20"/>
    <sheet name="6E - 4% Building" sheetId="13" r:id="rId21"/>
    <sheet name="6A - 9% Building" sheetId="88" r:id="rId22"/>
    <sheet name="6B - 9% Building" sheetId="89" r:id="rId23"/>
    <sheet name="6C - 9% Building" sheetId="90" r:id="rId24"/>
    <sheet name="6D - 9% Building" sheetId="91" r:id="rId25"/>
    <sheet name="6E - 9% Building" sheetId="92" r:id="rId26"/>
    <sheet name="7A (Rollup)" sheetId="49" r:id="rId27"/>
    <sheet name="7A - 4%" sheetId="84" r:id="rId28"/>
    <sheet name="7B - 4%" sheetId="15" r:id="rId29"/>
    <sheet name="7A - 9%" sheetId="85" r:id="rId30"/>
    <sheet name="7B - 9%" sheetId="100" r:id="rId31"/>
    <sheet name="8A" sheetId="16" r:id="rId32"/>
    <sheet name="8B - 4% Building" sheetId="17" r:id="rId33"/>
    <sheet name="8C - 4% Building" sheetId="36" r:id="rId34"/>
    <sheet name="8D - 4% Building" sheetId="20" r:id="rId35"/>
    <sheet name="8E - 4% Building" sheetId="21" r:id="rId36"/>
    <sheet name="8B - 9% Building" sheetId="95" r:id="rId37"/>
    <sheet name="8C - 9% Building" sheetId="96" r:id="rId38"/>
    <sheet name="8D - 9% Building" sheetId="97" r:id="rId39"/>
    <sheet name="8E - 9% Building" sheetId="98" r:id="rId40"/>
    <sheet name="8D - Rollup" sheetId="99" r:id="rId41"/>
    <sheet name="9A" sheetId="22" r:id="rId42"/>
    <sheet name="9B" sheetId="23" r:id="rId43"/>
    <sheet name="9C" sheetId="24" r:id="rId44"/>
    <sheet name="9D" sheetId="25" r:id="rId45"/>
    <sheet name="9E" sheetId="26" r:id="rId46"/>
    <sheet name="Sheet2" sheetId="101" state="hidden" r:id="rId47"/>
    <sheet name="11A" sheetId="77" r:id="rId48"/>
    <sheet name="11B " sheetId="78" r:id="rId49"/>
    <sheet name="4% LIHTC ScoringLists" sheetId="79" state="hidden" r:id="rId50"/>
    <sheet name="9% ScoringLists" sheetId="80" state="hidden" r:id="rId51"/>
  </sheet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'1'!$B$2:$Q$83</definedName>
    <definedName name="_xlnm.Print_Area" localSheetId="47">'11A'!$A$2:$M$244</definedName>
    <definedName name="_xlnm.Print_Area" localSheetId="48">'11B '!$A$1:$M$234</definedName>
    <definedName name="_xlnm.Print_Area" localSheetId="9">'2A'!$B$2:$O$22</definedName>
    <definedName name="_xlnm.Print_Area" localSheetId="10">'2B'!$A$11:$P$37</definedName>
    <definedName name="_xlnm.Print_Area" localSheetId="11">'2C'!$B$12:$L$151</definedName>
    <definedName name="_xlnm.Print_Area" localSheetId="12">'3'!$B$15:$H$51</definedName>
    <definedName name="_xlnm.Print_Area" localSheetId="13">'4'!$B$2:$H$34</definedName>
    <definedName name="_xlnm.Print_Area" localSheetId="14">'5'!$B$11:$G$77</definedName>
    <definedName name="_xlnm.Print_Area" localSheetId="3">'5 Default Check'!$B$3:$F$62</definedName>
    <definedName name="_xlnm.Print_Area" localSheetId="16">'6A - 4% Building'!$B$12:$Z$125</definedName>
    <definedName name="_xlnm.Print_Area" localSheetId="21">'6A - 9% Building'!$A$12:$Z$126</definedName>
    <definedName name="_xlnm.Print_Area" localSheetId="15">'6A Rollup'!$B$6:$R$116</definedName>
    <definedName name="_xlnm.Print_Area" localSheetId="17">'6B - 4% Building'!$B$6:$L$103</definedName>
    <definedName name="_xlnm.Print_Area" localSheetId="22">'6B - 9% Building'!$B$6:$L$103</definedName>
    <definedName name="_xlnm.Print_Area" localSheetId="18">'6C - 4% Building'!$B$10:$L$125</definedName>
    <definedName name="_xlnm.Print_Area" localSheetId="23">'6C - 9% Building'!$B$10:$L$125</definedName>
    <definedName name="_xlnm.Print_Area" localSheetId="19">'6D - 4% Building'!$B$6:$H$56</definedName>
    <definedName name="_xlnm.Print_Area" localSheetId="24">'6D - 9% Building'!$B$6:$H$56</definedName>
    <definedName name="_xlnm.Print_Area" localSheetId="20">'6E - 4% Building'!$C$7:$J$61</definedName>
    <definedName name="_xlnm.Print_Area" localSheetId="25">'6E - 9% Building'!$B$7:$J$61</definedName>
    <definedName name="_xlnm.Print_Area" localSheetId="27">'7A - 4%'!$B$9:$Q$59</definedName>
    <definedName name="_xlnm.Print_Area" localSheetId="29">'7A - 9%'!$B$9:$Q$59</definedName>
    <definedName name="_xlnm.Print_Area" localSheetId="26">'7A (Rollup)'!$A$7:$N$68</definedName>
    <definedName name="_xlnm.Print_Area" localSheetId="28">'7B - 4%'!$B$11:$W$69</definedName>
    <definedName name="_xlnm.Print_Area" localSheetId="30">'7B - 9%'!$B$11:$W$69</definedName>
    <definedName name="_xlnm.Print_Area" localSheetId="31">'8A'!$B$8:$P$66</definedName>
    <definedName name="_xlnm.Print_Area" localSheetId="32">'8B - 4% Building'!$B$10:$H$42</definedName>
    <definedName name="_xlnm.Print_Area" localSheetId="36">'8B - 9% Building'!$B$10:$H$42</definedName>
    <definedName name="_xlnm.Print_Area" localSheetId="33">'8C - 4% Building'!$B$9:$S$64</definedName>
    <definedName name="_xlnm.Print_Area" localSheetId="37">'8C - 9% Building'!$B$9:$S$64</definedName>
    <definedName name="_xlnm.Print_Area" localSheetId="34">'8D - 4% Building'!$B$13:$W$113</definedName>
    <definedName name="_xlnm.Print_Area" localSheetId="38">'8D - 9% Building'!$B$13:$W$113</definedName>
    <definedName name="_xlnm.Print_Area" localSheetId="40">'8D - Rollup'!$B$7:$W$94</definedName>
    <definedName name="_xlnm.Print_Area" localSheetId="35">'8E - 4% Building'!$B$7:$F$49</definedName>
    <definedName name="_xlnm.Print_Area" localSheetId="39">'8E - 9% Building'!$B$7:$F$49</definedName>
    <definedName name="_xlnm.Print_Area" localSheetId="41">'9A'!$B$2:$I$81</definedName>
    <definedName name="_xlnm.Print_Area" localSheetId="42">'9B'!$B$7:$Y$38</definedName>
    <definedName name="_xlnm.Print_Area" localSheetId="43">'9C'!$B$12:$M$38</definedName>
    <definedName name="_xlnm.Print_Area" localSheetId="44">'9D'!$B$15:$L$43</definedName>
    <definedName name="_xlnm.Print_Area" localSheetId="45">'9E'!$B$7:$J$25</definedName>
    <definedName name="_xlnm.Print_Area" localSheetId="4">Definitions!$A$1:$L$44</definedName>
    <definedName name="_xlnm.Print_Titles" localSheetId="16">'6A - 4% Building'!$12:$22</definedName>
    <definedName name="_xlnm.Print_Titles" localSheetId="21">'6A - 9% Building'!$12:$22</definedName>
    <definedName name="_xlnm.Print_Titles" localSheetId="15">'6A Rollup'!$6:$13</definedName>
    <definedName name="_xlnm.Print_Titles" localSheetId="17">'6B - 4% Building'!$6:$14</definedName>
    <definedName name="_xlnm.Print_Titles" localSheetId="22">'6B - 9% Building'!$6:$14</definedName>
    <definedName name="_xlnm.Print_Titles" localSheetId="18">'6C - 4% Building'!$10:$21</definedName>
    <definedName name="_xlnm.Print_Titles" localSheetId="23">'6C - 9% Building'!$10:$21</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71027"/>
</workbook>
</file>

<file path=xl/calcChain.xml><?xml version="1.0" encoding="utf-8"?>
<calcChain xmlns="http://schemas.openxmlformats.org/spreadsheetml/2006/main">
  <c r="T29" i="15" l="1"/>
  <c r="U29" i="15"/>
  <c r="M29" i="15"/>
  <c r="M32" i="15"/>
  <c r="N34" i="87"/>
  <c r="Q34" i="87"/>
  <c r="K105" i="11"/>
  <c r="Q23" i="15" l="1"/>
  <c r="Q33" i="15"/>
  <c r="N33" i="15"/>
  <c r="N30" i="15"/>
  <c r="K105" i="90"/>
  <c r="K101" i="90"/>
  <c r="K100" i="90"/>
  <c r="K99" i="90"/>
  <c r="K98" i="90"/>
  <c r="K97" i="90"/>
  <c r="K63" i="90"/>
  <c r="K62" i="90"/>
  <c r="K61" i="90"/>
  <c r="K60" i="90"/>
  <c r="K59" i="90"/>
  <c r="K58" i="90"/>
  <c r="K57" i="90"/>
  <c r="K56" i="90"/>
  <c r="K55" i="90"/>
  <c r="K54" i="90"/>
  <c r="K53" i="90"/>
  <c r="K52" i="90"/>
  <c r="K75" i="90"/>
  <c r="K74" i="90"/>
  <c r="K72" i="90"/>
  <c r="K57" i="11"/>
  <c r="K56" i="11"/>
  <c r="K52" i="11"/>
  <c r="K53" i="11"/>
  <c r="K58" i="11"/>
  <c r="K61" i="11"/>
  <c r="K62" i="11"/>
  <c r="K63" i="11"/>
  <c r="M34" i="87"/>
  <c r="N24" i="87" l="1"/>
  <c r="Q24" i="87"/>
  <c r="T31" i="100" l="1"/>
  <c r="S31" i="100"/>
  <c r="R31" i="100"/>
  <c r="P31" i="100"/>
  <c r="N31" i="100"/>
  <c r="O52" i="100" l="1"/>
  <c r="P52" i="100"/>
  <c r="Q52" i="100" s="1"/>
  <c r="R52" i="100" s="1"/>
  <c r="T54" i="100"/>
  <c r="S54" i="100"/>
  <c r="T57" i="100"/>
  <c r="Q57" i="100"/>
  <c r="M57" i="100"/>
  <c r="M55" i="100"/>
  <c r="S55" i="100"/>
  <c r="Q51" i="100"/>
  <c r="P51" i="100"/>
  <c r="O51" i="100"/>
  <c r="N51" i="100"/>
  <c r="M51" i="100"/>
  <c r="Y24" i="100"/>
  <c r="X24" i="100"/>
  <c r="Y50" i="100" l="1"/>
  <c r="T57" i="15"/>
  <c r="M57" i="15"/>
  <c r="S23" i="15"/>
  <c r="S54" i="15"/>
  <c r="M52" i="15"/>
  <c r="R57" i="15"/>
  <c r="Q57" i="15"/>
  <c r="T52" i="15"/>
  <c r="M55" i="15"/>
  <c r="M31" i="15"/>
  <c r="L22" i="15"/>
  <c r="G42" i="92" l="1"/>
  <c r="G37" i="92"/>
  <c r="G20" i="92"/>
  <c r="G37" i="13" l="1"/>
  <c r="G31" i="13"/>
  <c r="G20" i="13"/>
  <c r="G42" i="13"/>
  <c r="AB40" i="87" l="1"/>
  <c r="V57" i="15" l="1"/>
  <c r="U60" i="15"/>
  <c r="V30" i="15"/>
  <c r="T60" i="15"/>
  <c r="T45" i="15"/>
  <c r="T25" i="15"/>
  <c r="S60" i="15"/>
  <c r="S45" i="15"/>
  <c r="S25" i="15"/>
  <c r="V21" i="100"/>
  <c r="T60" i="100"/>
  <c r="T45" i="100"/>
  <c r="T25" i="100"/>
  <c r="S60" i="100"/>
  <c r="S45" i="100"/>
  <c r="S25" i="100"/>
  <c r="S47" i="100" l="1"/>
  <c r="S62" i="100" s="1"/>
  <c r="T47" i="15"/>
  <c r="T62" i="15" s="1"/>
  <c r="S47" i="15"/>
  <c r="S62" i="15" s="1"/>
  <c r="T47" i="100"/>
  <c r="T62" i="100" s="1"/>
  <c r="Z61" i="20"/>
  <c r="Z63" i="20" s="1"/>
  <c r="AA61" i="20" s="1"/>
  <c r="AA63" i="20" s="1"/>
  <c r="AB61" i="20" s="1"/>
  <c r="AB63" i="20" s="1"/>
  <c r="AC61" i="20" s="1"/>
  <c r="AC63" i="20" s="1"/>
  <c r="AD61" i="20" s="1"/>
  <c r="AD63" i="20" s="1"/>
  <c r="AE61" i="20" s="1"/>
  <c r="AE63" i="20" s="1"/>
  <c r="AF61" i="20" s="1"/>
  <c r="AF63" i="20" s="1"/>
  <c r="AG61" i="20" s="1"/>
  <c r="AG63" i="20" s="1"/>
  <c r="AH61" i="20" s="1"/>
  <c r="AH63" i="20" s="1"/>
  <c r="AI61" i="20" s="1"/>
  <c r="AI63" i="20" s="1"/>
  <c r="AJ61" i="20" s="1"/>
  <c r="AJ63" i="20" s="1"/>
  <c r="AK61" i="20" s="1"/>
  <c r="AK63" i="20" s="1"/>
  <c r="AL61" i="20" s="1"/>
  <c r="AL63" i="20" s="1"/>
  <c r="AM61" i="20" s="1"/>
  <c r="AM63" i="20" s="1"/>
  <c r="AN61" i="20" s="1"/>
  <c r="AN63" i="20" s="1"/>
  <c r="AO61" i="20" s="1"/>
  <c r="AO63" i="20" s="1"/>
  <c r="Z54" i="20"/>
  <c r="Z56" i="20" s="1"/>
  <c r="AA54" i="20" s="1"/>
  <c r="AA56" i="20" s="1"/>
  <c r="AB54" i="20" s="1"/>
  <c r="AB56" i="20" s="1"/>
  <c r="AC54" i="20" s="1"/>
  <c r="AC56" i="20" s="1"/>
  <c r="AD54" i="20" s="1"/>
  <c r="AD56" i="20" s="1"/>
  <c r="AE54" i="20" s="1"/>
  <c r="AE56" i="20" s="1"/>
  <c r="AF54" i="20" s="1"/>
  <c r="AF56" i="20" s="1"/>
  <c r="AG54" i="20" s="1"/>
  <c r="AG56" i="20" s="1"/>
  <c r="AH54" i="20" s="1"/>
  <c r="AH56" i="20" s="1"/>
  <c r="AI54" i="20" s="1"/>
  <c r="AI56" i="20" s="1"/>
  <c r="AJ54" i="20" s="1"/>
  <c r="AJ56" i="20" s="1"/>
  <c r="AK54" i="20" s="1"/>
  <c r="AK56" i="20" s="1"/>
  <c r="AL54" i="20" s="1"/>
  <c r="AL56" i="20" s="1"/>
  <c r="AM54" i="20" s="1"/>
  <c r="AM56" i="20" s="1"/>
  <c r="AN54" i="20" s="1"/>
  <c r="AN56" i="20" s="1"/>
  <c r="AO54" i="20" s="1"/>
  <c r="AO56" i="20" s="1"/>
  <c r="Z54" i="97"/>
  <c r="Z56" i="97" s="1"/>
  <c r="AA54" i="97" s="1"/>
  <c r="AA56" i="97" s="1"/>
  <c r="AB54" i="97" s="1"/>
  <c r="AB56" i="97" s="1"/>
  <c r="AC54" i="97" s="1"/>
  <c r="AC56" i="97" s="1"/>
  <c r="AD54" i="97" s="1"/>
  <c r="AD56" i="97" s="1"/>
  <c r="AE54" i="97" s="1"/>
  <c r="AE56" i="97" s="1"/>
  <c r="AF54" i="97" s="1"/>
  <c r="AF56" i="97" s="1"/>
  <c r="AG54" i="97" s="1"/>
  <c r="AG56" i="97" s="1"/>
  <c r="AH54" i="97" s="1"/>
  <c r="AH56" i="97" s="1"/>
  <c r="AI54" i="97" s="1"/>
  <c r="AI56" i="97" s="1"/>
  <c r="AJ54" i="97" s="1"/>
  <c r="AJ56" i="97" s="1"/>
  <c r="AK54" i="97" s="1"/>
  <c r="AK56" i="97" s="1"/>
  <c r="AL54" i="97" s="1"/>
  <c r="AL56" i="97" s="1"/>
  <c r="AM54" i="97" s="1"/>
  <c r="AM56" i="97" s="1"/>
  <c r="AN54" i="97" s="1"/>
  <c r="AN56" i="97" s="1"/>
  <c r="AO54" i="97" s="1"/>
  <c r="AO56" i="97" s="1"/>
  <c r="H92" i="20" l="1"/>
  <c r="H92" i="97"/>
  <c r="G35" i="36" l="1"/>
  <c r="G36" i="36" s="1"/>
  <c r="G35" i="96"/>
  <c r="G36" i="96" s="1"/>
  <c r="I47" i="97" l="1"/>
  <c r="J47" i="97" s="1"/>
  <c r="K47" i="97" s="1"/>
  <c r="L47" i="97" s="1"/>
  <c r="M47" i="97" s="1"/>
  <c r="N47" i="97" s="1"/>
  <c r="O47" i="97" s="1"/>
  <c r="P47" i="97" s="1"/>
  <c r="Q47" i="97" s="1"/>
  <c r="R47" i="97" s="1"/>
  <c r="S47" i="97" s="1"/>
  <c r="T47" i="97" s="1"/>
  <c r="U47" i="97" s="1"/>
  <c r="V47" i="97" s="1"/>
  <c r="I47" i="20"/>
  <c r="J47" i="20" s="1"/>
  <c r="K47" i="20" s="1"/>
  <c r="L47" i="20" s="1"/>
  <c r="M47" i="20" s="1"/>
  <c r="N47" i="20" s="1"/>
  <c r="O47" i="20" s="1"/>
  <c r="P47" i="20" s="1"/>
  <c r="Q47" i="20" s="1"/>
  <c r="R47" i="20" s="1"/>
  <c r="S47" i="20" s="1"/>
  <c r="T47" i="20" s="1"/>
  <c r="U47" i="20" s="1"/>
  <c r="V47" i="20" s="1"/>
  <c r="I87" i="78" l="1"/>
  <c r="G46" i="13" l="1"/>
  <c r="G31" i="92"/>
  <c r="G46" i="92"/>
  <c r="V21" i="15" l="1"/>
  <c r="E45" i="98" l="1"/>
  <c r="J19" i="36" l="1"/>
  <c r="G19" i="36"/>
  <c r="G20" i="36" s="1"/>
  <c r="G21" i="36" s="1"/>
  <c r="I91" i="20" l="1"/>
  <c r="J91" i="20" s="1"/>
  <c r="K91" i="20" s="1"/>
  <c r="L91" i="20" s="1"/>
  <c r="M91" i="20" s="1"/>
  <c r="N91" i="20" s="1"/>
  <c r="O91" i="20" s="1"/>
  <c r="P91" i="20" s="1"/>
  <c r="Q91" i="20" s="1"/>
  <c r="R91" i="20" s="1"/>
  <c r="S91" i="20" s="1"/>
  <c r="T91" i="20" s="1"/>
  <c r="U91" i="20" s="1"/>
  <c r="V91" i="20" s="1"/>
  <c r="I90" i="20"/>
  <c r="J90" i="20" s="1"/>
  <c r="K90" i="20" s="1"/>
  <c r="L90" i="20" s="1"/>
  <c r="M90" i="20" s="1"/>
  <c r="N90" i="20" s="1"/>
  <c r="O90" i="20" s="1"/>
  <c r="P90" i="20" s="1"/>
  <c r="Q90" i="20" s="1"/>
  <c r="R90" i="20" s="1"/>
  <c r="S90" i="20" s="1"/>
  <c r="T90" i="20" s="1"/>
  <c r="U90" i="20" s="1"/>
  <c r="V90" i="20" s="1"/>
  <c r="H95" i="20"/>
  <c r="E28" i="4"/>
  <c r="E21" i="4"/>
  <c r="J21" i="4"/>
  <c r="C33" i="49" l="1"/>
  <c r="C32" i="49"/>
  <c r="C31" i="49"/>
  <c r="C30" i="49"/>
  <c r="C29" i="49"/>
  <c r="C28" i="49"/>
  <c r="H23" i="99" l="1"/>
  <c r="N22" i="16" l="1"/>
  <c r="M22" i="16"/>
  <c r="J22" i="16"/>
  <c r="L22" i="16" s="1"/>
  <c r="N21" i="16"/>
  <c r="M21" i="16"/>
  <c r="J21" i="16"/>
  <c r="L21" i="16" s="1"/>
  <c r="N20" i="16"/>
  <c r="M20" i="16"/>
  <c r="O20" i="16" s="1"/>
  <c r="J20" i="16"/>
  <c r="L20" i="16" s="1"/>
  <c r="N19" i="16"/>
  <c r="M19" i="16"/>
  <c r="J19" i="16"/>
  <c r="L19" i="16" s="1"/>
  <c r="N35" i="16"/>
  <c r="M35" i="16"/>
  <c r="J35" i="16"/>
  <c r="L35" i="16" s="1"/>
  <c r="N34" i="16"/>
  <c r="M34" i="16"/>
  <c r="J34" i="16"/>
  <c r="L34" i="16" s="1"/>
  <c r="N33" i="16"/>
  <c r="M33" i="16"/>
  <c r="J33" i="16"/>
  <c r="L33" i="16" s="1"/>
  <c r="N32" i="16"/>
  <c r="M32" i="16"/>
  <c r="J32" i="16"/>
  <c r="L32" i="16" s="1"/>
  <c r="O21" i="16" l="1"/>
  <c r="O32" i="16"/>
  <c r="O19" i="16"/>
  <c r="O22" i="16"/>
  <c r="O33" i="16"/>
  <c r="O34" i="16"/>
  <c r="O35" i="16"/>
  <c r="G24" i="37"/>
  <c r="G22" i="37"/>
  <c r="G23" i="37"/>
  <c r="G21" i="37"/>
  <c r="G14" i="37"/>
  <c r="G13" i="37"/>
  <c r="G12" i="37"/>
  <c r="G11" i="37"/>
  <c r="D43" i="16"/>
  <c r="D28" i="16"/>
  <c r="C16" i="100"/>
  <c r="C14" i="84"/>
  <c r="C14" i="85"/>
  <c r="C16" i="15"/>
  <c r="C12" i="92"/>
  <c r="C17" i="88"/>
  <c r="C11" i="91"/>
  <c r="C15" i="90"/>
  <c r="C11" i="89"/>
  <c r="C12" i="13"/>
  <c r="C11" i="12"/>
  <c r="C15" i="11"/>
  <c r="C11" i="10"/>
  <c r="G49" i="12"/>
  <c r="D44" i="16" l="1"/>
  <c r="D52" i="49"/>
  <c r="D51" i="49"/>
  <c r="D50" i="49"/>
  <c r="D49" i="49"/>
  <c r="D48" i="49"/>
  <c r="D47" i="49"/>
  <c r="D46" i="49"/>
  <c r="K52" i="49"/>
  <c r="K51" i="49"/>
  <c r="K50" i="49"/>
  <c r="K49" i="49"/>
  <c r="K48" i="49"/>
  <c r="K47" i="49"/>
  <c r="K46" i="49"/>
  <c r="J52" i="49"/>
  <c r="J51" i="49"/>
  <c r="J50" i="49"/>
  <c r="J49" i="49"/>
  <c r="J48" i="49"/>
  <c r="J47" i="49"/>
  <c r="J46" i="49"/>
  <c r="C52" i="49"/>
  <c r="C51" i="49"/>
  <c r="C50" i="49"/>
  <c r="C49" i="49"/>
  <c r="C48" i="49"/>
  <c r="C47" i="49"/>
  <c r="C46" i="49"/>
  <c r="K45" i="49"/>
  <c r="J45" i="49"/>
  <c r="D45" i="49"/>
  <c r="C45" i="49"/>
  <c r="K33" i="49"/>
  <c r="K32" i="49"/>
  <c r="K31" i="49"/>
  <c r="K30" i="49"/>
  <c r="K29" i="49"/>
  <c r="J33" i="49"/>
  <c r="J32" i="49"/>
  <c r="J31" i="49"/>
  <c r="J30" i="49"/>
  <c r="J29" i="49"/>
  <c r="K28" i="49"/>
  <c r="J28" i="49"/>
  <c r="D33" i="49"/>
  <c r="D32" i="49"/>
  <c r="D31" i="49"/>
  <c r="D30" i="49"/>
  <c r="D29" i="49"/>
  <c r="D28" i="49"/>
  <c r="K20" i="49"/>
  <c r="K19" i="49"/>
  <c r="K18" i="49"/>
  <c r="J20" i="49"/>
  <c r="J19" i="49"/>
  <c r="J18" i="49"/>
  <c r="D20" i="49"/>
  <c r="D19" i="49"/>
  <c r="D18" i="49"/>
  <c r="C20" i="49"/>
  <c r="C19" i="49"/>
  <c r="C18" i="49"/>
  <c r="C14" i="49" l="1"/>
  <c r="J14" i="49"/>
  <c r="F62" i="49"/>
  <c r="M33" i="49"/>
  <c r="L33" i="49"/>
  <c r="M32" i="49"/>
  <c r="L32" i="49"/>
  <c r="M31" i="49"/>
  <c r="L31" i="49"/>
  <c r="M30" i="49"/>
  <c r="L30" i="49"/>
  <c r="M29" i="49"/>
  <c r="L29" i="49"/>
  <c r="M28" i="49"/>
  <c r="L28" i="49"/>
  <c r="M20" i="49"/>
  <c r="L20" i="49"/>
  <c r="M19" i="49"/>
  <c r="L19" i="49"/>
  <c r="M18" i="49"/>
  <c r="L18" i="49"/>
  <c r="C24" i="100"/>
  <c r="C23" i="100"/>
  <c r="C22" i="100"/>
  <c r="M52" i="49"/>
  <c r="L52" i="49"/>
  <c r="M51" i="49"/>
  <c r="L51" i="49"/>
  <c r="M50" i="49"/>
  <c r="L50" i="49"/>
  <c r="M49" i="49"/>
  <c r="L49" i="49"/>
  <c r="M48" i="49"/>
  <c r="L48" i="49"/>
  <c r="M47" i="49"/>
  <c r="L47" i="49"/>
  <c r="M46" i="49"/>
  <c r="L46" i="49"/>
  <c r="M45" i="49"/>
  <c r="L45" i="49"/>
  <c r="F52" i="49"/>
  <c r="E52" i="49"/>
  <c r="F51" i="49"/>
  <c r="E51" i="49"/>
  <c r="F50" i="49"/>
  <c r="E50" i="49"/>
  <c r="F49" i="49"/>
  <c r="E49" i="49"/>
  <c r="F48" i="49"/>
  <c r="E48" i="49"/>
  <c r="F47" i="49"/>
  <c r="E47" i="49"/>
  <c r="F46" i="49"/>
  <c r="F45" i="49"/>
  <c r="E46" i="49"/>
  <c r="F33" i="49"/>
  <c r="F32" i="49"/>
  <c r="F31" i="49"/>
  <c r="F30" i="49"/>
  <c r="F29" i="49"/>
  <c r="F28" i="49"/>
  <c r="E33" i="49"/>
  <c r="E32" i="49"/>
  <c r="E31" i="49"/>
  <c r="E30" i="49"/>
  <c r="E29" i="49"/>
  <c r="E45" i="49"/>
  <c r="E28" i="49"/>
  <c r="F20" i="49"/>
  <c r="F19" i="49"/>
  <c r="F18" i="49"/>
  <c r="E20" i="49"/>
  <c r="E19" i="49"/>
  <c r="E18" i="49"/>
  <c r="C44" i="100"/>
  <c r="C43" i="100"/>
  <c r="C42" i="100"/>
  <c r="C41" i="100"/>
  <c r="C40" i="100"/>
  <c r="C39" i="100"/>
  <c r="C38" i="100"/>
  <c r="C37" i="100"/>
  <c r="C35" i="100"/>
  <c r="C34" i="100"/>
  <c r="C33" i="100"/>
  <c r="C32" i="100"/>
  <c r="C31" i="100"/>
  <c r="C30" i="100"/>
  <c r="U60" i="100"/>
  <c r="R60" i="100"/>
  <c r="Q60" i="100"/>
  <c r="P60" i="100"/>
  <c r="O60" i="100"/>
  <c r="N60" i="100"/>
  <c r="M60" i="100"/>
  <c r="V58" i="100"/>
  <c r="V57" i="100"/>
  <c r="Y57" i="100" s="1"/>
  <c r="V56" i="100"/>
  <c r="Y56" i="100" s="1"/>
  <c r="V55" i="100"/>
  <c r="Y55" i="100" s="1"/>
  <c r="V54" i="100"/>
  <c r="Y54" i="100" s="1"/>
  <c r="V52" i="100"/>
  <c r="Y52" i="100" s="1"/>
  <c r="V51" i="100"/>
  <c r="Y51" i="100" s="1"/>
  <c r="V50" i="100"/>
  <c r="U45" i="100"/>
  <c r="R45" i="100"/>
  <c r="Q45" i="100"/>
  <c r="P45" i="100"/>
  <c r="O45" i="100"/>
  <c r="N45" i="100"/>
  <c r="M45" i="100"/>
  <c r="L45" i="100"/>
  <c r="K45" i="100"/>
  <c r="J45" i="100"/>
  <c r="I45" i="100"/>
  <c r="H45" i="100"/>
  <c r="G45" i="100"/>
  <c r="F45" i="100"/>
  <c r="E45" i="100"/>
  <c r="D45" i="100"/>
  <c r="V44" i="100"/>
  <c r="V43" i="100"/>
  <c r="V42" i="100"/>
  <c r="V41" i="100"/>
  <c r="V40" i="100"/>
  <c r="V39" i="100"/>
  <c r="V38" i="100"/>
  <c r="V37" i="100"/>
  <c r="V35" i="100"/>
  <c r="V34" i="100"/>
  <c r="Y34" i="100" s="1"/>
  <c r="V33" i="100"/>
  <c r="Y33" i="100" s="1"/>
  <c r="V32" i="100"/>
  <c r="Y32" i="100" s="1"/>
  <c r="V31" i="100"/>
  <c r="Y31" i="100" s="1"/>
  <c r="V30" i="100"/>
  <c r="Y30" i="100" s="1"/>
  <c r="V29" i="100"/>
  <c r="Y29" i="100" s="1"/>
  <c r="U25" i="100"/>
  <c r="R25" i="100"/>
  <c r="Q25" i="100"/>
  <c r="P25" i="100"/>
  <c r="O25" i="100"/>
  <c r="N25" i="100"/>
  <c r="M25" i="100"/>
  <c r="L25" i="100"/>
  <c r="K25" i="100"/>
  <c r="J25" i="100"/>
  <c r="J60" i="100" s="1"/>
  <c r="I25" i="100"/>
  <c r="I60" i="100" s="1"/>
  <c r="H25" i="100"/>
  <c r="G25" i="100"/>
  <c r="F25" i="100"/>
  <c r="F60" i="100" s="1"/>
  <c r="E25" i="100"/>
  <c r="E60" i="100" s="1"/>
  <c r="D25" i="100"/>
  <c r="V24" i="100"/>
  <c r="V23" i="100"/>
  <c r="V22" i="100"/>
  <c r="C14" i="100"/>
  <c r="V39" i="15"/>
  <c r="U45" i="15"/>
  <c r="R45" i="15"/>
  <c r="Q45" i="15"/>
  <c r="P45" i="15"/>
  <c r="O45" i="15"/>
  <c r="N45" i="15"/>
  <c r="M45" i="15"/>
  <c r="L45" i="15"/>
  <c r="K45" i="15"/>
  <c r="J45" i="15"/>
  <c r="I45" i="15"/>
  <c r="H45" i="15"/>
  <c r="G45" i="15"/>
  <c r="F45" i="15"/>
  <c r="E45" i="15"/>
  <c r="D45" i="15"/>
  <c r="V43" i="15"/>
  <c r="V42" i="15"/>
  <c r="V41" i="15"/>
  <c r="V40" i="15"/>
  <c r="V38" i="15"/>
  <c r="C44" i="15"/>
  <c r="C43" i="15"/>
  <c r="C42" i="15"/>
  <c r="C41" i="15"/>
  <c r="C40" i="15"/>
  <c r="C39" i="15"/>
  <c r="C38" i="15"/>
  <c r="C37" i="15"/>
  <c r="C35" i="15"/>
  <c r="C34" i="15"/>
  <c r="C33" i="15"/>
  <c r="C32" i="15"/>
  <c r="C31" i="15"/>
  <c r="C24" i="15"/>
  <c r="C23" i="15"/>
  <c r="C22" i="15"/>
  <c r="C30" i="15"/>
  <c r="D69" i="97"/>
  <c r="G27" i="99"/>
  <c r="G26" i="99"/>
  <c r="G21" i="99"/>
  <c r="G20" i="99"/>
  <c r="G17" i="99"/>
  <c r="G16" i="99"/>
  <c r="G15" i="99"/>
  <c r="F82" i="99"/>
  <c r="F80" i="99"/>
  <c r="F77" i="99"/>
  <c r="F76" i="99"/>
  <c r="F73" i="99"/>
  <c r="F72" i="99"/>
  <c r="F71" i="99"/>
  <c r="F70" i="99"/>
  <c r="F69" i="99"/>
  <c r="F68" i="99"/>
  <c r="F67" i="99"/>
  <c r="F66" i="99"/>
  <c r="F65" i="99"/>
  <c r="F64" i="99"/>
  <c r="F63" i="99"/>
  <c r="F62" i="99"/>
  <c r="F61" i="99"/>
  <c r="F60" i="99"/>
  <c r="F59" i="99"/>
  <c r="F58" i="99"/>
  <c r="F57" i="99"/>
  <c r="F56" i="99"/>
  <c r="F55" i="99"/>
  <c r="F54" i="99"/>
  <c r="F53" i="99"/>
  <c r="Y23" i="100" l="1"/>
  <c r="X21" i="100"/>
  <c r="D47" i="100"/>
  <c r="L47" i="100"/>
  <c r="L60" i="100"/>
  <c r="H47" i="100"/>
  <c r="H60" i="100"/>
  <c r="G47" i="100"/>
  <c r="G60" i="100"/>
  <c r="K47" i="100"/>
  <c r="K60" i="100"/>
  <c r="U47" i="100"/>
  <c r="U62" i="100" s="1"/>
  <c r="X62" i="100" s="1"/>
  <c r="P47" i="100"/>
  <c r="P62" i="100" s="1"/>
  <c r="O47" i="100"/>
  <c r="O62" i="100" s="1"/>
  <c r="E47" i="100"/>
  <c r="E62" i="100" s="1"/>
  <c r="I47" i="100"/>
  <c r="I62" i="100" s="1"/>
  <c r="M47" i="100"/>
  <c r="M62" i="100" s="1"/>
  <c r="Q47" i="100"/>
  <c r="Q62" i="100" s="1"/>
  <c r="V25" i="100"/>
  <c r="F47" i="100"/>
  <c r="F62" i="100" s="1"/>
  <c r="J47" i="100"/>
  <c r="J62" i="100" s="1"/>
  <c r="N47" i="100"/>
  <c r="N62" i="100" s="1"/>
  <c r="R47" i="100"/>
  <c r="R62" i="100" s="1"/>
  <c r="V45" i="100"/>
  <c r="K62" i="100" l="1"/>
  <c r="H62" i="100"/>
  <c r="G62" i="100"/>
  <c r="L62" i="100"/>
  <c r="D60" i="100"/>
  <c r="D62" i="100" s="1"/>
  <c r="V53" i="100"/>
  <c r="V47" i="100"/>
  <c r="M189" i="78"/>
  <c r="M152" i="78"/>
  <c r="K134" i="78"/>
  <c r="M117" i="78"/>
  <c r="I113" i="78"/>
  <c r="M106" i="78" s="1"/>
  <c r="I101" i="78"/>
  <c r="I103" i="78" s="1"/>
  <c r="M92" i="78" s="1"/>
  <c r="I89" i="78"/>
  <c r="M80" i="78" s="1"/>
  <c r="M70" i="78"/>
  <c r="J67" i="78"/>
  <c r="M59" i="78" s="1"/>
  <c r="M33" i="78"/>
  <c r="M26" i="78"/>
  <c r="I23" i="78"/>
  <c r="K242" i="77"/>
  <c r="M234" i="77"/>
  <c r="M244" i="77" s="1"/>
  <c r="K232" i="77"/>
  <c r="I224" i="77"/>
  <c r="L91" i="77"/>
  <c r="K79" i="77"/>
  <c r="I30" i="77"/>
  <c r="D12" i="26"/>
  <c r="C10" i="26"/>
  <c r="D21" i="25"/>
  <c r="C18" i="25"/>
  <c r="C15" i="24"/>
  <c r="C10" i="23"/>
  <c r="D52" i="22"/>
  <c r="D28" i="22"/>
  <c r="D27" i="22"/>
  <c r="D24" i="22"/>
  <c r="D23" i="22"/>
  <c r="D19" i="22"/>
  <c r="D18" i="22"/>
  <c r="D17" i="22"/>
  <c r="D8" i="22"/>
  <c r="C5" i="22"/>
  <c r="H82" i="99"/>
  <c r="H77" i="99"/>
  <c r="H76" i="99"/>
  <c r="H73" i="99"/>
  <c r="H72" i="99"/>
  <c r="H71" i="99"/>
  <c r="H70" i="99"/>
  <c r="H69" i="99"/>
  <c r="H68" i="99"/>
  <c r="H67" i="99"/>
  <c r="H66" i="99"/>
  <c r="H65" i="99"/>
  <c r="H64" i="99"/>
  <c r="H63" i="99"/>
  <c r="H62" i="99"/>
  <c r="H61" i="99"/>
  <c r="H60" i="99"/>
  <c r="H59" i="99"/>
  <c r="H58" i="99"/>
  <c r="H57" i="99"/>
  <c r="H56" i="99"/>
  <c r="H55" i="99"/>
  <c r="C50" i="99"/>
  <c r="V30" i="99"/>
  <c r="U30" i="99"/>
  <c r="T30" i="99"/>
  <c r="S30" i="99"/>
  <c r="R30" i="99"/>
  <c r="Q30" i="99"/>
  <c r="P30" i="99"/>
  <c r="O30" i="99"/>
  <c r="N30" i="99"/>
  <c r="M30" i="99"/>
  <c r="L30" i="99"/>
  <c r="K30" i="99"/>
  <c r="J30" i="99"/>
  <c r="I30" i="99"/>
  <c r="V23" i="99"/>
  <c r="V27" i="99" s="1"/>
  <c r="U23" i="99"/>
  <c r="U27" i="99" s="1"/>
  <c r="T23" i="99"/>
  <c r="T27" i="99" s="1"/>
  <c r="S23" i="99"/>
  <c r="S27" i="99" s="1"/>
  <c r="R23" i="99"/>
  <c r="R27" i="99" s="1"/>
  <c r="Q23" i="99"/>
  <c r="Q27" i="99" s="1"/>
  <c r="P23" i="99"/>
  <c r="P27" i="99" s="1"/>
  <c r="O23" i="99"/>
  <c r="O27" i="99" s="1"/>
  <c r="N23" i="99"/>
  <c r="N27" i="99" s="1"/>
  <c r="M23" i="99"/>
  <c r="M27" i="99" s="1"/>
  <c r="L23" i="99"/>
  <c r="L27" i="99" s="1"/>
  <c r="K23" i="99"/>
  <c r="K27" i="99" s="1"/>
  <c r="J23" i="99"/>
  <c r="J27" i="99" s="1"/>
  <c r="I23" i="99"/>
  <c r="I27" i="99" s="1"/>
  <c r="H27" i="99"/>
  <c r="H21" i="99"/>
  <c r="H20" i="99"/>
  <c r="V18" i="99"/>
  <c r="U18" i="99"/>
  <c r="T18" i="99"/>
  <c r="S18" i="99"/>
  <c r="R18" i="99"/>
  <c r="Q18" i="99"/>
  <c r="P18" i="99"/>
  <c r="O18" i="99"/>
  <c r="N18" i="99"/>
  <c r="M18" i="99"/>
  <c r="L18" i="99"/>
  <c r="K18" i="99"/>
  <c r="J18" i="99"/>
  <c r="I18" i="99"/>
  <c r="C10" i="99"/>
  <c r="C12" i="98"/>
  <c r="C10" i="98"/>
  <c r="I101" i="97"/>
  <c r="J101" i="97" s="1"/>
  <c r="K101" i="97" s="1"/>
  <c r="L101" i="97" s="1"/>
  <c r="M101" i="97" s="1"/>
  <c r="N101" i="97" s="1"/>
  <c r="O101" i="97" s="1"/>
  <c r="P101" i="97" s="1"/>
  <c r="Q101" i="97" s="1"/>
  <c r="R101" i="97" s="1"/>
  <c r="S101" i="97" s="1"/>
  <c r="T101" i="97" s="1"/>
  <c r="U101" i="97" s="1"/>
  <c r="V101" i="97" s="1"/>
  <c r="H97" i="97"/>
  <c r="G97" i="97" s="1"/>
  <c r="I96" i="97"/>
  <c r="J96" i="97" s="1"/>
  <c r="K96" i="97" s="1"/>
  <c r="L96" i="97" s="1"/>
  <c r="M96" i="97" s="1"/>
  <c r="N96" i="97" s="1"/>
  <c r="O96" i="97" s="1"/>
  <c r="P96" i="97" s="1"/>
  <c r="Q96" i="97" s="1"/>
  <c r="R96" i="97" s="1"/>
  <c r="S96" i="97" s="1"/>
  <c r="T96" i="97" s="1"/>
  <c r="U96" i="97" s="1"/>
  <c r="V96" i="97" s="1"/>
  <c r="I95" i="97"/>
  <c r="I92" i="97"/>
  <c r="J92" i="97" s="1"/>
  <c r="K92" i="97" s="1"/>
  <c r="L92" i="97" s="1"/>
  <c r="M92" i="97" s="1"/>
  <c r="N92" i="97" s="1"/>
  <c r="O92" i="97" s="1"/>
  <c r="P92" i="97" s="1"/>
  <c r="Q92" i="97" s="1"/>
  <c r="R92" i="97" s="1"/>
  <c r="S92" i="97" s="1"/>
  <c r="T92" i="97" s="1"/>
  <c r="U92" i="97" s="1"/>
  <c r="V92" i="97" s="1"/>
  <c r="I91" i="97"/>
  <c r="J91" i="97" s="1"/>
  <c r="K91" i="97" s="1"/>
  <c r="L91" i="97" s="1"/>
  <c r="M91" i="97" s="1"/>
  <c r="N91" i="97" s="1"/>
  <c r="O91" i="97" s="1"/>
  <c r="P91" i="97" s="1"/>
  <c r="Q91" i="97" s="1"/>
  <c r="R91" i="97" s="1"/>
  <c r="S91" i="97" s="1"/>
  <c r="T91" i="97" s="1"/>
  <c r="U91" i="97" s="1"/>
  <c r="V91" i="97" s="1"/>
  <c r="I90" i="97"/>
  <c r="J90" i="97" s="1"/>
  <c r="K90" i="97" s="1"/>
  <c r="L90" i="97" s="1"/>
  <c r="M90" i="97" s="1"/>
  <c r="N90" i="97" s="1"/>
  <c r="O90" i="97" s="1"/>
  <c r="P90" i="97" s="1"/>
  <c r="Q90" i="97" s="1"/>
  <c r="R90" i="97" s="1"/>
  <c r="S90" i="97" s="1"/>
  <c r="T90" i="97" s="1"/>
  <c r="U90" i="97" s="1"/>
  <c r="V90" i="97" s="1"/>
  <c r="I89" i="97"/>
  <c r="J89" i="97" s="1"/>
  <c r="K89" i="97" s="1"/>
  <c r="L89" i="97" s="1"/>
  <c r="M89" i="97" s="1"/>
  <c r="N89" i="97" s="1"/>
  <c r="O89" i="97" s="1"/>
  <c r="P89" i="97" s="1"/>
  <c r="Q89" i="97" s="1"/>
  <c r="R89" i="97" s="1"/>
  <c r="S89" i="97" s="1"/>
  <c r="T89" i="97" s="1"/>
  <c r="U89" i="97" s="1"/>
  <c r="V89" i="97" s="1"/>
  <c r="I88" i="97"/>
  <c r="J88" i="97" s="1"/>
  <c r="K88" i="97" s="1"/>
  <c r="L88" i="97" s="1"/>
  <c r="M88" i="97" s="1"/>
  <c r="N88" i="97" s="1"/>
  <c r="O88" i="97" s="1"/>
  <c r="P88" i="97" s="1"/>
  <c r="Q88" i="97" s="1"/>
  <c r="R88" i="97" s="1"/>
  <c r="S88" i="97" s="1"/>
  <c r="T88" i="97" s="1"/>
  <c r="U88" i="97" s="1"/>
  <c r="V88" i="97" s="1"/>
  <c r="I87" i="97"/>
  <c r="J87" i="97" s="1"/>
  <c r="K87" i="97" s="1"/>
  <c r="L87" i="97" s="1"/>
  <c r="M87" i="97" s="1"/>
  <c r="N87" i="97" s="1"/>
  <c r="O87" i="97" s="1"/>
  <c r="P87" i="97" s="1"/>
  <c r="Q87" i="97" s="1"/>
  <c r="R87" i="97" s="1"/>
  <c r="S87" i="97" s="1"/>
  <c r="T87" i="97" s="1"/>
  <c r="U87" i="97" s="1"/>
  <c r="V87" i="97" s="1"/>
  <c r="I86" i="97"/>
  <c r="J86" i="97" s="1"/>
  <c r="K86" i="97" s="1"/>
  <c r="L86" i="97" s="1"/>
  <c r="M86" i="97" s="1"/>
  <c r="N86" i="97" s="1"/>
  <c r="O86" i="97" s="1"/>
  <c r="P86" i="97" s="1"/>
  <c r="Q86" i="97" s="1"/>
  <c r="R86" i="97" s="1"/>
  <c r="S86" i="97" s="1"/>
  <c r="T86" i="97" s="1"/>
  <c r="U86" i="97" s="1"/>
  <c r="V86" i="97" s="1"/>
  <c r="I85" i="97"/>
  <c r="J85" i="97" s="1"/>
  <c r="K85" i="97" s="1"/>
  <c r="L85" i="97" s="1"/>
  <c r="M85" i="97" s="1"/>
  <c r="N85" i="97" s="1"/>
  <c r="O85" i="97" s="1"/>
  <c r="P85" i="97" s="1"/>
  <c r="Q85" i="97" s="1"/>
  <c r="R85" i="97" s="1"/>
  <c r="S85" i="97" s="1"/>
  <c r="T85" i="97" s="1"/>
  <c r="U85" i="97" s="1"/>
  <c r="V85" i="97" s="1"/>
  <c r="I84" i="97"/>
  <c r="J84" i="97" s="1"/>
  <c r="K84" i="97" s="1"/>
  <c r="L84" i="97" s="1"/>
  <c r="M84" i="97" s="1"/>
  <c r="N84" i="97" s="1"/>
  <c r="O84" i="97" s="1"/>
  <c r="P84" i="97" s="1"/>
  <c r="Q84" i="97" s="1"/>
  <c r="R84" i="97" s="1"/>
  <c r="S84" i="97" s="1"/>
  <c r="T84" i="97" s="1"/>
  <c r="U84" i="97" s="1"/>
  <c r="V84" i="97" s="1"/>
  <c r="I83" i="97"/>
  <c r="J83" i="97" s="1"/>
  <c r="K83" i="97" s="1"/>
  <c r="L83" i="97" s="1"/>
  <c r="M83" i="97" s="1"/>
  <c r="N83" i="97" s="1"/>
  <c r="O83" i="97" s="1"/>
  <c r="P83" i="97" s="1"/>
  <c r="Q83" i="97" s="1"/>
  <c r="R83" i="97" s="1"/>
  <c r="S83" i="97" s="1"/>
  <c r="T83" i="97" s="1"/>
  <c r="U83" i="97" s="1"/>
  <c r="V83" i="97" s="1"/>
  <c r="I82" i="97"/>
  <c r="J82" i="97" s="1"/>
  <c r="K82" i="97" s="1"/>
  <c r="L82" i="97" s="1"/>
  <c r="M82" i="97" s="1"/>
  <c r="N82" i="97" s="1"/>
  <c r="O82" i="97" s="1"/>
  <c r="P82" i="97" s="1"/>
  <c r="Q82" i="97" s="1"/>
  <c r="R82" i="97" s="1"/>
  <c r="S82" i="97" s="1"/>
  <c r="T82" i="97" s="1"/>
  <c r="U82" i="97" s="1"/>
  <c r="V82" i="97" s="1"/>
  <c r="I81" i="97"/>
  <c r="J81" i="97" s="1"/>
  <c r="K81" i="97" s="1"/>
  <c r="L81" i="97" s="1"/>
  <c r="M81" i="97" s="1"/>
  <c r="N81" i="97" s="1"/>
  <c r="O81" i="97" s="1"/>
  <c r="P81" i="97" s="1"/>
  <c r="Q81" i="97" s="1"/>
  <c r="R81" i="97" s="1"/>
  <c r="S81" i="97" s="1"/>
  <c r="T81" i="97" s="1"/>
  <c r="U81" i="97" s="1"/>
  <c r="V81" i="97" s="1"/>
  <c r="J80" i="97"/>
  <c r="K80" i="97" s="1"/>
  <c r="L80" i="97" s="1"/>
  <c r="M80" i="97" s="1"/>
  <c r="N80" i="97" s="1"/>
  <c r="O80" i="97" s="1"/>
  <c r="P80" i="97" s="1"/>
  <c r="Q80" i="97" s="1"/>
  <c r="R80" i="97" s="1"/>
  <c r="S80" i="97" s="1"/>
  <c r="T80" i="97" s="1"/>
  <c r="U80" i="97" s="1"/>
  <c r="V80" i="97" s="1"/>
  <c r="I80" i="97"/>
  <c r="I79" i="97"/>
  <c r="J79" i="97" s="1"/>
  <c r="K79" i="97" s="1"/>
  <c r="L79" i="97" s="1"/>
  <c r="M79" i="97" s="1"/>
  <c r="N79" i="97" s="1"/>
  <c r="O79" i="97" s="1"/>
  <c r="P79" i="97" s="1"/>
  <c r="Q79" i="97" s="1"/>
  <c r="R79" i="97" s="1"/>
  <c r="S79" i="97" s="1"/>
  <c r="T79" i="97" s="1"/>
  <c r="U79" i="97" s="1"/>
  <c r="V79" i="97" s="1"/>
  <c r="I78" i="97"/>
  <c r="J78" i="97" s="1"/>
  <c r="K78" i="97" s="1"/>
  <c r="L78" i="97" s="1"/>
  <c r="M78" i="97" s="1"/>
  <c r="N78" i="97" s="1"/>
  <c r="O78" i="97" s="1"/>
  <c r="P78" i="97" s="1"/>
  <c r="Q78" i="97" s="1"/>
  <c r="R78" i="97" s="1"/>
  <c r="S78" i="97" s="1"/>
  <c r="T78" i="97" s="1"/>
  <c r="U78" i="97" s="1"/>
  <c r="V78" i="97" s="1"/>
  <c r="I77" i="97"/>
  <c r="J77" i="97" s="1"/>
  <c r="K77" i="97" s="1"/>
  <c r="L77" i="97" s="1"/>
  <c r="M77" i="97" s="1"/>
  <c r="N77" i="97" s="1"/>
  <c r="O77" i="97" s="1"/>
  <c r="P77" i="97" s="1"/>
  <c r="Q77" i="97" s="1"/>
  <c r="R77" i="97" s="1"/>
  <c r="S77" i="97" s="1"/>
  <c r="T77" i="97" s="1"/>
  <c r="U77" i="97" s="1"/>
  <c r="V77" i="97" s="1"/>
  <c r="I76" i="97"/>
  <c r="J76" i="97" s="1"/>
  <c r="K76" i="97" s="1"/>
  <c r="L76" i="97" s="1"/>
  <c r="M76" i="97" s="1"/>
  <c r="N76" i="97" s="1"/>
  <c r="O76" i="97" s="1"/>
  <c r="P76" i="97" s="1"/>
  <c r="Q76" i="97" s="1"/>
  <c r="R76" i="97" s="1"/>
  <c r="S76" i="97" s="1"/>
  <c r="T76" i="97" s="1"/>
  <c r="U76" i="97" s="1"/>
  <c r="V76" i="97" s="1"/>
  <c r="I75" i="97"/>
  <c r="J75" i="97" s="1"/>
  <c r="K75" i="97" s="1"/>
  <c r="L75" i="97" s="1"/>
  <c r="M75" i="97" s="1"/>
  <c r="N75" i="97" s="1"/>
  <c r="O75" i="97" s="1"/>
  <c r="P75" i="97" s="1"/>
  <c r="Q75" i="97" s="1"/>
  <c r="R75" i="97" s="1"/>
  <c r="S75" i="97" s="1"/>
  <c r="T75" i="97" s="1"/>
  <c r="U75" i="97" s="1"/>
  <c r="V75" i="97" s="1"/>
  <c r="I74" i="97"/>
  <c r="J74" i="97" s="1"/>
  <c r="K74" i="97" s="1"/>
  <c r="L74" i="97" s="1"/>
  <c r="M74" i="97" s="1"/>
  <c r="N74" i="97" s="1"/>
  <c r="O74" i="97" s="1"/>
  <c r="P74" i="97" s="1"/>
  <c r="Q74" i="97" s="1"/>
  <c r="R74" i="97" s="1"/>
  <c r="S74" i="97" s="1"/>
  <c r="T74" i="97" s="1"/>
  <c r="U74" i="97" s="1"/>
  <c r="V74" i="97" s="1"/>
  <c r="C67" i="97"/>
  <c r="V59" i="97"/>
  <c r="U59" i="97"/>
  <c r="T59" i="97"/>
  <c r="S59" i="97"/>
  <c r="R59" i="97"/>
  <c r="Q59" i="97"/>
  <c r="P59" i="97"/>
  <c r="O59" i="97"/>
  <c r="N59" i="97"/>
  <c r="M59" i="97"/>
  <c r="L59" i="97"/>
  <c r="K59" i="97"/>
  <c r="J59" i="97"/>
  <c r="I59" i="97"/>
  <c r="H59" i="97"/>
  <c r="V50" i="97"/>
  <c r="U50" i="97"/>
  <c r="T50" i="97"/>
  <c r="S50" i="97"/>
  <c r="R50" i="97"/>
  <c r="Q50" i="97"/>
  <c r="P50" i="97"/>
  <c r="O50" i="97"/>
  <c r="N50" i="97"/>
  <c r="M50" i="97"/>
  <c r="L50" i="97"/>
  <c r="K50" i="97"/>
  <c r="J50" i="97"/>
  <c r="I50" i="97"/>
  <c r="H50" i="97"/>
  <c r="V37" i="97"/>
  <c r="U37" i="97"/>
  <c r="T37" i="97"/>
  <c r="S37" i="97"/>
  <c r="R37" i="97"/>
  <c r="Q37" i="97"/>
  <c r="P37" i="97"/>
  <c r="O37" i="97"/>
  <c r="N37" i="97"/>
  <c r="M37" i="97"/>
  <c r="L37" i="97"/>
  <c r="K37" i="97"/>
  <c r="J37" i="97"/>
  <c r="I37" i="97"/>
  <c r="H37" i="97"/>
  <c r="I31" i="97"/>
  <c r="J31" i="97" s="1"/>
  <c r="K31" i="97" s="1"/>
  <c r="L31" i="97" s="1"/>
  <c r="M31" i="97" s="1"/>
  <c r="N31" i="97" s="1"/>
  <c r="O31" i="97" s="1"/>
  <c r="P31" i="97" s="1"/>
  <c r="Q31" i="97" s="1"/>
  <c r="R31" i="97" s="1"/>
  <c r="S31" i="97" s="1"/>
  <c r="T31" i="97" s="1"/>
  <c r="U31" i="97" s="1"/>
  <c r="V31" i="97" s="1"/>
  <c r="I30" i="97"/>
  <c r="J30" i="97" s="1"/>
  <c r="K30" i="97" s="1"/>
  <c r="L30" i="97" s="1"/>
  <c r="M30" i="97" s="1"/>
  <c r="N30" i="97" s="1"/>
  <c r="O30" i="97" s="1"/>
  <c r="P30" i="97" s="1"/>
  <c r="Q30" i="97" s="1"/>
  <c r="R30" i="97" s="1"/>
  <c r="S30" i="97" s="1"/>
  <c r="T30" i="97" s="1"/>
  <c r="U30" i="97" s="1"/>
  <c r="V30" i="97" s="1"/>
  <c r="C18" i="97"/>
  <c r="C16" i="97"/>
  <c r="R56" i="96"/>
  <c r="Q56" i="96"/>
  <c r="P56" i="96"/>
  <c r="O56" i="96"/>
  <c r="N56" i="96"/>
  <c r="L56" i="96"/>
  <c r="R43" i="96"/>
  <c r="Q43" i="96"/>
  <c r="P43" i="96"/>
  <c r="O43" i="96"/>
  <c r="H42" i="96"/>
  <c r="K42" i="96" s="1"/>
  <c r="L42" i="96" s="1"/>
  <c r="H41" i="96"/>
  <c r="K41" i="96" s="1"/>
  <c r="L41" i="96" s="1"/>
  <c r="H40" i="96"/>
  <c r="H39" i="96"/>
  <c r="H38" i="96"/>
  <c r="K38" i="96" s="1"/>
  <c r="L38" i="96" s="1"/>
  <c r="H37" i="96"/>
  <c r="K37" i="96" s="1"/>
  <c r="L37" i="96" s="1"/>
  <c r="H36" i="96"/>
  <c r="H35" i="96"/>
  <c r="H34" i="96"/>
  <c r="K34" i="96" s="1"/>
  <c r="L34" i="96" s="1"/>
  <c r="N34" i="96" s="1"/>
  <c r="R33" i="96"/>
  <c r="R45" i="96" s="1"/>
  <c r="Q33" i="96"/>
  <c r="Q45" i="96" s="1"/>
  <c r="P33" i="96"/>
  <c r="P45" i="96" s="1"/>
  <c r="O33" i="96"/>
  <c r="O45" i="96" s="1"/>
  <c r="R29" i="96"/>
  <c r="Q29" i="96"/>
  <c r="P29" i="96"/>
  <c r="O29" i="96"/>
  <c r="H26" i="96"/>
  <c r="H25" i="96"/>
  <c r="K25" i="96" s="1"/>
  <c r="L25" i="96" s="1"/>
  <c r="H24" i="96"/>
  <c r="K24" i="96" s="1"/>
  <c r="L24" i="96" s="1"/>
  <c r="H23" i="96"/>
  <c r="H22" i="96"/>
  <c r="H21" i="96"/>
  <c r="K21" i="96" s="1"/>
  <c r="L21" i="96" s="1"/>
  <c r="N21" i="96" s="1"/>
  <c r="H20" i="96"/>
  <c r="H19" i="96"/>
  <c r="K19" i="96" s="1"/>
  <c r="H18" i="96"/>
  <c r="R17" i="96"/>
  <c r="Q17" i="96"/>
  <c r="P17" i="96"/>
  <c r="O17" i="96"/>
  <c r="C14" i="96"/>
  <c r="C12" i="96"/>
  <c r="E41" i="95"/>
  <c r="D41" i="95"/>
  <c r="F40" i="95"/>
  <c r="F39" i="95"/>
  <c r="F38" i="95"/>
  <c r="F37" i="95"/>
  <c r="E32" i="95"/>
  <c r="D32" i="95"/>
  <c r="F31" i="95"/>
  <c r="F30" i="95"/>
  <c r="F29" i="95"/>
  <c r="F28" i="95"/>
  <c r="E23" i="95"/>
  <c r="D23" i="95"/>
  <c r="F22" i="95"/>
  <c r="F21" i="95"/>
  <c r="F20" i="95"/>
  <c r="F19" i="95"/>
  <c r="C15" i="95"/>
  <c r="C13" i="95"/>
  <c r="E45" i="21"/>
  <c r="C12" i="21"/>
  <c r="C10" i="21"/>
  <c r="I101" i="20"/>
  <c r="J101" i="20" s="1"/>
  <c r="H97" i="20"/>
  <c r="G97" i="20" s="1"/>
  <c r="I96" i="20"/>
  <c r="I95" i="20"/>
  <c r="J95" i="20" s="1"/>
  <c r="I92" i="20"/>
  <c r="I89" i="20"/>
  <c r="I88" i="20"/>
  <c r="J88" i="20" s="1"/>
  <c r="I87" i="20"/>
  <c r="I86" i="20"/>
  <c r="I85" i="20"/>
  <c r="I84" i="20"/>
  <c r="I65" i="99" s="1"/>
  <c r="I83" i="20"/>
  <c r="I82" i="20"/>
  <c r="J82" i="20" s="1"/>
  <c r="I81" i="20"/>
  <c r="I80" i="20"/>
  <c r="I61" i="99" s="1"/>
  <c r="I79" i="20"/>
  <c r="I78" i="20"/>
  <c r="I77" i="20"/>
  <c r="I76" i="20"/>
  <c r="J76" i="20" s="1"/>
  <c r="I75" i="20"/>
  <c r="I56" i="99" s="1"/>
  <c r="I74" i="20"/>
  <c r="D69" i="20"/>
  <c r="C67" i="20"/>
  <c r="V59" i="20"/>
  <c r="U59" i="20"/>
  <c r="T59" i="20"/>
  <c r="S59" i="20"/>
  <c r="R59" i="20"/>
  <c r="Q59" i="20"/>
  <c r="P59" i="20"/>
  <c r="O59" i="20"/>
  <c r="N59" i="20"/>
  <c r="M59" i="20"/>
  <c r="L59" i="20"/>
  <c r="K59" i="20"/>
  <c r="J59" i="20"/>
  <c r="I59" i="20"/>
  <c r="H59" i="20"/>
  <c r="V50" i="20"/>
  <c r="U50" i="20"/>
  <c r="T50" i="20"/>
  <c r="S50" i="20"/>
  <c r="R50" i="20"/>
  <c r="Q50" i="20"/>
  <c r="P50" i="20"/>
  <c r="O50" i="20"/>
  <c r="N50" i="20"/>
  <c r="M50" i="20"/>
  <c r="L50" i="20"/>
  <c r="K50" i="20"/>
  <c r="J50" i="20"/>
  <c r="I50" i="20"/>
  <c r="H50" i="20"/>
  <c r="V37" i="20"/>
  <c r="U37" i="20"/>
  <c r="T37" i="20"/>
  <c r="S37" i="20"/>
  <c r="R37" i="20"/>
  <c r="Q37" i="20"/>
  <c r="P37" i="20"/>
  <c r="O37" i="20"/>
  <c r="N37" i="20"/>
  <c r="M37" i="20"/>
  <c r="L37" i="20"/>
  <c r="K37" i="20"/>
  <c r="J37" i="20"/>
  <c r="I37" i="20"/>
  <c r="H37" i="20"/>
  <c r="I31" i="20"/>
  <c r="I30" i="20"/>
  <c r="J30" i="20" s="1"/>
  <c r="J20" i="99" s="1"/>
  <c r="C18" i="20"/>
  <c r="C16" i="20"/>
  <c r="R56" i="36"/>
  <c r="Q56" i="36"/>
  <c r="P56" i="36"/>
  <c r="O56" i="36"/>
  <c r="N56" i="36"/>
  <c r="L56" i="36"/>
  <c r="R43" i="36"/>
  <c r="Q43" i="36"/>
  <c r="P43" i="36"/>
  <c r="O43" i="36"/>
  <c r="H42" i="36"/>
  <c r="K42" i="36" s="1"/>
  <c r="L42" i="36" s="1"/>
  <c r="H41" i="36"/>
  <c r="H40" i="36"/>
  <c r="H39" i="36"/>
  <c r="K39" i="36" s="1"/>
  <c r="L39" i="36" s="1"/>
  <c r="H38" i="36"/>
  <c r="K38" i="36" s="1"/>
  <c r="L38" i="36" s="1"/>
  <c r="H37" i="36"/>
  <c r="K37" i="36" s="1"/>
  <c r="H36" i="36"/>
  <c r="H35" i="36"/>
  <c r="K35" i="36" s="1"/>
  <c r="L35" i="36" s="1"/>
  <c r="N35" i="36" s="1"/>
  <c r="H34" i="36"/>
  <c r="K34" i="36" s="1"/>
  <c r="L34" i="36" s="1"/>
  <c r="N34" i="36" s="1"/>
  <c r="R33" i="36"/>
  <c r="R45" i="36" s="1"/>
  <c r="Q33" i="36"/>
  <c r="Q45" i="36" s="1"/>
  <c r="P33" i="36"/>
  <c r="P45" i="36" s="1"/>
  <c r="O33" i="36"/>
  <c r="O45" i="36" s="1"/>
  <c r="R29" i="36"/>
  <c r="Q29" i="36"/>
  <c r="P29" i="36"/>
  <c r="O29" i="36"/>
  <c r="H26" i="36"/>
  <c r="K26" i="36" s="1"/>
  <c r="H25" i="36"/>
  <c r="K25" i="36" s="1"/>
  <c r="L25" i="36" s="1"/>
  <c r="H24" i="36"/>
  <c r="K24" i="36" s="1"/>
  <c r="L24" i="36" s="1"/>
  <c r="H23" i="36"/>
  <c r="H22" i="36"/>
  <c r="H21" i="36"/>
  <c r="K21" i="36" s="1"/>
  <c r="L21" i="36" s="1"/>
  <c r="N21" i="36" s="1"/>
  <c r="H20" i="36"/>
  <c r="K20" i="36" s="1"/>
  <c r="L20" i="36" s="1"/>
  <c r="N20" i="36" s="1"/>
  <c r="H19" i="36"/>
  <c r="H18" i="36"/>
  <c r="K18" i="36" s="1"/>
  <c r="R17" i="36"/>
  <c r="Q17" i="36"/>
  <c r="P17" i="36"/>
  <c r="O17" i="36"/>
  <c r="C14" i="36"/>
  <c r="C12" i="36"/>
  <c r="E41" i="17"/>
  <c r="D41" i="17"/>
  <c r="F40" i="17"/>
  <c r="F39" i="17"/>
  <c r="F38" i="17"/>
  <c r="F37" i="17"/>
  <c r="E32" i="17"/>
  <c r="D32" i="17"/>
  <c r="F32" i="17" s="1"/>
  <c r="F31" i="17"/>
  <c r="F30" i="17"/>
  <c r="F29" i="17"/>
  <c r="F28" i="17"/>
  <c r="E23" i="17"/>
  <c r="D23" i="17"/>
  <c r="F23" i="17" s="1"/>
  <c r="H27" i="20" s="1"/>
  <c r="F22" i="17"/>
  <c r="F21" i="17"/>
  <c r="F20" i="17"/>
  <c r="F19" i="17"/>
  <c r="C15" i="17"/>
  <c r="C13" i="17"/>
  <c r="K65" i="16"/>
  <c r="AG2" i="51" s="1"/>
  <c r="J65" i="16"/>
  <c r="AF2" i="51" s="1"/>
  <c r="I65" i="16"/>
  <c r="AE2" i="51" s="1"/>
  <c r="H65" i="16"/>
  <c r="AD2" i="51" s="1"/>
  <c r="G65" i="16"/>
  <c r="AC2" i="51" s="1"/>
  <c r="F65" i="16"/>
  <c r="E65" i="16"/>
  <c r="D65" i="16"/>
  <c r="K64" i="16"/>
  <c r="J64" i="16"/>
  <c r="I64" i="16"/>
  <c r="H64" i="16"/>
  <c r="G64" i="16"/>
  <c r="F64" i="16"/>
  <c r="E64" i="16"/>
  <c r="D64" i="16"/>
  <c r="N42" i="16"/>
  <c r="M42" i="16"/>
  <c r="J42" i="16"/>
  <c r="L42" i="16" s="1"/>
  <c r="N39" i="16"/>
  <c r="M39" i="16"/>
  <c r="J39" i="16"/>
  <c r="L39" i="16" s="1"/>
  <c r="N38" i="16"/>
  <c r="M38" i="16"/>
  <c r="J38" i="16"/>
  <c r="L38" i="16" s="1"/>
  <c r="N37" i="16"/>
  <c r="M37" i="16"/>
  <c r="J37" i="16"/>
  <c r="L37" i="16" s="1"/>
  <c r="N36" i="16"/>
  <c r="M36" i="16"/>
  <c r="J36" i="16"/>
  <c r="L36" i="16" s="1"/>
  <c r="N31" i="16"/>
  <c r="M31" i="16"/>
  <c r="J31" i="16"/>
  <c r="L31" i="16" s="1"/>
  <c r="N30" i="16"/>
  <c r="M30" i="16"/>
  <c r="J30" i="16"/>
  <c r="L30" i="16" s="1"/>
  <c r="C29" i="16"/>
  <c r="N27" i="16"/>
  <c r="M27" i="16"/>
  <c r="J27" i="16"/>
  <c r="L27" i="16" s="1"/>
  <c r="N24" i="16"/>
  <c r="M24" i="16"/>
  <c r="J24" i="16"/>
  <c r="L24" i="16" s="1"/>
  <c r="N23" i="16"/>
  <c r="M23" i="16"/>
  <c r="J23" i="16"/>
  <c r="L23" i="16" s="1"/>
  <c r="N18" i="16"/>
  <c r="M18" i="16"/>
  <c r="J18" i="16"/>
  <c r="L18" i="16" s="1"/>
  <c r="N17" i="16"/>
  <c r="M17" i="16"/>
  <c r="J17" i="16"/>
  <c r="L17" i="16" s="1"/>
  <c r="N16" i="16"/>
  <c r="M16" i="16"/>
  <c r="J16" i="16"/>
  <c r="L16" i="16" s="1"/>
  <c r="N15" i="16"/>
  <c r="M15" i="16"/>
  <c r="J15" i="16"/>
  <c r="L15" i="16" s="1"/>
  <c r="C14" i="16"/>
  <c r="C11" i="16"/>
  <c r="R60" i="15"/>
  <c r="Q60" i="15"/>
  <c r="P60" i="15"/>
  <c r="O60" i="15"/>
  <c r="N60" i="15"/>
  <c r="M60" i="15"/>
  <c r="L60" i="15"/>
  <c r="K60" i="15"/>
  <c r="J60" i="15"/>
  <c r="I60" i="15"/>
  <c r="H60" i="15"/>
  <c r="G60" i="15"/>
  <c r="F60" i="15"/>
  <c r="E60" i="15"/>
  <c r="D60" i="15"/>
  <c r="V58" i="15"/>
  <c r="V56" i="15"/>
  <c r="V55" i="15"/>
  <c r="V54" i="15"/>
  <c r="V53" i="15"/>
  <c r="V52" i="15"/>
  <c r="V51" i="15"/>
  <c r="V50" i="15"/>
  <c r="V44" i="15"/>
  <c r="V37" i="15"/>
  <c r="V35" i="15"/>
  <c r="V34" i="15"/>
  <c r="V33" i="15"/>
  <c r="V32" i="15"/>
  <c r="V31" i="15"/>
  <c r="V29" i="15"/>
  <c r="U25" i="15"/>
  <c r="U47" i="15" s="1"/>
  <c r="U62" i="15" s="1"/>
  <c r="R25" i="15"/>
  <c r="Q25" i="15"/>
  <c r="Q47" i="15" s="1"/>
  <c r="P25" i="15"/>
  <c r="O25" i="15"/>
  <c r="O47" i="15" s="1"/>
  <c r="N25" i="15"/>
  <c r="M25" i="15"/>
  <c r="M47" i="15" s="1"/>
  <c r="L25" i="15"/>
  <c r="K25" i="15"/>
  <c r="K47" i="15" s="1"/>
  <c r="J25" i="15"/>
  <c r="I25" i="15"/>
  <c r="I47" i="15" s="1"/>
  <c r="H25" i="15"/>
  <c r="G25" i="15"/>
  <c r="G47" i="15" s="1"/>
  <c r="F25" i="15"/>
  <c r="E25" i="15"/>
  <c r="E47" i="15" s="1"/>
  <c r="D25" i="15"/>
  <c r="D47" i="15" s="1"/>
  <c r="V24" i="15"/>
  <c r="V23" i="15"/>
  <c r="V22" i="15"/>
  <c r="C14" i="15"/>
  <c r="F54" i="85"/>
  <c r="E54" i="85"/>
  <c r="F35" i="85"/>
  <c r="E35" i="85"/>
  <c r="F22" i="85"/>
  <c r="E22" i="85"/>
  <c r="C12" i="85"/>
  <c r="F54" i="84"/>
  <c r="E54" i="84"/>
  <c r="F35" i="84"/>
  <c r="E35" i="84"/>
  <c r="F37" i="84" s="1"/>
  <c r="G38" i="12" s="1"/>
  <c r="F22" i="84"/>
  <c r="E22" i="84"/>
  <c r="C12" i="84"/>
  <c r="M54" i="49"/>
  <c r="L54" i="49"/>
  <c r="F54" i="49"/>
  <c r="E54" i="49"/>
  <c r="M35" i="49"/>
  <c r="L35" i="49"/>
  <c r="F35" i="49"/>
  <c r="E35" i="49"/>
  <c r="CC2" i="51" s="1"/>
  <c r="M22" i="49"/>
  <c r="L22" i="49"/>
  <c r="F22" i="49"/>
  <c r="E22" i="49"/>
  <c r="C10" i="49"/>
  <c r="H57" i="92"/>
  <c r="H58" i="92" s="1"/>
  <c r="H53" i="92"/>
  <c r="H52" i="92"/>
  <c r="H51" i="92"/>
  <c r="H50" i="92"/>
  <c r="H46" i="92"/>
  <c r="H45" i="92"/>
  <c r="H43" i="92"/>
  <c r="H42" i="92"/>
  <c r="H38" i="92"/>
  <c r="H37" i="92"/>
  <c r="H36" i="92"/>
  <c r="H35" i="92"/>
  <c r="H34" i="92"/>
  <c r="H33" i="92"/>
  <c r="H32" i="92"/>
  <c r="H31" i="92"/>
  <c r="H27" i="92"/>
  <c r="H26" i="92"/>
  <c r="H25" i="92"/>
  <c r="H24" i="92"/>
  <c r="H23" i="92"/>
  <c r="H22" i="92"/>
  <c r="H21" i="92"/>
  <c r="H20" i="92"/>
  <c r="H16" i="92"/>
  <c r="H17" i="92" s="1"/>
  <c r="C10" i="92"/>
  <c r="G50" i="91"/>
  <c r="G26" i="91"/>
  <c r="C9" i="91"/>
  <c r="K108" i="90"/>
  <c r="J108" i="90"/>
  <c r="K77" i="90"/>
  <c r="J77" i="90"/>
  <c r="K64" i="90"/>
  <c r="J64" i="90"/>
  <c r="K48" i="90"/>
  <c r="J48" i="90"/>
  <c r="J29" i="90"/>
  <c r="C13" i="90"/>
  <c r="C9" i="89"/>
  <c r="Y120" i="88"/>
  <c r="X120" i="88"/>
  <c r="W120" i="88"/>
  <c r="V120" i="88"/>
  <c r="U120" i="88"/>
  <c r="T120" i="88"/>
  <c r="Q120" i="88"/>
  <c r="P120" i="88"/>
  <c r="O120" i="88"/>
  <c r="N120" i="88"/>
  <c r="M120" i="88"/>
  <c r="L120" i="88"/>
  <c r="S119" i="88"/>
  <c r="Q110" i="9" s="1"/>
  <c r="K119" i="88"/>
  <c r="S118" i="88"/>
  <c r="Q109" i="9" s="1"/>
  <c r="K118" i="88"/>
  <c r="S117" i="88"/>
  <c r="Q108" i="9" s="1"/>
  <c r="K117" i="88"/>
  <c r="S116" i="88"/>
  <c r="Q107" i="9" s="1"/>
  <c r="K116" i="88"/>
  <c r="S115" i="88"/>
  <c r="Q106" i="9" s="1"/>
  <c r="K115" i="88"/>
  <c r="S114" i="88"/>
  <c r="Q105" i="9" s="1"/>
  <c r="K114" i="88"/>
  <c r="S113" i="88"/>
  <c r="Q104" i="9" s="1"/>
  <c r="Q111" i="9" s="1"/>
  <c r="K113" i="88"/>
  <c r="Y109" i="88"/>
  <c r="X109" i="88"/>
  <c r="W109" i="88"/>
  <c r="V109" i="88"/>
  <c r="U109" i="88"/>
  <c r="T109" i="88"/>
  <c r="Q109" i="88"/>
  <c r="P109" i="88"/>
  <c r="O109" i="88"/>
  <c r="N109" i="88"/>
  <c r="M109" i="88"/>
  <c r="L109" i="88"/>
  <c r="S108" i="88"/>
  <c r="Q99" i="9" s="1"/>
  <c r="K108" i="88"/>
  <c r="S107" i="88"/>
  <c r="Q98" i="9" s="1"/>
  <c r="K107" i="88"/>
  <c r="S106" i="88"/>
  <c r="K106" i="88"/>
  <c r="P97" i="9" s="1"/>
  <c r="S105" i="88"/>
  <c r="Q96" i="9" s="1"/>
  <c r="K105" i="88"/>
  <c r="S104" i="88"/>
  <c r="Q95" i="9" s="1"/>
  <c r="K104" i="88"/>
  <c r="S103" i="88"/>
  <c r="Q94" i="9" s="1"/>
  <c r="K103" i="88"/>
  <c r="S102" i="88"/>
  <c r="Q93" i="9" s="1"/>
  <c r="K102" i="88"/>
  <c r="S101" i="88"/>
  <c r="Q92" i="9" s="1"/>
  <c r="K101" i="88"/>
  <c r="S100" i="88"/>
  <c r="Q91" i="9" s="1"/>
  <c r="K100" i="88"/>
  <c r="S99" i="88"/>
  <c r="Q90" i="9" s="1"/>
  <c r="K99" i="88"/>
  <c r="S98" i="88"/>
  <c r="Q89" i="9" s="1"/>
  <c r="K98" i="88"/>
  <c r="Y95" i="88"/>
  <c r="X95" i="88"/>
  <c r="W95" i="88"/>
  <c r="V95" i="88"/>
  <c r="U95" i="88"/>
  <c r="T95" i="88"/>
  <c r="Q95" i="88"/>
  <c r="P95" i="88"/>
  <c r="O95" i="88"/>
  <c r="N95" i="88"/>
  <c r="M95" i="88"/>
  <c r="L95" i="88"/>
  <c r="S94" i="88"/>
  <c r="Q85" i="9" s="1"/>
  <c r="K94" i="88"/>
  <c r="S93" i="88"/>
  <c r="Q84" i="9" s="1"/>
  <c r="K93" i="88"/>
  <c r="S92" i="88"/>
  <c r="Q83" i="9" s="1"/>
  <c r="K92" i="88"/>
  <c r="Y89" i="88"/>
  <c r="X89" i="88"/>
  <c r="W89" i="88"/>
  <c r="V89" i="88"/>
  <c r="U89" i="88"/>
  <c r="T89" i="88"/>
  <c r="Q89" i="88"/>
  <c r="P89" i="88"/>
  <c r="O89" i="88"/>
  <c r="N89" i="88"/>
  <c r="M89" i="88"/>
  <c r="L89" i="88"/>
  <c r="S88" i="88"/>
  <c r="Q79" i="9" s="1"/>
  <c r="K88" i="88"/>
  <c r="S87" i="88"/>
  <c r="Q78" i="9" s="1"/>
  <c r="K87" i="88"/>
  <c r="S86" i="88"/>
  <c r="Q77" i="9" s="1"/>
  <c r="K86" i="88"/>
  <c r="S85" i="88"/>
  <c r="Q76" i="9" s="1"/>
  <c r="K85" i="88"/>
  <c r="S84" i="88"/>
  <c r="Q75" i="9" s="1"/>
  <c r="K84" i="88"/>
  <c r="S83" i="88"/>
  <c r="Q74" i="9" s="1"/>
  <c r="K83" i="88"/>
  <c r="S82" i="88"/>
  <c r="Q73" i="9" s="1"/>
  <c r="K82" i="88"/>
  <c r="S81" i="88"/>
  <c r="Q72" i="9" s="1"/>
  <c r="K81" i="88"/>
  <c r="Y78" i="88"/>
  <c r="X78" i="88"/>
  <c r="W78" i="88"/>
  <c r="V78" i="88"/>
  <c r="U78" i="88"/>
  <c r="T78" i="88"/>
  <c r="Q78" i="88"/>
  <c r="P78" i="88"/>
  <c r="O78" i="88"/>
  <c r="N78" i="88"/>
  <c r="M78" i="88"/>
  <c r="L78" i="88"/>
  <c r="S77" i="88"/>
  <c r="Q68" i="9" s="1"/>
  <c r="K77" i="88"/>
  <c r="S76" i="88"/>
  <c r="Q67" i="9" s="1"/>
  <c r="K76" i="88"/>
  <c r="S75" i="88"/>
  <c r="Q66" i="9" s="1"/>
  <c r="K75" i="88"/>
  <c r="S74" i="88"/>
  <c r="Q65" i="9" s="1"/>
  <c r="K74" i="88"/>
  <c r="S73" i="88"/>
  <c r="K73" i="88"/>
  <c r="P64" i="9" s="1"/>
  <c r="Y70" i="88"/>
  <c r="X70" i="88"/>
  <c r="W70" i="88"/>
  <c r="V70" i="88"/>
  <c r="U70" i="88"/>
  <c r="T70" i="88"/>
  <c r="Q70" i="88"/>
  <c r="P70" i="88"/>
  <c r="O70" i="88"/>
  <c r="N70" i="88"/>
  <c r="M70" i="88"/>
  <c r="L70" i="88"/>
  <c r="S69" i="88"/>
  <c r="Q60" i="9" s="1"/>
  <c r="K69" i="88"/>
  <c r="S68" i="88"/>
  <c r="Q59" i="9" s="1"/>
  <c r="K68" i="88"/>
  <c r="Y65" i="88"/>
  <c r="X65" i="88"/>
  <c r="W65" i="88"/>
  <c r="V65" i="88"/>
  <c r="U65" i="88"/>
  <c r="T65" i="88"/>
  <c r="Q65" i="88"/>
  <c r="P65" i="88"/>
  <c r="O65" i="88"/>
  <c r="N65" i="88"/>
  <c r="M65" i="88"/>
  <c r="L65" i="88"/>
  <c r="S64" i="88"/>
  <c r="Q55" i="9" s="1"/>
  <c r="K64" i="88"/>
  <c r="S63" i="88"/>
  <c r="Q54" i="9" s="1"/>
  <c r="K63" i="88"/>
  <c r="S62" i="88"/>
  <c r="Q53" i="9" s="1"/>
  <c r="K62" i="88"/>
  <c r="S61" i="88"/>
  <c r="Q52" i="9" s="1"/>
  <c r="K61" i="88"/>
  <c r="S60" i="88"/>
  <c r="Q51" i="9" s="1"/>
  <c r="K60" i="88"/>
  <c r="S59" i="88"/>
  <c r="Q50" i="9" s="1"/>
  <c r="K59" i="88"/>
  <c r="S58" i="88"/>
  <c r="Q49" i="9" s="1"/>
  <c r="K58" i="88"/>
  <c r="S57" i="88"/>
  <c r="Q48" i="9" s="1"/>
  <c r="K57" i="88"/>
  <c r="S56" i="88"/>
  <c r="Q47" i="9" s="1"/>
  <c r="K56" i="88"/>
  <c r="S55" i="88"/>
  <c r="Q46" i="9" s="1"/>
  <c r="K55" i="88"/>
  <c r="S54" i="88"/>
  <c r="Q45" i="9" s="1"/>
  <c r="K54" i="88"/>
  <c r="S53" i="88"/>
  <c r="Q44" i="9" s="1"/>
  <c r="K53" i="88"/>
  <c r="S52" i="88"/>
  <c r="Q43" i="9" s="1"/>
  <c r="K52" i="88"/>
  <c r="Y49" i="88"/>
  <c r="X49" i="88"/>
  <c r="W49" i="88"/>
  <c r="V49" i="88"/>
  <c r="U49" i="88"/>
  <c r="T49" i="88"/>
  <c r="Q49" i="88"/>
  <c r="P49" i="88"/>
  <c r="O49" i="88"/>
  <c r="N49" i="88"/>
  <c r="M49" i="88"/>
  <c r="L49" i="88"/>
  <c r="S48" i="88"/>
  <c r="Q39" i="9" s="1"/>
  <c r="K48" i="88"/>
  <c r="S47" i="88"/>
  <c r="Q38" i="9" s="1"/>
  <c r="K47" i="88"/>
  <c r="S46" i="88"/>
  <c r="Q37" i="9" s="1"/>
  <c r="K46" i="88"/>
  <c r="S45" i="88"/>
  <c r="Q36" i="9" s="1"/>
  <c r="K45" i="88"/>
  <c r="S44" i="88"/>
  <c r="Q35" i="9" s="1"/>
  <c r="K44" i="88"/>
  <c r="S43" i="88"/>
  <c r="Q34" i="9" s="1"/>
  <c r="K43" i="88"/>
  <c r="S42" i="88"/>
  <c r="Q33" i="9" s="1"/>
  <c r="K42" i="88"/>
  <c r="S41" i="88"/>
  <c r="Q32" i="9" s="1"/>
  <c r="K41" i="88"/>
  <c r="S40" i="88"/>
  <c r="Q31" i="9" s="1"/>
  <c r="K40" i="88"/>
  <c r="S39" i="88"/>
  <c r="Q30" i="9" s="1"/>
  <c r="K39" i="88"/>
  <c r="S38" i="88"/>
  <c r="Q29" i="9" s="1"/>
  <c r="K38" i="88"/>
  <c r="S37" i="88"/>
  <c r="Q28" i="9" s="1"/>
  <c r="K37" i="88"/>
  <c r="S36" i="88"/>
  <c r="Q27" i="9" s="1"/>
  <c r="K36" i="88"/>
  <c r="S35" i="88"/>
  <c r="Q26" i="9" s="1"/>
  <c r="K35" i="88"/>
  <c r="S34" i="88"/>
  <c r="K34" i="88"/>
  <c r="P25" i="9" s="1"/>
  <c r="S33" i="88"/>
  <c r="Q24" i="9" s="1"/>
  <c r="K33" i="88"/>
  <c r="Y30" i="88"/>
  <c r="X30" i="88"/>
  <c r="W30" i="88"/>
  <c r="V30" i="88"/>
  <c r="U30" i="88"/>
  <c r="T30" i="88"/>
  <c r="Q30" i="88"/>
  <c r="P30" i="88"/>
  <c r="O30" i="88"/>
  <c r="N30" i="88"/>
  <c r="M30" i="88"/>
  <c r="L30" i="88"/>
  <c r="S29" i="88"/>
  <c r="Q20" i="9" s="1"/>
  <c r="K29" i="88"/>
  <c r="S28" i="88"/>
  <c r="Q19" i="9" s="1"/>
  <c r="K28" i="88"/>
  <c r="S27" i="88"/>
  <c r="Q18" i="9" s="1"/>
  <c r="K27" i="88"/>
  <c r="S26" i="88"/>
  <c r="Q17" i="9" s="1"/>
  <c r="K26" i="88"/>
  <c r="S25" i="88"/>
  <c r="Q16" i="9" s="1"/>
  <c r="K25" i="88"/>
  <c r="S24" i="88"/>
  <c r="Q15" i="9" s="1"/>
  <c r="K24" i="88"/>
  <c r="C15" i="88"/>
  <c r="H57" i="13"/>
  <c r="H58" i="13" s="1"/>
  <c r="H53" i="13"/>
  <c r="H52" i="13"/>
  <c r="H51" i="13"/>
  <c r="H50" i="13"/>
  <c r="H46" i="13"/>
  <c r="H45" i="13"/>
  <c r="H43" i="13"/>
  <c r="H42" i="13"/>
  <c r="H38" i="13"/>
  <c r="H37" i="13"/>
  <c r="H36" i="13"/>
  <c r="H35" i="13"/>
  <c r="H34" i="13"/>
  <c r="H33" i="13"/>
  <c r="H32" i="13"/>
  <c r="H31" i="13"/>
  <c r="H27" i="13"/>
  <c r="H26" i="13"/>
  <c r="H25" i="13"/>
  <c r="H24" i="13"/>
  <c r="H23" i="13"/>
  <c r="H22" i="13"/>
  <c r="H21" i="13"/>
  <c r="H20" i="13"/>
  <c r="H16" i="13"/>
  <c r="H17" i="13" s="1"/>
  <c r="C10" i="13"/>
  <c r="G50" i="12"/>
  <c r="G26" i="12"/>
  <c r="C9" i="12"/>
  <c r="I111" i="11"/>
  <c r="K108" i="11"/>
  <c r="J108" i="11"/>
  <c r="K77" i="11"/>
  <c r="J77" i="11"/>
  <c r="K64" i="11"/>
  <c r="J64" i="11"/>
  <c r="J48" i="11"/>
  <c r="J29" i="11"/>
  <c r="C13" i="11"/>
  <c r="C9" i="10"/>
  <c r="Y120" i="87"/>
  <c r="X120" i="87"/>
  <c r="W120" i="87"/>
  <c r="V120" i="87"/>
  <c r="U120" i="87"/>
  <c r="T120" i="87"/>
  <c r="Q120" i="87"/>
  <c r="P120" i="87"/>
  <c r="O120" i="87"/>
  <c r="N120" i="87"/>
  <c r="M120" i="87"/>
  <c r="L120" i="87"/>
  <c r="S119" i="87"/>
  <c r="M110" i="9" s="1"/>
  <c r="K119" i="87"/>
  <c r="S118" i="87"/>
  <c r="M109" i="9" s="1"/>
  <c r="K118" i="87"/>
  <c r="S117" i="87"/>
  <c r="M108" i="9" s="1"/>
  <c r="K117" i="87"/>
  <c r="S116" i="87"/>
  <c r="M107" i="9" s="1"/>
  <c r="K116" i="87"/>
  <c r="S115" i="87"/>
  <c r="M106" i="9" s="1"/>
  <c r="K115" i="87"/>
  <c r="S114" i="87"/>
  <c r="M105" i="9" s="1"/>
  <c r="K114" i="87"/>
  <c r="S113" i="87"/>
  <c r="M104" i="9" s="1"/>
  <c r="K113" i="87"/>
  <c r="Y109" i="87"/>
  <c r="X109" i="87"/>
  <c r="W109" i="87"/>
  <c r="V109" i="87"/>
  <c r="U109" i="87"/>
  <c r="T109" i="87"/>
  <c r="Q109" i="87"/>
  <c r="P109" i="87"/>
  <c r="O109" i="87"/>
  <c r="N109" i="87"/>
  <c r="M109" i="87"/>
  <c r="L109" i="87"/>
  <c r="S108" i="87"/>
  <c r="M99" i="9" s="1"/>
  <c r="K108" i="87"/>
  <c r="S107" i="87"/>
  <c r="M98" i="9" s="1"/>
  <c r="K107" i="87"/>
  <c r="S106" i="87"/>
  <c r="M97" i="9" s="1"/>
  <c r="K106" i="87"/>
  <c r="S105" i="87"/>
  <c r="M96" i="9" s="1"/>
  <c r="K105" i="87"/>
  <c r="S104" i="87"/>
  <c r="M95" i="9" s="1"/>
  <c r="K104" i="87"/>
  <c r="S103" i="87"/>
  <c r="M94" i="9" s="1"/>
  <c r="K103" i="87"/>
  <c r="S102" i="87"/>
  <c r="M93" i="9" s="1"/>
  <c r="K102" i="87"/>
  <c r="S101" i="87"/>
  <c r="M92" i="9" s="1"/>
  <c r="K101" i="87"/>
  <c r="S100" i="87"/>
  <c r="M91" i="9" s="1"/>
  <c r="K100" i="87"/>
  <c r="S99" i="87"/>
  <c r="M90" i="9" s="1"/>
  <c r="K99" i="87"/>
  <c r="S98" i="87"/>
  <c r="M89" i="9" s="1"/>
  <c r="K98" i="87"/>
  <c r="Y95" i="87"/>
  <c r="X95" i="87"/>
  <c r="W95" i="87"/>
  <c r="V95" i="87"/>
  <c r="U95" i="87"/>
  <c r="T95" i="87"/>
  <c r="Q95" i="87"/>
  <c r="P95" i="87"/>
  <c r="O95" i="87"/>
  <c r="N95" i="87"/>
  <c r="M95" i="87"/>
  <c r="L95" i="87"/>
  <c r="S94" i="87"/>
  <c r="M85" i="9" s="1"/>
  <c r="K94" i="87"/>
  <c r="S93" i="87"/>
  <c r="M84" i="9" s="1"/>
  <c r="K93" i="87"/>
  <c r="S92" i="87"/>
  <c r="M83" i="9" s="1"/>
  <c r="K92" i="87"/>
  <c r="Y89" i="87"/>
  <c r="X89" i="87"/>
  <c r="W89" i="87"/>
  <c r="V89" i="87"/>
  <c r="U89" i="87"/>
  <c r="T89" i="87"/>
  <c r="Q89" i="87"/>
  <c r="P89" i="87"/>
  <c r="O89" i="87"/>
  <c r="N89" i="87"/>
  <c r="M89" i="87"/>
  <c r="L89" i="87"/>
  <c r="S88" i="87"/>
  <c r="M79" i="9" s="1"/>
  <c r="K88" i="87"/>
  <c r="S87" i="87"/>
  <c r="M78" i="9" s="1"/>
  <c r="K87" i="87"/>
  <c r="S86" i="87"/>
  <c r="M77" i="9" s="1"/>
  <c r="K86" i="87"/>
  <c r="S85" i="87"/>
  <c r="M76" i="9" s="1"/>
  <c r="K85" i="87"/>
  <c r="S84" i="87"/>
  <c r="M75" i="9" s="1"/>
  <c r="K84" i="87"/>
  <c r="S83" i="87"/>
  <c r="M74" i="9" s="1"/>
  <c r="K83" i="87"/>
  <c r="S82" i="87"/>
  <c r="M73" i="9" s="1"/>
  <c r="K82" i="87"/>
  <c r="S81" i="87"/>
  <c r="M72" i="9" s="1"/>
  <c r="K81" i="87"/>
  <c r="Y78" i="87"/>
  <c r="X78" i="87"/>
  <c r="W78" i="87"/>
  <c r="V78" i="87"/>
  <c r="U78" i="87"/>
  <c r="T78" i="87"/>
  <c r="Q78" i="87"/>
  <c r="P78" i="87"/>
  <c r="O78" i="87"/>
  <c r="N78" i="87"/>
  <c r="M78" i="87"/>
  <c r="L78" i="87"/>
  <c r="S77" i="87"/>
  <c r="M68" i="9" s="1"/>
  <c r="K77" i="87"/>
  <c r="S76" i="87"/>
  <c r="M67" i="9" s="1"/>
  <c r="K76" i="87"/>
  <c r="S75" i="87"/>
  <c r="M66" i="9" s="1"/>
  <c r="K75" i="87"/>
  <c r="S74" i="87"/>
  <c r="M65" i="9" s="1"/>
  <c r="K74" i="87"/>
  <c r="S73" i="87"/>
  <c r="M64" i="9" s="1"/>
  <c r="K73" i="87"/>
  <c r="Y70" i="87"/>
  <c r="X70" i="87"/>
  <c r="W70" i="87"/>
  <c r="V70" i="87"/>
  <c r="U70" i="87"/>
  <c r="T70" i="87"/>
  <c r="Q70" i="87"/>
  <c r="P70" i="87"/>
  <c r="O70" i="87"/>
  <c r="N70" i="87"/>
  <c r="M70" i="87"/>
  <c r="L70" i="87"/>
  <c r="S69" i="87"/>
  <c r="M60" i="9" s="1"/>
  <c r="K69" i="87"/>
  <c r="S68" i="87"/>
  <c r="M59" i="9" s="1"/>
  <c r="K68" i="87"/>
  <c r="Y65" i="87"/>
  <c r="X65" i="87"/>
  <c r="W65" i="87"/>
  <c r="V65" i="87"/>
  <c r="U65" i="87"/>
  <c r="T65" i="87"/>
  <c r="Q65" i="87"/>
  <c r="P65" i="87"/>
  <c r="O65" i="87"/>
  <c r="N65" i="87"/>
  <c r="M65" i="87"/>
  <c r="L65" i="87"/>
  <c r="S64" i="87"/>
  <c r="M55" i="9" s="1"/>
  <c r="K64" i="87"/>
  <c r="S63" i="87"/>
  <c r="M54" i="9" s="1"/>
  <c r="K63" i="87"/>
  <c r="S62" i="87"/>
  <c r="M53" i="9" s="1"/>
  <c r="K62" i="87"/>
  <c r="S61" i="87"/>
  <c r="M52" i="9" s="1"/>
  <c r="K61" i="87"/>
  <c r="S60" i="87"/>
  <c r="M51" i="9" s="1"/>
  <c r="K60" i="87"/>
  <c r="S59" i="87"/>
  <c r="M50" i="9" s="1"/>
  <c r="K59" i="87"/>
  <c r="S58" i="87"/>
  <c r="M49" i="9" s="1"/>
  <c r="K58" i="87"/>
  <c r="S57" i="87"/>
  <c r="M48" i="9" s="1"/>
  <c r="K57" i="87"/>
  <c r="S56" i="87"/>
  <c r="M47" i="9" s="1"/>
  <c r="K56" i="87"/>
  <c r="S55" i="87"/>
  <c r="M46" i="9" s="1"/>
  <c r="K55" i="87"/>
  <c r="S54" i="87"/>
  <c r="M45" i="9" s="1"/>
  <c r="K54" i="87"/>
  <c r="S53" i="87"/>
  <c r="M44" i="9" s="1"/>
  <c r="K53" i="87"/>
  <c r="S52" i="87"/>
  <c r="M43" i="9" s="1"/>
  <c r="K52" i="87"/>
  <c r="Y49" i="87"/>
  <c r="X49" i="87"/>
  <c r="W49" i="87"/>
  <c r="V49" i="87"/>
  <c r="U49" i="87"/>
  <c r="T49" i="87"/>
  <c r="Q49" i="87"/>
  <c r="P49" i="87"/>
  <c r="O49" i="87"/>
  <c r="N49" i="87"/>
  <c r="M49" i="87"/>
  <c r="L49" i="87"/>
  <c r="S48" i="87"/>
  <c r="M39" i="9" s="1"/>
  <c r="K48" i="87"/>
  <c r="S47" i="87"/>
  <c r="M38" i="9" s="1"/>
  <c r="K47" i="87"/>
  <c r="S46" i="87"/>
  <c r="M37" i="9" s="1"/>
  <c r="K46" i="87"/>
  <c r="S45" i="87"/>
  <c r="M36" i="9" s="1"/>
  <c r="K45" i="87"/>
  <c r="S44" i="87"/>
  <c r="M35" i="9" s="1"/>
  <c r="K44" i="87"/>
  <c r="S43" i="87"/>
  <c r="M34" i="9" s="1"/>
  <c r="K43" i="87"/>
  <c r="S42" i="87"/>
  <c r="M33" i="9" s="1"/>
  <c r="K42" i="87"/>
  <c r="S41" i="87"/>
  <c r="M32" i="9" s="1"/>
  <c r="K41" i="87"/>
  <c r="S40" i="87"/>
  <c r="M31" i="9" s="1"/>
  <c r="K40" i="87"/>
  <c r="S39" i="87"/>
  <c r="M30" i="9" s="1"/>
  <c r="K39" i="87"/>
  <c r="S38" i="87"/>
  <c r="M29" i="9" s="1"/>
  <c r="K38" i="87"/>
  <c r="S37" i="87"/>
  <c r="M28" i="9" s="1"/>
  <c r="K37" i="87"/>
  <c r="S36" i="87"/>
  <c r="M27" i="9" s="1"/>
  <c r="K36" i="87"/>
  <c r="S35" i="87"/>
  <c r="M26" i="9" s="1"/>
  <c r="K35" i="87"/>
  <c r="S34" i="87"/>
  <c r="M25" i="9" s="1"/>
  <c r="K34" i="87"/>
  <c r="S33" i="87"/>
  <c r="M24" i="9" s="1"/>
  <c r="K33" i="87"/>
  <c r="Y30" i="87"/>
  <c r="X30" i="87"/>
  <c r="W30" i="87"/>
  <c r="V30" i="87"/>
  <c r="U30" i="87"/>
  <c r="T30" i="87"/>
  <c r="Q30" i="87"/>
  <c r="P30" i="87"/>
  <c r="O30" i="87"/>
  <c r="N30" i="87"/>
  <c r="M30" i="87"/>
  <c r="L30" i="87"/>
  <c r="S29" i="87"/>
  <c r="M20" i="9" s="1"/>
  <c r="K29" i="87"/>
  <c r="S28" i="87"/>
  <c r="M19" i="9" s="1"/>
  <c r="K28" i="87"/>
  <c r="S27" i="87"/>
  <c r="M18" i="9" s="1"/>
  <c r="K27" i="87"/>
  <c r="S26" i="87"/>
  <c r="M17" i="9" s="1"/>
  <c r="K26" i="87"/>
  <c r="S25" i="87"/>
  <c r="M16" i="9" s="1"/>
  <c r="K25" i="87"/>
  <c r="S24" i="87"/>
  <c r="M15" i="9" s="1"/>
  <c r="K24" i="87"/>
  <c r="C17" i="87"/>
  <c r="C15" i="87"/>
  <c r="O11" i="9"/>
  <c r="K11" i="9"/>
  <c r="C9" i="9"/>
  <c r="C14" i="8"/>
  <c r="E25" i="7"/>
  <c r="F24" i="7"/>
  <c r="F23" i="7"/>
  <c r="F22" i="7"/>
  <c r="F21" i="7"/>
  <c r="F20" i="7"/>
  <c r="F19" i="7"/>
  <c r="F18" i="7"/>
  <c r="F17" i="7"/>
  <c r="F16" i="7"/>
  <c r="F15" i="7"/>
  <c r="F14" i="7"/>
  <c r="F13" i="7"/>
  <c r="F12" i="7"/>
  <c r="F11" i="7"/>
  <c r="F10" i="7"/>
  <c r="F9" i="7"/>
  <c r="C5" i="7"/>
  <c r="G36" i="6"/>
  <c r="C29" i="6"/>
  <c r="G28" i="6"/>
  <c r="C21" i="6"/>
  <c r="C18" i="6"/>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c r="I122" i="38" a="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a="1"/>
  <c r="I114" i="38" s="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c r="I88" i="38" a="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c r="I67" i="38" a="1"/>
  <c r="K66" i="38"/>
  <c r="I66" i="38" a="1"/>
  <c r="I66" i="38" s="1"/>
  <c r="I65" i="38"/>
  <c r="I65" i="38" a="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F18" i="38"/>
  <c r="N33" i="4"/>
  <c r="J33" i="4"/>
  <c r="I33" i="4"/>
  <c r="H33" i="4"/>
  <c r="G33" i="4"/>
  <c r="F33" i="4"/>
  <c r="E33" i="4"/>
  <c r="K32" i="4"/>
  <c r="O32" i="4" s="1"/>
  <c r="C32" i="4"/>
  <c r="K31" i="4"/>
  <c r="O31" i="4" s="1"/>
  <c r="C31" i="4"/>
  <c r="K30" i="4"/>
  <c r="O30" i="4" s="1"/>
  <c r="C30" i="4"/>
  <c r="K29" i="4"/>
  <c r="O29" i="4" s="1"/>
  <c r="C29" i="4"/>
  <c r="K28" i="4"/>
  <c r="C28" i="4"/>
  <c r="C27" i="4"/>
  <c r="N26" i="4"/>
  <c r="J26" i="4"/>
  <c r="I26" i="4"/>
  <c r="H26" i="4"/>
  <c r="G26" i="4"/>
  <c r="F26" i="4"/>
  <c r="E26" i="4"/>
  <c r="K25" i="4"/>
  <c r="O25" i="4" s="1"/>
  <c r="C25" i="4"/>
  <c r="K24" i="4"/>
  <c r="O24" i="4" s="1"/>
  <c r="C24" i="4"/>
  <c r="K23" i="4"/>
  <c r="O23" i="4" s="1"/>
  <c r="C23" i="4"/>
  <c r="K22" i="4"/>
  <c r="O22" i="4" s="1"/>
  <c r="C22" i="4"/>
  <c r="K21" i="4"/>
  <c r="C21" i="4"/>
  <c r="C20" i="4"/>
  <c r="C15" i="4"/>
  <c r="K21" i="3"/>
  <c r="J21" i="3"/>
  <c r="I21" i="3"/>
  <c r="G49" i="91" s="1"/>
  <c r="L20" i="3"/>
  <c r="L19" i="3"/>
  <c r="L18" i="3"/>
  <c r="L17" i="3"/>
  <c r="L16" i="3"/>
  <c r="C15" i="3"/>
  <c r="K14" i="3"/>
  <c r="J14" i="3"/>
  <c r="I14" i="3"/>
  <c r="L13" i="3"/>
  <c r="L12" i="3"/>
  <c r="L11" i="3"/>
  <c r="L10" i="3"/>
  <c r="L9" i="3"/>
  <c r="C8" i="3"/>
  <c r="C5" i="3"/>
  <c r="N5" i="51"/>
  <c r="M5" i="51"/>
  <c r="K5" i="51"/>
  <c r="CR2" i="51"/>
  <c r="CQ2" i="51"/>
  <c r="CP2" i="51"/>
  <c r="CK2" i="51"/>
  <c r="CJ2" i="51"/>
  <c r="CI2" i="51"/>
  <c r="CH2" i="51"/>
  <c r="CG2" i="51"/>
  <c r="CF2" i="51"/>
  <c r="CB2" i="51"/>
  <c r="BZ2" i="51"/>
  <c r="BX2" i="51"/>
  <c r="BW2" i="51"/>
  <c r="BV2" i="51"/>
  <c r="BU2" i="51"/>
  <c r="BT2" i="51"/>
  <c r="BR2" i="51"/>
  <c r="BQ2" i="51"/>
  <c r="BP2" i="51"/>
  <c r="BO2" i="51" s="1"/>
  <c r="BH2" i="51"/>
  <c r="BG2" i="51"/>
  <c r="AV2" i="51"/>
  <c r="AU2" i="51"/>
  <c r="AT2" i="51"/>
  <c r="J2" i="51"/>
  <c r="I2" i="51"/>
  <c r="H2" i="51"/>
  <c r="G2" i="51"/>
  <c r="F2" i="51"/>
  <c r="E2" i="51"/>
  <c r="D2" i="51"/>
  <c r="C2" i="51"/>
  <c r="B2" i="51"/>
  <c r="A2" i="51"/>
  <c r="G16" i="37"/>
  <c r="G10" i="37"/>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F23" i="40"/>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V60" i="100" l="1"/>
  <c r="Y53" i="100"/>
  <c r="M61" i="9"/>
  <c r="J37" i="99"/>
  <c r="N37" i="99"/>
  <c r="V37" i="99"/>
  <c r="K42" i="99"/>
  <c r="O42" i="99"/>
  <c r="I77" i="99"/>
  <c r="V60" i="15"/>
  <c r="Q80" i="9"/>
  <c r="I21" i="99"/>
  <c r="H37" i="99"/>
  <c r="L37" i="99"/>
  <c r="P37" i="99"/>
  <c r="T37" i="99"/>
  <c r="I42" i="99"/>
  <c r="M42" i="99"/>
  <c r="Q42" i="99"/>
  <c r="U42" i="99"/>
  <c r="I67" i="99"/>
  <c r="S42" i="99"/>
  <c r="I73" i="99"/>
  <c r="R37" i="99"/>
  <c r="L16" i="9"/>
  <c r="J25" i="87"/>
  <c r="L18" i="9"/>
  <c r="K18" i="9" s="1"/>
  <c r="J27" i="87"/>
  <c r="L20" i="9"/>
  <c r="J29" i="87"/>
  <c r="L44" i="9"/>
  <c r="K44" i="9" s="1"/>
  <c r="J53" i="87"/>
  <c r="L46" i="9"/>
  <c r="K46" i="9" s="1"/>
  <c r="J55" i="87"/>
  <c r="L48" i="9"/>
  <c r="K48" i="9" s="1"/>
  <c r="J57" i="87"/>
  <c r="L50" i="9"/>
  <c r="J59" i="87"/>
  <c r="L52" i="9"/>
  <c r="K52" i="9" s="1"/>
  <c r="J61" i="87"/>
  <c r="L54" i="9"/>
  <c r="K54" i="9" s="1"/>
  <c r="J63" i="87"/>
  <c r="L65" i="9"/>
  <c r="J74" i="87"/>
  <c r="L67" i="9"/>
  <c r="J76" i="87"/>
  <c r="L84" i="9"/>
  <c r="J93" i="87"/>
  <c r="L104" i="9"/>
  <c r="J113" i="87"/>
  <c r="L106" i="9"/>
  <c r="K106" i="9" s="1"/>
  <c r="J115" i="87"/>
  <c r="L108" i="9"/>
  <c r="J117" i="87"/>
  <c r="L110" i="9"/>
  <c r="K110" i="9" s="1"/>
  <c r="J119" i="87"/>
  <c r="P16" i="9"/>
  <c r="J25" i="88"/>
  <c r="P18" i="9"/>
  <c r="O18" i="9" s="1"/>
  <c r="J27" i="88"/>
  <c r="P20" i="9"/>
  <c r="O20" i="9" s="1"/>
  <c r="J29" i="88"/>
  <c r="P30" i="9"/>
  <c r="O30" i="9" s="1"/>
  <c r="J39" i="88"/>
  <c r="P32" i="9"/>
  <c r="J41" i="88"/>
  <c r="P34" i="9"/>
  <c r="O34" i="9" s="1"/>
  <c r="J43" i="88"/>
  <c r="P36" i="9"/>
  <c r="J45" i="88"/>
  <c r="P38" i="9"/>
  <c r="O38" i="9" s="1"/>
  <c r="J47" i="88"/>
  <c r="P43" i="9"/>
  <c r="J52" i="88"/>
  <c r="P45" i="9"/>
  <c r="J54" i="88"/>
  <c r="P47" i="9"/>
  <c r="J56" i="88"/>
  <c r="P49" i="9"/>
  <c r="O49" i="9" s="1"/>
  <c r="J58" i="88"/>
  <c r="P51" i="9"/>
  <c r="J60" i="88"/>
  <c r="P53" i="9"/>
  <c r="O53" i="9" s="1"/>
  <c r="J62" i="88"/>
  <c r="P55" i="9"/>
  <c r="O55" i="9" s="1"/>
  <c r="J64" i="88"/>
  <c r="P66" i="9"/>
  <c r="O66" i="9" s="1"/>
  <c r="J75" i="88"/>
  <c r="P68" i="9"/>
  <c r="J77" i="88"/>
  <c r="P73" i="9"/>
  <c r="O73" i="9" s="1"/>
  <c r="J82" i="88"/>
  <c r="P75" i="9"/>
  <c r="O75" i="9" s="1"/>
  <c r="J84" i="88"/>
  <c r="P77" i="9"/>
  <c r="O77" i="9" s="1"/>
  <c r="J86" i="88"/>
  <c r="P79" i="9"/>
  <c r="O79" i="9" s="1"/>
  <c r="J88" i="88"/>
  <c r="P90" i="9"/>
  <c r="J99" i="88"/>
  <c r="P92" i="9"/>
  <c r="O92" i="9" s="1"/>
  <c r="J101" i="88"/>
  <c r="P94" i="9"/>
  <c r="O94" i="9" s="1"/>
  <c r="J103" i="88"/>
  <c r="P96" i="9"/>
  <c r="O96" i="9" s="1"/>
  <c r="J105" i="88"/>
  <c r="P98" i="9"/>
  <c r="J107" i="88"/>
  <c r="P104" i="9"/>
  <c r="J113" i="88"/>
  <c r="P106" i="9"/>
  <c r="O106" i="9" s="1"/>
  <c r="J115" i="88"/>
  <c r="P108" i="9"/>
  <c r="J117" i="88"/>
  <c r="P110" i="9"/>
  <c r="O110" i="9" s="1"/>
  <c r="J119" i="88"/>
  <c r="K37" i="99"/>
  <c r="O37" i="99"/>
  <c r="S37" i="99"/>
  <c r="H42" i="99"/>
  <c r="L42" i="99"/>
  <c r="P42" i="99"/>
  <c r="T42" i="99"/>
  <c r="L27" i="9"/>
  <c r="J36" i="87"/>
  <c r="L32" i="9"/>
  <c r="J41" i="87"/>
  <c r="J32" i="9" s="1"/>
  <c r="L34" i="9"/>
  <c r="J43" i="87"/>
  <c r="J34" i="9" s="1"/>
  <c r="L38" i="9"/>
  <c r="K38" i="9" s="1"/>
  <c r="J47" i="87"/>
  <c r="L74" i="9"/>
  <c r="J83" i="87"/>
  <c r="L78" i="9"/>
  <c r="J87" i="87"/>
  <c r="L95" i="9"/>
  <c r="K95" i="9" s="1"/>
  <c r="J104" i="87"/>
  <c r="L15" i="9"/>
  <c r="J24" i="87"/>
  <c r="L17" i="9"/>
  <c r="J26" i="87"/>
  <c r="L19" i="9"/>
  <c r="J28" i="87"/>
  <c r="L29" i="9"/>
  <c r="J38" i="87"/>
  <c r="L43" i="9"/>
  <c r="J52" i="87"/>
  <c r="L45" i="9"/>
  <c r="J54" i="87"/>
  <c r="J45" i="9" s="1"/>
  <c r="L47" i="9"/>
  <c r="J56" i="87"/>
  <c r="J47" i="9" s="1"/>
  <c r="L49" i="9"/>
  <c r="J58" i="87"/>
  <c r="L51" i="9"/>
  <c r="J60" i="87"/>
  <c r="L53" i="9"/>
  <c r="J62" i="87"/>
  <c r="J53" i="9" s="1"/>
  <c r="L55" i="9"/>
  <c r="J64" i="87"/>
  <c r="L64" i="9"/>
  <c r="J73" i="87"/>
  <c r="L66" i="9"/>
  <c r="J75" i="87"/>
  <c r="J66" i="9" s="1"/>
  <c r="L68" i="9"/>
  <c r="J77" i="87"/>
  <c r="J68" i="9" s="1"/>
  <c r="L83" i="9"/>
  <c r="J92" i="87"/>
  <c r="L85" i="9"/>
  <c r="J94" i="87"/>
  <c r="L105" i="9"/>
  <c r="J114" i="87"/>
  <c r="L107" i="9"/>
  <c r="J116" i="87"/>
  <c r="L109" i="9"/>
  <c r="K109" i="9" s="1"/>
  <c r="J118" i="87"/>
  <c r="P15" i="9"/>
  <c r="O15" i="9" s="1"/>
  <c r="J24" i="88"/>
  <c r="P17" i="9"/>
  <c r="J26" i="88"/>
  <c r="P19" i="9"/>
  <c r="J28" i="88"/>
  <c r="P31" i="9"/>
  <c r="O31" i="9" s="1"/>
  <c r="J40" i="88"/>
  <c r="P33" i="9"/>
  <c r="J42" i="88"/>
  <c r="P35" i="9"/>
  <c r="J44" i="88"/>
  <c r="P37" i="9"/>
  <c r="J46" i="88"/>
  <c r="P39" i="9"/>
  <c r="O39" i="9" s="1"/>
  <c r="J48" i="88"/>
  <c r="P44" i="9"/>
  <c r="J53" i="88"/>
  <c r="P46" i="9"/>
  <c r="O46" i="9" s="1"/>
  <c r="J55" i="88"/>
  <c r="P48" i="9"/>
  <c r="J57" i="88"/>
  <c r="P50" i="9"/>
  <c r="O50" i="9" s="1"/>
  <c r="J59" i="88"/>
  <c r="P52" i="9"/>
  <c r="J61" i="88"/>
  <c r="P54" i="9"/>
  <c r="O54" i="9" s="1"/>
  <c r="J63" i="88"/>
  <c r="P65" i="9"/>
  <c r="O65" i="9" s="1"/>
  <c r="J74" i="88"/>
  <c r="P67" i="9"/>
  <c r="O67" i="9" s="1"/>
  <c r="J76" i="88"/>
  <c r="P72" i="9"/>
  <c r="J81" i="88"/>
  <c r="P74" i="9"/>
  <c r="O74" i="9" s="1"/>
  <c r="J83" i="88"/>
  <c r="P76" i="9"/>
  <c r="J85" i="88"/>
  <c r="P78" i="9"/>
  <c r="O78" i="9" s="1"/>
  <c r="J87" i="88"/>
  <c r="P89" i="9"/>
  <c r="J98" i="88"/>
  <c r="P91" i="9"/>
  <c r="J100" i="88"/>
  <c r="P93" i="9"/>
  <c r="J102" i="88"/>
  <c r="P95" i="9"/>
  <c r="O95" i="9" s="1"/>
  <c r="J104" i="88"/>
  <c r="P99" i="9"/>
  <c r="J108" i="88"/>
  <c r="P105" i="9"/>
  <c r="J114" i="88"/>
  <c r="P107" i="9"/>
  <c r="J116" i="88"/>
  <c r="P109" i="9"/>
  <c r="O109" i="9" s="1"/>
  <c r="J118" i="88"/>
  <c r="I55" i="99"/>
  <c r="V62" i="100"/>
  <c r="L25" i="9"/>
  <c r="K25" i="9" s="1"/>
  <c r="J34" i="87"/>
  <c r="L30" i="9"/>
  <c r="J39" i="87"/>
  <c r="L36" i="9"/>
  <c r="K36" i="9" s="1"/>
  <c r="J45" i="87"/>
  <c r="J36" i="9" s="1"/>
  <c r="L59" i="9"/>
  <c r="J68" i="87"/>
  <c r="L72" i="9"/>
  <c r="J81" i="87"/>
  <c r="L76" i="9"/>
  <c r="J85" i="87"/>
  <c r="J76" i="9" s="1"/>
  <c r="L89" i="9"/>
  <c r="J98" i="87"/>
  <c r="L91" i="9"/>
  <c r="K91" i="9" s="1"/>
  <c r="J100" i="87"/>
  <c r="J91" i="9" s="1"/>
  <c r="L93" i="9"/>
  <c r="K93" i="9" s="1"/>
  <c r="J102" i="87"/>
  <c r="J93" i="9" s="1"/>
  <c r="L97" i="9"/>
  <c r="J106" i="87"/>
  <c r="L99" i="9"/>
  <c r="K99" i="9" s="1"/>
  <c r="J108" i="87"/>
  <c r="J99" i="9" s="1"/>
  <c r="P27" i="9"/>
  <c r="J36" i="88"/>
  <c r="P29" i="9"/>
  <c r="J38" i="88"/>
  <c r="P60" i="9"/>
  <c r="J69" i="88"/>
  <c r="P84" i="9"/>
  <c r="O84" i="9" s="1"/>
  <c r="J93" i="88"/>
  <c r="L24" i="9"/>
  <c r="J33" i="87"/>
  <c r="L26" i="9"/>
  <c r="K26" i="9" s="1"/>
  <c r="J35" i="87"/>
  <c r="L28" i="9"/>
  <c r="J37" i="87"/>
  <c r="L31" i="9"/>
  <c r="K31" i="9" s="1"/>
  <c r="J40" i="87"/>
  <c r="J31" i="9" s="1"/>
  <c r="L33" i="9"/>
  <c r="J42" i="87"/>
  <c r="J33" i="9" s="1"/>
  <c r="L35" i="9"/>
  <c r="K35" i="9" s="1"/>
  <c r="J44" i="87"/>
  <c r="J35" i="9" s="1"/>
  <c r="L37" i="9"/>
  <c r="J46" i="87"/>
  <c r="J37" i="9" s="1"/>
  <c r="L39" i="9"/>
  <c r="K39" i="9" s="1"/>
  <c r="J48" i="87"/>
  <c r="J39" i="9" s="1"/>
  <c r="L60" i="9"/>
  <c r="J69" i="87"/>
  <c r="J60" i="9" s="1"/>
  <c r="L73" i="9"/>
  <c r="K73" i="9" s="1"/>
  <c r="J82" i="87"/>
  <c r="J73" i="9" s="1"/>
  <c r="L75" i="9"/>
  <c r="J84" i="87"/>
  <c r="L77" i="9"/>
  <c r="J86" i="87"/>
  <c r="J77" i="9" s="1"/>
  <c r="L79" i="9"/>
  <c r="J88" i="87"/>
  <c r="J79" i="9" s="1"/>
  <c r="M86" i="9"/>
  <c r="L90" i="9"/>
  <c r="J99" i="87"/>
  <c r="J90" i="9" s="1"/>
  <c r="L92" i="9"/>
  <c r="J101" i="87"/>
  <c r="J92" i="9" s="1"/>
  <c r="L94" i="9"/>
  <c r="J103" i="87"/>
  <c r="J94" i="9" s="1"/>
  <c r="L96" i="9"/>
  <c r="J105" i="87"/>
  <c r="J96" i="9" s="1"/>
  <c r="L98" i="9"/>
  <c r="J107" i="87"/>
  <c r="J98" i="9" s="1"/>
  <c r="P24" i="9"/>
  <c r="J33" i="88"/>
  <c r="P26" i="9"/>
  <c r="O26" i="9" s="1"/>
  <c r="J35" i="88"/>
  <c r="P28" i="9"/>
  <c r="J37" i="88"/>
  <c r="P59" i="9"/>
  <c r="J68" i="88"/>
  <c r="J70" i="88" s="1"/>
  <c r="P83" i="9"/>
  <c r="P86" i="9" s="1"/>
  <c r="J92" i="88"/>
  <c r="J95" i="88" s="1"/>
  <c r="P85" i="9"/>
  <c r="J94" i="88"/>
  <c r="O62" i="15"/>
  <c r="E61" i="49"/>
  <c r="Q97" i="9"/>
  <c r="Q100" i="9" s="1"/>
  <c r="J106" i="88"/>
  <c r="Q64" i="9"/>
  <c r="Q69" i="9" s="1"/>
  <c r="J73" i="88"/>
  <c r="Q25" i="9"/>
  <c r="Q40" i="9" s="1"/>
  <c r="J34" i="88"/>
  <c r="O29" i="9"/>
  <c r="O104" i="9"/>
  <c r="O108" i="9"/>
  <c r="O107" i="9"/>
  <c r="Q86" i="9"/>
  <c r="O85" i="9"/>
  <c r="O72" i="9"/>
  <c r="O68" i="9"/>
  <c r="O59" i="9"/>
  <c r="O44" i="9"/>
  <c r="O48" i="9"/>
  <c r="O52" i="9"/>
  <c r="Q56" i="9"/>
  <c r="O47" i="9"/>
  <c r="O51" i="9"/>
  <c r="O25" i="9"/>
  <c r="O27" i="9"/>
  <c r="O32" i="9"/>
  <c r="Q21" i="9"/>
  <c r="O17" i="9"/>
  <c r="O19" i="9"/>
  <c r="O98" i="9"/>
  <c r="O60" i="9"/>
  <c r="O61" i="9" s="1"/>
  <c r="O24" i="9"/>
  <c r="O28" i="9"/>
  <c r="O33" i="9"/>
  <c r="O35" i="9"/>
  <c r="O37" i="9"/>
  <c r="M69" i="9"/>
  <c r="K50" i="9"/>
  <c r="K104" i="9"/>
  <c r="K108" i="9"/>
  <c r="K105" i="9"/>
  <c r="K107" i="9"/>
  <c r="M100" i="9"/>
  <c r="K89" i="9"/>
  <c r="K97" i="9"/>
  <c r="K84" i="9"/>
  <c r="BL2" i="51" s="1"/>
  <c r="K83" i="9"/>
  <c r="BJ2" i="51" s="1"/>
  <c r="K85" i="9"/>
  <c r="K74" i="9"/>
  <c r="K76" i="9"/>
  <c r="K78" i="9"/>
  <c r="K67" i="9"/>
  <c r="K64" i="9"/>
  <c r="K66" i="9"/>
  <c r="K68" i="9"/>
  <c r="K59" i="9"/>
  <c r="K27" i="9"/>
  <c r="K30" i="9"/>
  <c r="K32" i="9"/>
  <c r="K34" i="9"/>
  <c r="M40" i="9"/>
  <c r="K16" i="9"/>
  <c r="K20" i="9"/>
  <c r="M21" i="9"/>
  <c r="L86" i="9"/>
  <c r="I34" i="4"/>
  <c r="K26" i="4"/>
  <c r="O36" i="9"/>
  <c r="O91" i="9"/>
  <c r="J34" i="4"/>
  <c r="K17" i="9"/>
  <c r="K19" i="9"/>
  <c r="K29" i="9"/>
  <c r="K45" i="9"/>
  <c r="K47" i="9"/>
  <c r="K49" i="9"/>
  <c r="K51" i="9"/>
  <c r="G34" i="4"/>
  <c r="N34" i="4"/>
  <c r="F23" i="95"/>
  <c r="H27" i="97" s="1"/>
  <c r="I27" i="97" s="1"/>
  <c r="J27" i="97" s="1"/>
  <c r="K27" i="97" s="1"/>
  <c r="L27" i="97" s="1"/>
  <c r="M27" i="97" s="1"/>
  <c r="N27" i="97" s="1"/>
  <c r="O27" i="97" s="1"/>
  <c r="P27" i="97" s="1"/>
  <c r="Q27" i="97" s="1"/>
  <c r="R27" i="97" s="1"/>
  <c r="S27" i="97" s="1"/>
  <c r="T27" i="97" s="1"/>
  <c r="U27" i="97" s="1"/>
  <c r="V27" i="97" s="1"/>
  <c r="F41" i="95"/>
  <c r="Q61" i="9"/>
  <c r="N123" i="88"/>
  <c r="T123" i="88"/>
  <c r="X123" i="88"/>
  <c r="O76" i="9"/>
  <c r="O93" i="9"/>
  <c r="O99" i="9"/>
  <c r="J120" i="90"/>
  <c r="F18" i="91" s="1"/>
  <c r="F23" i="91" s="1"/>
  <c r="F25" i="91" s="1"/>
  <c r="F28" i="91" s="1"/>
  <c r="F30" i="91" s="1"/>
  <c r="F32" i="91" s="1"/>
  <c r="O16" i="9"/>
  <c r="M80" i="9"/>
  <c r="O27" i="16"/>
  <c r="J74" i="20"/>
  <c r="J55" i="99" s="1"/>
  <c r="L123" i="87"/>
  <c r="P123" i="87"/>
  <c r="V123" i="87"/>
  <c r="K28" i="9"/>
  <c r="K33" i="9"/>
  <c r="K37" i="9"/>
  <c r="M56" i="9"/>
  <c r="K53" i="9"/>
  <c r="K55" i="9"/>
  <c r="L61" i="9"/>
  <c r="K75" i="9"/>
  <c r="K77" i="9"/>
  <c r="K79" i="9"/>
  <c r="K92" i="9"/>
  <c r="K94" i="9"/>
  <c r="K96" i="9"/>
  <c r="K98" i="9"/>
  <c r="M111" i="9"/>
  <c r="F24" i="85"/>
  <c r="J86" i="20"/>
  <c r="K86" i="20" s="1"/>
  <c r="H34" i="4"/>
  <c r="F56" i="84"/>
  <c r="F34" i="4"/>
  <c r="J84" i="20"/>
  <c r="J65" i="99" s="1"/>
  <c r="I71" i="99"/>
  <c r="I69" i="99"/>
  <c r="I63" i="99"/>
  <c r="J63" i="99"/>
  <c r="I20" i="99"/>
  <c r="E34" i="4"/>
  <c r="G45" i="16" s="1"/>
  <c r="F25" i="7"/>
  <c r="K24" i="9"/>
  <c r="O43" i="9"/>
  <c r="K60" i="9"/>
  <c r="K61" i="9" s="1"/>
  <c r="O64" i="9"/>
  <c r="O83" i="9"/>
  <c r="K90" i="9"/>
  <c r="O105" i="9"/>
  <c r="O111" i="9" s="1"/>
  <c r="N123" i="87"/>
  <c r="T123" i="87"/>
  <c r="X123" i="87"/>
  <c r="L123" i="88"/>
  <c r="P123" i="88"/>
  <c r="V123" i="88"/>
  <c r="K120" i="90"/>
  <c r="G18" i="91" s="1"/>
  <c r="G23" i="91" s="1"/>
  <c r="G25" i="91" s="1"/>
  <c r="G28" i="91" s="1"/>
  <c r="G30" i="91" s="1"/>
  <c r="G32" i="91" s="1"/>
  <c r="H28" i="92"/>
  <c r="H39" i="92"/>
  <c r="H47" i="92"/>
  <c r="H54" i="92"/>
  <c r="F24" i="84"/>
  <c r="F37" i="85"/>
  <c r="G62" i="15"/>
  <c r="K62" i="15"/>
  <c r="P61" i="9"/>
  <c r="O123" i="87"/>
  <c r="U123" i="87"/>
  <c r="Y123" i="87"/>
  <c r="J120" i="11"/>
  <c r="F18" i="12" s="1"/>
  <c r="F23" i="12" s="1"/>
  <c r="F25" i="12" s="1"/>
  <c r="F28" i="12" s="1"/>
  <c r="F30" i="12" s="1"/>
  <c r="F32" i="12" s="1"/>
  <c r="H28" i="13"/>
  <c r="H39" i="13"/>
  <c r="H47" i="13"/>
  <c r="H54" i="13"/>
  <c r="M123" i="88"/>
  <c r="Q123" i="88"/>
  <c r="W123" i="88"/>
  <c r="O31" i="16"/>
  <c r="O39" i="16"/>
  <c r="O42" i="16"/>
  <c r="K22" i="36"/>
  <c r="L22" i="36" s="1"/>
  <c r="J75" i="20"/>
  <c r="J56" i="99" s="1"/>
  <c r="I59" i="99"/>
  <c r="J80" i="20"/>
  <c r="J61" i="99" s="1"/>
  <c r="K82" i="20"/>
  <c r="K20" i="96"/>
  <c r="L20" i="96" s="1"/>
  <c r="N20" i="96" s="1"/>
  <c r="F41" i="17"/>
  <c r="N57" i="36" s="1"/>
  <c r="L18" i="36"/>
  <c r="N18" i="36" s="1"/>
  <c r="L26" i="36"/>
  <c r="K41" i="36"/>
  <c r="L41" i="36" s="1"/>
  <c r="J31" i="20"/>
  <c r="J21" i="99" s="1"/>
  <c r="I57" i="99"/>
  <c r="J78" i="20"/>
  <c r="J59" i="99" s="1"/>
  <c r="J92" i="20"/>
  <c r="J73" i="99" s="1"/>
  <c r="I82" i="99"/>
  <c r="L19" i="96"/>
  <c r="N19" i="96" s="1"/>
  <c r="K23" i="96"/>
  <c r="L23" i="96" s="1"/>
  <c r="K43" i="9"/>
  <c r="O89" i="9"/>
  <c r="M123" i="87"/>
  <c r="Q123" i="87"/>
  <c r="S70" i="87"/>
  <c r="O123" i="88"/>
  <c r="U123" i="88"/>
  <c r="Y123" i="88"/>
  <c r="F56" i="85"/>
  <c r="M28" i="16"/>
  <c r="H25" i="20" s="1"/>
  <c r="L37" i="36"/>
  <c r="L57" i="36"/>
  <c r="I37" i="99"/>
  <c r="M37" i="99"/>
  <c r="Q37" i="99"/>
  <c r="U37" i="99"/>
  <c r="J42" i="99"/>
  <c r="N42" i="99"/>
  <c r="R42" i="99"/>
  <c r="V42" i="99"/>
  <c r="J57" i="99"/>
  <c r="J67" i="99"/>
  <c r="J69" i="99"/>
  <c r="J82" i="99"/>
  <c r="F32" i="95"/>
  <c r="L57" i="96"/>
  <c r="H78" i="99"/>
  <c r="AH2" i="51"/>
  <c r="N43" i="16"/>
  <c r="H26" i="97" s="1"/>
  <c r="E65" i="43"/>
  <c r="G17" i="37" s="1"/>
  <c r="G37" i="6"/>
  <c r="K22" i="3"/>
  <c r="I22" i="3"/>
  <c r="O21" i="4"/>
  <c r="O26" i="4" s="1"/>
  <c r="J150" i="38"/>
  <c r="O28" i="4"/>
  <c r="O33" i="4" s="1"/>
  <c r="K33" i="4"/>
  <c r="L14" i="3"/>
  <c r="K65" i="87"/>
  <c r="K78" i="87"/>
  <c r="K95" i="87"/>
  <c r="S109" i="87"/>
  <c r="S120" i="87"/>
  <c r="I16" i="10"/>
  <c r="I21" i="10"/>
  <c r="I27" i="10"/>
  <c r="I31" i="10"/>
  <c r="I35" i="10"/>
  <c r="I39" i="10"/>
  <c r="I45" i="10"/>
  <c r="I49" i="10"/>
  <c r="I53" i="10"/>
  <c r="I61" i="10"/>
  <c r="I65" i="10"/>
  <c r="I71" i="10"/>
  <c r="I75" i="10"/>
  <c r="I83" i="10"/>
  <c r="I87" i="10"/>
  <c r="I91" i="10"/>
  <c r="I97" i="10"/>
  <c r="I27" i="11"/>
  <c r="I33" i="11"/>
  <c r="K33" i="11" s="1"/>
  <c r="K48" i="11" s="1"/>
  <c r="K120" i="11" s="1"/>
  <c r="G18" i="12" s="1"/>
  <c r="G23" i="12" s="1"/>
  <c r="G25" i="12" s="1"/>
  <c r="G28" i="12" s="1"/>
  <c r="G30" i="12" s="1"/>
  <c r="I37" i="11"/>
  <c r="I41" i="11"/>
  <c r="I45" i="11"/>
  <c r="I54" i="11"/>
  <c r="I58" i="11"/>
  <c r="I62" i="11"/>
  <c r="I67" i="11"/>
  <c r="I74" i="11"/>
  <c r="I83" i="11"/>
  <c r="I87" i="11"/>
  <c r="E87" i="11" s="1"/>
  <c r="I97" i="11"/>
  <c r="I101" i="11"/>
  <c r="I105" i="11"/>
  <c r="I114" i="11"/>
  <c r="S49" i="88"/>
  <c r="K65" i="88"/>
  <c r="S78" i="88"/>
  <c r="S89" i="88"/>
  <c r="K120" i="88"/>
  <c r="I19" i="89"/>
  <c r="I26" i="90" s="1"/>
  <c r="I25" i="89"/>
  <c r="I29" i="89"/>
  <c r="I33" i="89"/>
  <c r="I37" i="89"/>
  <c r="I43" i="89"/>
  <c r="I47" i="89"/>
  <c r="I51" i="89"/>
  <c r="I57" i="89"/>
  <c r="I63" i="89"/>
  <c r="I69" i="89"/>
  <c r="I73" i="89"/>
  <c r="I79" i="89"/>
  <c r="I85" i="89"/>
  <c r="I89" i="89"/>
  <c r="I93" i="89"/>
  <c r="I99" i="89"/>
  <c r="I34" i="90"/>
  <c r="I38" i="90"/>
  <c r="I42" i="90"/>
  <c r="I46" i="90"/>
  <c r="I54" i="90"/>
  <c r="I58" i="90"/>
  <c r="I62" i="90"/>
  <c r="I72" i="90"/>
  <c r="I76" i="90"/>
  <c r="I81" i="90"/>
  <c r="I85" i="90"/>
  <c r="I91" i="90"/>
  <c r="I97" i="90"/>
  <c r="I101" i="90"/>
  <c r="I105" i="90"/>
  <c r="I114" i="90"/>
  <c r="V25" i="15"/>
  <c r="V45" i="15"/>
  <c r="I27" i="20"/>
  <c r="K95" i="20"/>
  <c r="L21" i="3"/>
  <c r="J22" i="3"/>
  <c r="K109" i="87"/>
  <c r="I17" i="10"/>
  <c r="I24" i="10"/>
  <c r="I28" i="10"/>
  <c r="I32" i="10"/>
  <c r="I36" i="10"/>
  <c r="I42" i="10"/>
  <c r="I46" i="10"/>
  <c r="I50" i="10"/>
  <c r="I54" i="10"/>
  <c r="I62" i="10"/>
  <c r="I68" i="10"/>
  <c r="I72" i="10"/>
  <c r="I78" i="10"/>
  <c r="I84" i="10"/>
  <c r="I88" i="10"/>
  <c r="I92" i="10"/>
  <c r="I98" i="10"/>
  <c r="I23" i="11"/>
  <c r="I28" i="11"/>
  <c r="E28" i="11" s="1"/>
  <c r="I34" i="11"/>
  <c r="I38" i="11"/>
  <c r="I42" i="11"/>
  <c r="I46" i="11"/>
  <c r="I51" i="11"/>
  <c r="I55" i="11"/>
  <c r="I59" i="11"/>
  <c r="I63" i="11"/>
  <c r="E63" i="11" s="1"/>
  <c r="I68" i="11"/>
  <c r="I75" i="11"/>
  <c r="I80" i="11"/>
  <c r="I84" i="11"/>
  <c r="I91" i="11"/>
  <c r="I98" i="11"/>
  <c r="I102" i="11"/>
  <c r="I106" i="11"/>
  <c r="I115" i="11"/>
  <c r="K49" i="88"/>
  <c r="S70" i="88"/>
  <c r="K78" i="88"/>
  <c r="K89" i="88"/>
  <c r="S95" i="88"/>
  <c r="I16" i="89"/>
  <c r="I23" i="90" s="1"/>
  <c r="I20" i="89"/>
  <c r="I27" i="90" s="1"/>
  <c r="I26" i="89"/>
  <c r="I30" i="89"/>
  <c r="I34" i="89"/>
  <c r="I38" i="89"/>
  <c r="I44" i="89"/>
  <c r="I48" i="89"/>
  <c r="I52" i="89"/>
  <c r="I58" i="89"/>
  <c r="I64" i="89"/>
  <c r="I70" i="89"/>
  <c r="I74" i="89"/>
  <c r="I80" i="89"/>
  <c r="I86" i="89"/>
  <c r="I90" i="89"/>
  <c r="I96" i="89"/>
  <c r="I100" i="89"/>
  <c r="I35" i="90"/>
  <c r="I39" i="90"/>
  <c r="I43" i="90"/>
  <c r="I51" i="90"/>
  <c r="I55" i="90"/>
  <c r="I59" i="90"/>
  <c r="I67" i="90"/>
  <c r="I73" i="90"/>
  <c r="I82" i="90"/>
  <c r="I86" i="90"/>
  <c r="I92" i="90"/>
  <c r="I98" i="90"/>
  <c r="I102" i="90"/>
  <c r="I106" i="90"/>
  <c r="I111" i="90"/>
  <c r="I115" i="90"/>
  <c r="E62" i="15"/>
  <c r="I62" i="15"/>
  <c r="M62" i="15"/>
  <c r="Q62" i="15"/>
  <c r="K60" i="16"/>
  <c r="H28" i="20"/>
  <c r="N30" i="36"/>
  <c r="S49" i="87"/>
  <c r="W123" i="87"/>
  <c r="S89" i="87"/>
  <c r="I19" i="10"/>
  <c r="I25" i="10"/>
  <c r="I29" i="10"/>
  <c r="I33" i="10"/>
  <c r="I37" i="10"/>
  <c r="I43" i="10"/>
  <c r="I47" i="10"/>
  <c r="I51" i="10"/>
  <c r="I57" i="10"/>
  <c r="I63" i="10"/>
  <c r="I69" i="10"/>
  <c r="I73" i="10"/>
  <c r="I79" i="10"/>
  <c r="I85" i="10"/>
  <c r="I89" i="10"/>
  <c r="I93" i="10"/>
  <c r="I99" i="10"/>
  <c r="I24" i="11"/>
  <c r="I35" i="11"/>
  <c r="I39" i="11"/>
  <c r="I43" i="11"/>
  <c r="I47" i="11"/>
  <c r="E47" i="11" s="1"/>
  <c r="I52" i="11"/>
  <c r="I56" i="11"/>
  <c r="I60" i="11"/>
  <c r="I72" i="11"/>
  <c r="I76" i="11"/>
  <c r="I81" i="11"/>
  <c r="I85" i="11"/>
  <c r="I92" i="11"/>
  <c r="I99" i="11"/>
  <c r="I103" i="11"/>
  <c r="I107" i="11"/>
  <c r="I112" i="11"/>
  <c r="I117" i="11"/>
  <c r="S30" i="88"/>
  <c r="K70" i="88"/>
  <c r="K95" i="88"/>
  <c r="S109" i="88"/>
  <c r="I17" i="89"/>
  <c r="I24" i="90" s="1"/>
  <c r="I21" i="89"/>
  <c r="I28" i="90" s="1"/>
  <c r="E28" i="90" s="1"/>
  <c r="I27" i="89"/>
  <c r="I31" i="89"/>
  <c r="I35" i="89"/>
  <c r="I39" i="89"/>
  <c r="I45" i="89"/>
  <c r="I49" i="89"/>
  <c r="I53" i="89"/>
  <c r="I61" i="89"/>
  <c r="I65" i="89"/>
  <c r="I71" i="89"/>
  <c r="I75" i="89"/>
  <c r="I83" i="89"/>
  <c r="I87" i="89"/>
  <c r="I91" i="89"/>
  <c r="I97" i="89"/>
  <c r="I101" i="89"/>
  <c r="I32" i="90"/>
  <c r="I36" i="90"/>
  <c r="I40" i="90"/>
  <c r="I44" i="90"/>
  <c r="I47" i="90"/>
  <c r="E47" i="90" s="1"/>
  <c r="I52" i="90"/>
  <c r="I56" i="90"/>
  <c r="I60" i="90"/>
  <c r="I63" i="90"/>
  <c r="E63" i="90" s="1"/>
  <c r="I68" i="90"/>
  <c r="I74" i="90"/>
  <c r="I83" i="90"/>
  <c r="I99" i="90"/>
  <c r="I103" i="90"/>
  <c r="I107" i="90"/>
  <c r="I112" i="90"/>
  <c r="I116" i="90"/>
  <c r="K57" i="16"/>
  <c r="H52" i="16"/>
  <c r="K15" i="9"/>
  <c r="AX2" i="51" s="1"/>
  <c r="K49" i="87"/>
  <c r="S65" i="87"/>
  <c r="K70" i="87"/>
  <c r="S78" i="87"/>
  <c r="K89" i="87"/>
  <c r="S95" i="87"/>
  <c r="I20" i="10"/>
  <c r="I26" i="10"/>
  <c r="I30" i="10"/>
  <c r="I34" i="10"/>
  <c r="I38" i="10"/>
  <c r="I44" i="10"/>
  <c r="I48" i="10"/>
  <c r="I52" i="10"/>
  <c r="I58" i="10"/>
  <c r="I64" i="10"/>
  <c r="I70" i="10"/>
  <c r="I74" i="10"/>
  <c r="I80" i="10"/>
  <c r="I86" i="10"/>
  <c r="I90" i="10"/>
  <c r="I96" i="10"/>
  <c r="I101" i="10"/>
  <c r="I26" i="11"/>
  <c r="I32" i="11"/>
  <c r="I36" i="11"/>
  <c r="I40" i="11"/>
  <c r="I44" i="11"/>
  <c r="I53" i="11"/>
  <c r="I57" i="11"/>
  <c r="I61" i="11"/>
  <c r="I73" i="11"/>
  <c r="I82" i="11"/>
  <c r="I86" i="11"/>
  <c r="I93" i="11"/>
  <c r="E93" i="11" s="1"/>
  <c r="I100" i="11"/>
  <c r="I104" i="11"/>
  <c r="I113" i="11"/>
  <c r="K30" i="88"/>
  <c r="S65" i="88"/>
  <c r="K109" i="88"/>
  <c r="S120" i="88"/>
  <c r="I18" i="89"/>
  <c r="I25" i="90" s="1"/>
  <c r="I24" i="89"/>
  <c r="I28" i="89"/>
  <c r="I32" i="89"/>
  <c r="I36" i="89"/>
  <c r="I42" i="89"/>
  <c r="I46" i="89"/>
  <c r="I50" i="89"/>
  <c r="I54" i="89"/>
  <c r="I62" i="89"/>
  <c r="I68" i="89"/>
  <c r="I72" i="89"/>
  <c r="I78" i="89"/>
  <c r="I84" i="89"/>
  <c r="I88" i="89"/>
  <c r="I92" i="89"/>
  <c r="I98" i="89"/>
  <c r="I102" i="89"/>
  <c r="I33" i="90"/>
  <c r="I37" i="90"/>
  <c r="I41" i="90"/>
  <c r="I45" i="90"/>
  <c r="I53" i="90"/>
  <c r="I57" i="90"/>
  <c r="I61" i="90"/>
  <c r="I75" i="90"/>
  <c r="I80" i="90"/>
  <c r="I84" i="90"/>
  <c r="I87" i="90"/>
  <c r="E87" i="90" s="1"/>
  <c r="I93" i="90"/>
  <c r="E93" i="90" s="1"/>
  <c r="I100" i="90"/>
  <c r="I104" i="90"/>
  <c r="I113" i="90"/>
  <c r="I117" i="90"/>
  <c r="H40" i="20"/>
  <c r="AB2" i="51"/>
  <c r="K19" i="36"/>
  <c r="L19" i="36" s="1"/>
  <c r="N19" i="36" s="1"/>
  <c r="K23" i="36"/>
  <c r="L23" i="36" s="1"/>
  <c r="K36" i="36"/>
  <c r="L36" i="36" s="1"/>
  <c r="N36" i="36" s="1"/>
  <c r="N43" i="36" s="1"/>
  <c r="K40" i="36"/>
  <c r="L40" i="36" s="1"/>
  <c r="K74" i="20"/>
  <c r="K76" i="20"/>
  <c r="K80" i="20"/>
  <c r="I66" i="99"/>
  <c r="J85" i="20"/>
  <c r="K88" i="20"/>
  <c r="K101" i="20"/>
  <c r="N30" i="96"/>
  <c r="H28" i="97"/>
  <c r="I64" i="99"/>
  <c r="J83" i="20"/>
  <c r="K67" i="99"/>
  <c r="L86" i="20"/>
  <c r="I72" i="99"/>
  <c r="K30" i="20"/>
  <c r="K75" i="20"/>
  <c r="I58" i="99"/>
  <c r="J77" i="20"/>
  <c r="K78" i="20"/>
  <c r="I62" i="99"/>
  <c r="J81" i="20"/>
  <c r="K84" i="20"/>
  <c r="I70" i="99"/>
  <c r="J89" i="20"/>
  <c r="K92" i="20"/>
  <c r="N57" i="96"/>
  <c r="H40" i="97"/>
  <c r="I60" i="99"/>
  <c r="J79" i="20"/>
  <c r="K63" i="99"/>
  <c r="L82" i="20"/>
  <c r="I68" i="99"/>
  <c r="J87" i="20"/>
  <c r="I76" i="99"/>
  <c r="I78" i="99" s="1"/>
  <c r="I97" i="20"/>
  <c r="K36" i="96"/>
  <c r="L36" i="96" s="1"/>
  <c r="N36" i="96" s="1"/>
  <c r="K40" i="96"/>
  <c r="L40" i="96" s="1"/>
  <c r="K18" i="96"/>
  <c r="L18" i="96" s="1"/>
  <c r="K22" i="96"/>
  <c r="L22" i="96" s="1"/>
  <c r="K26" i="96"/>
  <c r="L26" i="96" s="1"/>
  <c r="K35" i="96"/>
  <c r="L35" i="96" s="1"/>
  <c r="N35" i="96" s="1"/>
  <c r="K39" i="96"/>
  <c r="L39" i="96" s="1"/>
  <c r="J96" i="20"/>
  <c r="J97" i="20" s="1"/>
  <c r="I97" i="97"/>
  <c r="J95" i="97"/>
  <c r="J76" i="99" s="1"/>
  <c r="M234" i="78"/>
  <c r="F61" i="49"/>
  <c r="E66" i="49"/>
  <c r="M37" i="49"/>
  <c r="F66" i="49"/>
  <c r="I102" i="10"/>
  <c r="I100" i="10"/>
  <c r="I116" i="11"/>
  <c r="K120" i="87"/>
  <c r="S30" i="87"/>
  <c r="K30" i="87"/>
  <c r="I18" i="10"/>
  <c r="I25" i="11"/>
  <c r="E63" i="49"/>
  <c r="CD2" i="51"/>
  <c r="F63" i="49"/>
  <c r="M24" i="49"/>
  <c r="M56" i="49"/>
  <c r="F24" i="49"/>
  <c r="BS2" i="51" s="1"/>
  <c r="F56" i="49"/>
  <c r="F37" i="49"/>
  <c r="G38" i="91" s="1"/>
  <c r="D62" i="15"/>
  <c r="H47" i="15"/>
  <c r="H62" i="15" s="1"/>
  <c r="L47" i="15"/>
  <c r="L62" i="15" s="1"/>
  <c r="P47" i="15"/>
  <c r="P62" i="15" s="1"/>
  <c r="F47" i="15"/>
  <c r="F62" i="15" s="1"/>
  <c r="J47" i="15"/>
  <c r="J62" i="15" s="1"/>
  <c r="N47" i="15"/>
  <c r="N62" i="15" s="1"/>
  <c r="R47" i="15"/>
  <c r="R62" i="15" s="1"/>
  <c r="O24" i="16"/>
  <c r="O18" i="16"/>
  <c r="O16" i="16"/>
  <c r="N28" i="16"/>
  <c r="O36" i="16"/>
  <c r="M43" i="16"/>
  <c r="H25" i="97" s="1"/>
  <c r="O17" i="16"/>
  <c r="K49" i="16"/>
  <c r="G53" i="16"/>
  <c r="K61" i="16"/>
  <c r="O37" i="16"/>
  <c r="J50" i="16"/>
  <c r="F54" i="16"/>
  <c r="J58" i="16"/>
  <c r="I51" i="16"/>
  <c r="E55" i="16"/>
  <c r="H60" i="16"/>
  <c r="D56" i="16"/>
  <c r="G61" i="16"/>
  <c r="L64" i="16"/>
  <c r="O15" i="16"/>
  <c r="F49" i="16"/>
  <c r="K52" i="16"/>
  <c r="I54" i="16"/>
  <c r="G56" i="16"/>
  <c r="E58" i="16"/>
  <c r="J61" i="16"/>
  <c r="O23" i="16"/>
  <c r="G49" i="16"/>
  <c r="F50" i="16"/>
  <c r="E51" i="16"/>
  <c r="D52" i="16"/>
  <c r="K53" i="16"/>
  <c r="J54" i="16"/>
  <c r="I55" i="16"/>
  <c r="H56" i="16"/>
  <c r="G57" i="16"/>
  <c r="F58" i="16"/>
  <c r="D60" i="16"/>
  <c r="E50" i="16"/>
  <c r="D51" i="16"/>
  <c r="J53" i="16"/>
  <c r="H55" i="16"/>
  <c r="F57" i="16"/>
  <c r="I61" i="16"/>
  <c r="E61" i="16"/>
  <c r="J60" i="16"/>
  <c r="F60" i="16"/>
  <c r="H58" i="16"/>
  <c r="D58" i="16"/>
  <c r="I57" i="16"/>
  <c r="E57" i="16"/>
  <c r="J56" i="16"/>
  <c r="F56" i="16"/>
  <c r="K55" i="16"/>
  <c r="G55" i="16"/>
  <c r="H54" i="16"/>
  <c r="D54" i="16"/>
  <c r="I53" i="16"/>
  <c r="E53" i="16"/>
  <c r="J52" i="16"/>
  <c r="F52" i="16"/>
  <c r="K51" i="16"/>
  <c r="G51" i="16"/>
  <c r="H50" i="16"/>
  <c r="D50" i="16"/>
  <c r="I49" i="16"/>
  <c r="E49" i="16"/>
  <c r="H61" i="16"/>
  <c r="D61" i="16"/>
  <c r="I60" i="16"/>
  <c r="E60" i="16"/>
  <c r="K58" i="16"/>
  <c r="G58" i="16"/>
  <c r="H57" i="16"/>
  <c r="D57" i="16"/>
  <c r="I56" i="16"/>
  <c r="E56" i="16"/>
  <c r="J55" i="16"/>
  <c r="F55" i="16"/>
  <c r="K54" i="16"/>
  <c r="G54" i="16"/>
  <c r="H53" i="16"/>
  <c r="D53" i="16"/>
  <c r="I52" i="16"/>
  <c r="E52" i="16"/>
  <c r="J51" i="16"/>
  <c r="F51" i="16"/>
  <c r="K50" i="16"/>
  <c r="G50" i="16"/>
  <c r="H49" i="16"/>
  <c r="D49" i="16"/>
  <c r="O30" i="16"/>
  <c r="O38" i="16"/>
  <c r="J49" i="16"/>
  <c r="I50" i="16"/>
  <c r="H51" i="16"/>
  <c r="G52" i="16"/>
  <c r="F53" i="16"/>
  <c r="E54" i="16"/>
  <c r="D55" i="16"/>
  <c r="K56" i="16"/>
  <c r="J57" i="16"/>
  <c r="I58" i="16"/>
  <c r="G60" i="16"/>
  <c r="F61" i="16"/>
  <c r="G32" i="12" l="1"/>
  <c r="G34" i="12" s="1"/>
  <c r="J34" i="12"/>
  <c r="J75" i="9"/>
  <c r="J49" i="9"/>
  <c r="J55" i="9"/>
  <c r="J51" i="9"/>
  <c r="BE2" i="51" s="1"/>
  <c r="J38" i="9"/>
  <c r="P21" i="9"/>
  <c r="L40" i="9"/>
  <c r="O86" i="9"/>
  <c r="P40" i="9"/>
  <c r="L100" i="9"/>
  <c r="L80" i="9"/>
  <c r="P111" i="9"/>
  <c r="L111" i="9"/>
  <c r="J19" i="9"/>
  <c r="J78" i="9"/>
  <c r="P100" i="9"/>
  <c r="P56" i="9"/>
  <c r="L69" i="9"/>
  <c r="N43" i="96"/>
  <c r="H60" i="13"/>
  <c r="I60" i="13" s="1"/>
  <c r="I62" i="13" s="1"/>
  <c r="K111" i="9"/>
  <c r="BN2" i="51" s="1"/>
  <c r="O80" i="9"/>
  <c r="J83" i="9"/>
  <c r="J95" i="87"/>
  <c r="J43" i="9"/>
  <c r="J65" i="87"/>
  <c r="J15" i="9"/>
  <c r="J30" i="87"/>
  <c r="K31" i="20"/>
  <c r="K21" i="99" s="1"/>
  <c r="K34" i="4"/>
  <c r="AI2" i="51" s="1"/>
  <c r="P80" i="9"/>
  <c r="G34" i="91"/>
  <c r="P69" i="9"/>
  <c r="K72" i="9"/>
  <c r="O45" i="9"/>
  <c r="O56" i="9" s="1"/>
  <c r="J28" i="9"/>
  <c r="J24" i="9"/>
  <c r="J49" i="87"/>
  <c r="J59" i="9"/>
  <c r="J61" i="9" s="1"/>
  <c r="J70" i="87"/>
  <c r="J30" i="9"/>
  <c r="G39" i="87"/>
  <c r="J89" i="88"/>
  <c r="J30" i="88"/>
  <c r="J107" i="9"/>
  <c r="J120" i="88"/>
  <c r="J65" i="88"/>
  <c r="J108" i="9"/>
  <c r="J104" i="9"/>
  <c r="J120" i="87"/>
  <c r="J67" i="9"/>
  <c r="J54" i="9"/>
  <c r="J50" i="9"/>
  <c r="J46" i="9"/>
  <c r="J20" i="9"/>
  <c r="J16" i="9"/>
  <c r="L28" i="36"/>
  <c r="H73" i="20" s="1"/>
  <c r="CN2" i="51" s="1"/>
  <c r="N23" i="36"/>
  <c r="N29" i="36" s="1"/>
  <c r="L27" i="96"/>
  <c r="H72" i="97" s="1"/>
  <c r="N18" i="96"/>
  <c r="L28" i="96"/>
  <c r="H73" i="97" s="1"/>
  <c r="I73" i="97" s="1"/>
  <c r="J73" i="97" s="1"/>
  <c r="K73" i="97" s="1"/>
  <c r="L73" i="97" s="1"/>
  <c r="M73" i="97" s="1"/>
  <c r="N73" i="97" s="1"/>
  <c r="O73" i="97" s="1"/>
  <c r="P73" i="97" s="1"/>
  <c r="Q73" i="97" s="1"/>
  <c r="R73" i="97" s="1"/>
  <c r="S73" i="97" s="1"/>
  <c r="T73" i="97" s="1"/>
  <c r="U73" i="97" s="1"/>
  <c r="V73" i="97" s="1"/>
  <c r="N23" i="96"/>
  <c r="K65" i="9"/>
  <c r="K69" i="9" s="1"/>
  <c r="L56" i="9"/>
  <c r="O90" i="9"/>
  <c r="J85" i="9"/>
  <c r="J78" i="87"/>
  <c r="J29" i="9"/>
  <c r="AY2" i="51" s="1"/>
  <c r="G38" i="87"/>
  <c r="J17" i="9"/>
  <c r="J95" i="9"/>
  <c r="J74" i="9"/>
  <c r="J27" i="9"/>
  <c r="H17" i="99"/>
  <c r="L21" i="9"/>
  <c r="K86" i="9"/>
  <c r="J26" i="9"/>
  <c r="BB2" i="51" s="1"/>
  <c r="J89" i="9"/>
  <c r="J109" i="87"/>
  <c r="J72" i="9"/>
  <c r="J89" i="87"/>
  <c r="J109" i="9"/>
  <c r="J105" i="9"/>
  <c r="G39" i="88"/>
  <c r="J110" i="9"/>
  <c r="J106" i="9"/>
  <c r="J84" i="9"/>
  <c r="BK2" i="51" s="1"/>
  <c r="J65" i="9"/>
  <c r="J52" i="9"/>
  <c r="BF2" i="51" s="1"/>
  <c r="J48" i="9"/>
  <c r="J44" i="9"/>
  <c r="J18" i="9"/>
  <c r="V47" i="15"/>
  <c r="V62" i="15" s="1"/>
  <c r="H60" i="92"/>
  <c r="I72" i="97"/>
  <c r="J72" i="97" s="1"/>
  <c r="L27" i="36"/>
  <c r="H72" i="20" s="1"/>
  <c r="O97" i="9"/>
  <c r="J97" i="9"/>
  <c r="J109" i="88"/>
  <c r="Q114" i="9"/>
  <c r="J64" i="9"/>
  <c r="J69" i="9" s="1"/>
  <c r="J78" i="88"/>
  <c r="J25" i="9"/>
  <c r="J49" i="88"/>
  <c r="G38" i="88"/>
  <c r="O40" i="9"/>
  <c r="O21" i="9"/>
  <c r="O69" i="9"/>
  <c r="S123" i="88"/>
  <c r="K123" i="88"/>
  <c r="M114" i="9"/>
  <c r="S123" i="87"/>
  <c r="K100" i="9"/>
  <c r="K80" i="9"/>
  <c r="K21" i="9"/>
  <c r="K56" i="9"/>
  <c r="K40" i="9"/>
  <c r="BD2" i="51" s="1"/>
  <c r="K123" i="87"/>
  <c r="G85" i="97"/>
  <c r="G89" i="97"/>
  <c r="G84" i="97"/>
  <c r="G80" i="97"/>
  <c r="G76" i="97"/>
  <c r="G86" i="97"/>
  <c r="G96" i="97"/>
  <c r="G88" i="97"/>
  <c r="G83" i="97"/>
  <c r="G79" i="97"/>
  <c r="G75" i="97"/>
  <c r="G90" i="97"/>
  <c r="G77" i="97"/>
  <c r="G95" i="97"/>
  <c r="G91" i="97"/>
  <c r="G87" i="97"/>
  <c r="G82" i="97"/>
  <c r="G78" i="97"/>
  <c r="G74" i="97"/>
  <c r="G81" i="97"/>
  <c r="G92" i="97"/>
  <c r="G73" i="97"/>
  <c r="G89" i="20"/>
  <c r="G85" i="20"/>
  <c r="G81" i="20"/>
  <c r="G77" i="20"/>
  <c r="G95" i="20"/>
  <c r="G78" i="20"/>
  <c r="G88" i="20"/>
  <c r="G84" i="20"/>
  <c r="G80" i="20"/>
  <c r="G76" i="20"/>
  <c r="G90" i="20"/>
  <c r="G82" i="20"/>
  <c r="G96" i="20"/>
  <c r="G91" i="20"/>
  <c r="G87" i="20"/>
  <c r="G83" i="20"/>
  <c r="G79" i="20"/>
  <c r="G75" i="20"/>
  <c r="G86" i="20"/>
  <c r="G74" i="20"/>
  <c r="G92" i="20"/>
  <c r="G72" i="97"/>
  <c r="I29" i="11"/>
  <c r="S122" i="87"/>
  <c r="I29" i="90"/>
  <c r="J71" i="99"/>
  <c r="L43" i="36"/>
  <c r="H99" i="20" s="1"/>
  <c r="G99" i="20" s="1"/>
  <c r="I94" i="11"/>
  <c r="O43" i="16"/>
  <c r="L29" i="96"/>
  <c r="L29" i="36"/>
  <c r="L43" i="96"/>
  <c r="H99" i="97" s="1"/>
  <c r="K55" i="99"/>
  <c r="L74" i="20"/>
  <c r="S122" i="88"/>
  <c r="I64" i="11"/>
  <c r="I17" i="99"/>
  <c r="J27" i="20"/>
  <c r="N44" i="16"/>
  <c r="H26" i="20"/>
  <c r="K65" i="99"/>
  <c r="L84" i="20"/>
  <c r="J58" i="99"/>
  <c r="K77" i="20"/>
  <c r="I93" i="97"/>
  <c r="L31" i="20"/>
  <c r="K122" i="88"/>
  <c r="I64" i="90"/>
  <c r="I94" i="90"/>
  <c r="I77" i="90"/>
  <c r="J60" i="99"/>
  <c r="K79" i="20"/>
  <c r="K59" i="99"/>
  <c r="L78" i="20"/>
  <c r="L67" i="99"/>
  <c r="M86" i="20"/>
  <c r="J66" i="99"/>
  <c r="K85" i="20"/>
  <c r="L95" i="20"/>
  <c r="I108" i="90"/>
  <c r="J77" i="99"/>
  <c r="J78" i="99" s="1"/>
  <c r="K96" i="20"/>
  <c r="K97" i="20" s="1"/>
  <c r="L63" i="99"/>
  <c r="M82" i="20"/>
  <c r="K73" i="99"/>
  <c r="L92" i="20"/>
  <c r="J62" i="99"/>
  <c r="K81" i="20"/>
  <c r="J72" i="99"/>
  <c r="J64" i="99"/>
  <c r="K83" i="20"/>
  <c r="K82" i="99"/>
  <c r="L101" i="20"/>
  <c r="K61" i="99"/>
  <c r="L80" i="20"/>
  <c r="I48" i="90"/>
  <c r="I77" i="11"/>
  <c r="I118" i="90"/>
  <c r="I69" i="90"/>
  <c r="I88" i="11"/>
  <c r="I108" i="11"/>
  <c r="I69" i="11"/>
  <c r="J97" i="97"/>
  <c r="K95" i="97"/>
  <c r="K76" i="99" s="1"/>
  <c r="J68" i="99"/>
  <c r="K87" i="20"/>
  <c r="K20" i="99"/>
  <c r="L30" i="20"/>
  <c r="I118" i="11"/>
  <c r="G102" i="87"/>
  <c r="J70" i="99"/>
  <c r="K89" i="20"/>
  <c r="K56" i="99"/>
  <c r="L75" i="20"/>
  <c r="K69" i="99"/>
  <c r="L88" i="20"/>
  <c r="K57" i="99"/>
  <c r="L76" i="20"/>
  <c r="H30" i="99"/>
  <c r="I88" i="90"/>
  <c r="I48" i="11"/>
  <c r="H18" i="99"/>
  <c r="L22" i="3"/>
  <c r="O34" i="4"/>
  <c r="AJ2" i="51" s="1"/>
  <c r="G102" i="88"/>
  <c r="G103" i="88"/>
  <c r="G94" i="9"/>
  <c r="G93" i="9"/>
  <c r="K122" i="87"/>
  <c r="G37" i="12" s="1"/>
  <c r="O28" i="16"/>
  <c r="M44" i="16"/>
  <c r="K59" i="16"/>
  <c r="K62" i="16" s="1"/>
  <c r="Y2" i="51" s="1"/>
  <c r="L56" i="16"/>
  <c r="L53" i="16"/>
  <c r="L57" i="16"/>
  <c r="L52" i="16"/>
  <c r="L49" i="16"/>
  <c r="D59" i="16"/>
  <c r="D62" i="16" s="1"/>
  <c r="Z2" i="51" s="1"/>
  <c r="J59" i="16"/>
  <c r="J62" i="16" s="1"/>
  <c r="X2" i="51" s="1"/>
  <c r="H59" i="16"/>
  <c r="H62" i="16" s="1"/>
  <c r="V2" i="51" s="1"/>
  <c r="I59" i="16"/>
  <c r="I62" i="16" s="1"/>
  <c r="W2" i="51" s="1"/>
  <c r="L60" i="16"/>
  <c r="R2" i="51" s="1"/>
  <c r="I26" i="97"/>
  <c r="J26" i="97" s="1"/>
  <c r="K26" i="97" s="1"/>
  <c r="L26" i="97" s="1"/>
  <c r="M26" i="97" s="1"/>
  <c r="N26" i="97" s="1"/>
  <c r="O26" i="97" s="1"/>
  <c r="P26" i="97" s="1"/>
  <c r="Q26" i="97" s="1"/>
  <c r="R26" i="97" s="1"/>
  <c r="S26" i="97" s="1"/>
  <c r="T26" i="97" s="1"/>
  <c r="U26" i="97" s="1"/>
  <c r="V26" i="97" s="1"/>
  <c r="L61" i="16"/>
  <c r="Q2" i="51" s="1"/>
  <c r="L50" i="16"/>
  <c r="L54" i="16"/>
  <c r="L58" i="16"/>
  <c r="E59" i="16"/>
  <c r="E62" i="16" s="1"/>
  <c r="L55" i="16"/>
  <c r="L51" i="16"/>
  <c r="G59" i="16"/>
  <c r="G62" i="16" s="1"/>
  <c r="U2" i="51" s="1"/>
  <c r="F59" i="16"/>
  <c r="F62" i="16" s="1"/>
  <c r="J80" i="9" l="1"/>
  <c r="P114" i="9"/>
  <c r="O114" i="9" s="1"/>
  <c r="L114" i="9"/>
  <c r="K114" i="9" s="1"/>
  <c r="O100" i="9"/>
  <c r="O113" i="9" s="1"/>
  <c r="J111" i="9"/>
  <c r="BM2" i="51" s="1"/>
  <c r="N29" i="96"/>
  <c r="G103" i="87"/>
  <c r="AZ2" i="51"/>
  <c r="G30" i="9"/>
  <c r="H93" i="20"/>
  <c r="G93" i="20" s="1"/>
  <c r="H93" i="97"/>
  <c r="G93" i="97" s="1"/>
  <c r="J56" i="9"/>
  <c r="L30" i="36"/>
  <c r="G73" i="20"/>
  <c r="I73" i="20"/>
  <c r="I60" i="92"/>
  <c r="I62" i="92" s="1"/>
  <c r="J122" i="87"/>
  <c r="I65" i="87" s="1"/>
  <c r="L30" i="96"/>
  <c r="J100" i="9"/>
  <c r="H54" i="99"/>
  <c r="J21" i="9"/>
  <c r="AW2" i="51"/>
  <c r="BI2" i="51"/>
  <c r="J86" i="9"/>
  <c r="I72" i="20"/>
  <c r="G72" i="20"/>
  <c r="CM2" i="51"/>
  <c r="H53" i="99"/>
  <c r="J122" i="88"/>
  <c r="I49" i="88" s="1"/>
  <c r="J40" i="9"/>
  <c r="BA2" i="51"/>
  <c r="G29" i="9"/>
  <c r="J123" i="88"/>
  <c r="J123" i="87"/>
  <c r="K113" i="9"/>
  <c r="G37" i="91" s="1"/>
  <c r="G39" i="91" s="1"/>
  <c r="G41" i="91" s="1"/>
  <c r="G44" i="91" s="1"/>
  <c r="I120" i="11"/>
  <c r="G99" i="97"/>
  <c r="H80" i="99"/>
  <c r="CS2" i="51"/>
  <c r="CX2" i="51" s="1"/>
  <c r="I99" i="20"/>
  <c r="K71" i="99"/>
  <c r="I120" i="90"/>
  <c r="O44" i="16"/>
  <c r="L21" i="99"/>
  <c r="M31" i="20"/>
  <c r="K58" i="99"/>
  <c r="L77" i="20"/>
  <c r="I99" i="97"/>
  <c r="J99" i="97" s="1"/>
  <c r="K99" i="97" s="1"/>
  <c r="L99" i="97" s="1"/>
  <c r="M99" i="97" s="1"/>
  <c r="N99" i="97" s="1"/>
  <c r="O99" i="97" s="1"/>
  <c r="P99" i="97" s="1"/>
  <c r="Q99" i="97" s="1"/>
  <c r="R99" i="97" s="1"/>
  <c r="S99" i="97" s="1"/>
  <c r="T99" i="97" s="1"/>
  <c r="U99" i="97" s="1"/>
  <c r="V99" i="97" s="1"/>
  <c r="L82" i="99"/>
  <c r="M101" i="20"/>
  <c r="J93" i="97"/>
  <c r="K72" i="97"/>
  <c r="L65" i="99"/>
  <c r="M84" i="20"/>
  <c r="J17" i="99"/>
  <c r="K27" i="20"/>
  <c r="L55" i="99"/>
  <c r="M74" i="20"/>
  <c r="L69" i="99"/>
  <c r="M88" i="20"/>
  <c r="K70" i="99"/>
  <c r="L89" i="20"/>
  <c r="L20" i="99"/>
  <c r="M30" i="20"/>
  <c r="L95" i="97"/>
  <c r="K97" i="97"/>
  <c r="K72" i="99"/>
  <c r="L73" i="99"/>
  <c r="M92" i="20"/>
  <c r="K66" i="99"/>
  <c r="L85" i="20"/>
  <c r="L59" i="99"/>
  <c r="M78" i="20"/>
  <c r="F80" i="1"/>
  <c r="L61" i="99"/>
  <c r="M80" i="20"/>
  <c r="L57" i="99"/>
  <c r="M76" i="20"/>
  <c r="L56" i="99"/>
  <c r="M75" i="20"/>
  <c r="K68" i="99"/>
  <c r="L87" i="20"/>
  <c r="K64" i="99"/>
  <c r="L83" i="20"/>
  <c r="K62" i="99"/>
  <c r="L81" i="20"/>
  <c r="M63" i="99"/>
  <c r="N82" i="20"/>
  <c r="K77" i="99"/>
  <c r="K78" i="99" s="1"/>
  <c r="L96" i="20"/>
  <c r="L97" i="20" s="1"/>
  <c r="M95" i="20"/>
  <c r="M67" i="99"/>
  <c r="N86" i="20"/>
  <c r="K60" i="99"/>
  <c r="L79" i="20"/>
  <c r="G39" i="12"/>
  <c r="G41" i="12" s="1"/>
  <c r="G44" i="12" s="1"/>
  <c r="N2" i="51"/>
  <c r="P2" i="51"/>
  <c r="O2" i="51"/>
  <c r="M2" i="51"/>
  <c r="H15" i="99"/>
  <c r="I25" i="20"/>
  <c r="H32" i="20"/>
  <c r="H34" i="20" s="1"/>
  <c r="H32" i="97"/>
  <c r="H34" i="97" s="1"/>
  <c r="I25" i="97"/>
  <c r="H16" i="99"/>
  <c r="I26" i="20"/>
  <c r="T2" i="51"/>
  <c r="L2" i="51"/>
  <c r="G51" i="91"/>
  <c r="L59" i="16"/>
  <c r="L62" i="16" s="1"/>
  <c r="G51" i="12"/>
  <c r="J114" i="9" l="1"/>
  <c r="CO2" i="51"/>
  <c r="H102" i="20"/>
  <c r="H102" i="97"/>
  <c r="H74" i="99"/>
  <c r="H83" i="99" s="1"/>
  <c r="I54" i="99"/>
  <c r="J73" i="20"/>
  <c r="I107" i="87"/>
  <c r="I54" i="87"/>
  <c r="I29" i="87"/>
  <c r="I118" i="87"/>
  <c r="I40" i="87"/>
  <c r="I93" i="87"/>
  <c r="I115" i="87"/>
  <c r="I57" i="87"/>
  <c r="I45" i="87"/>
  <c r="I117" i="87"/>
  <c r="I108" i="87"/>
  <c r="I83" i="87"/>
  <c r="I42" i="87"/>
  <c r="I28" i="87"/>
  <c r="I105" i="87"/>
  <c r="I88" i="87"/>
  <c r="I62" i="87"/>
  <c r="I46" i="87"/>
  <c r="I35" i="87"/>
  <c r="I98" i="87"/>
  <c r="I69" i="87"/>
  <c r="I41" i="87"/>
  <c r="I53" i="87"/>
  <c r="I77" i="87"/>
  <c r="I26" i="87"/>
  <c r="I78" i="87"/>
  <c r="I75" i="87"/>
  <c r="I60" i="87"/>
  <c r="I44" i="87"/>
  <c r="I30" i="87"/>
  <c r="I102" i="87"/>
  <c r="I61" i="87"/>
  <c r="I49" i="87"/>
  <c r="I27" i="87"/>
  <c r="I116" i="87"/>
  <c r="I87" i="87"/>
  <c r="I52" i="87"/>
  <c r="I34" i="87"/>
  <c r="I120" i="87"/>
  <c r="I94" i="87"/>
  <c r="I104" i="87"/>
  <c r="I113" i="87"/>
  <c r="I68" i="87"/>
  <c r="I101" i="87"/>
  <c r="I100" i="87"/>
  <c r="I81" i="87"/>
  <c r="I63" i="87"/>
  <c r="I39" i="87"/>
  <c r="I48" i="87"/>
  <c r="I103" i="87"/>
  <c r="I86" i="87"/>
  <c r="I74" i="87"/>
  <c r="I55" i="87"/>
  <c r="I92" i="87"/>
  <c r="I76" i="87"/>
  <c r="I56" i="87"/>
  <c r="I38" i="87"/>
  <c r="I36" i="87"/>
  <c r="I24" i="87"/>
  <c r="I99" i="87"/>
  <c r="I84" i="87"/>
  <c r="I58" i="87"/>
  <c r="I95" i="87"/>
  <c r="I85" i="87"/>
  <c r="I70" i="87"/>
  <c r="I43" i="87"/>
  <c r="I114" i="87"/>
  <c r="I89" i="87"/>
  <c r="I73" i="87"/>
  <c r="I47" i="87"/>
  <c r="I59" i="87"/>
  <c r="I119" i="87"/>
  <c r="I82" i="87"/>
  <c r="I64" i="87"/>
  <c r="I33" i="87"/>
  <c r="I37" i="87"/>
  <c r="I106" i="87"/>
  <c r="I25" i="87"/>
  <c r="I109" i="87"/>
  <c r="I93" i="20"/>
  <c r="I102" i="20" s="1"/>
  <c r="J72" i="20"/>
  <c r="I53" i="99"/>
  <c r="I74" i="99" s="1"/>
  <c r="BC2" i="51"/>
  <c r="J113" i="9"/>
  <c r="I40" i="9" s="1"/>
  <c r="I109" i="88"/>
  <c r="I69" i="88"/>
  <c r="I73" i="88"/>
  <c r="I95" i="88"/>
  <c r="I113" i="88"/>
  <c r="I87" i="88"/>
  <c r="I62" i="88"/>
  <c r="I43" i="88"/>
  <c r="I33" i="88"/>
  <c r="I114" i="88"/>
  <c r="I88" i="88"/>
  <c r="I63" i="88"/>
  <c r="I44" i="88"/>
  <c r="I120" i="88"/>
  <c r="I105" i="88"/>
  <c r="I83" i="88"/>
  <c r="I39" i="88"/>
  <c r="I30" i="88"/>
  <c r="I106" i="88"/>
  <c r="I84" i="88"/>
  <c r="I59" i="88"/>
  <c r="I40" i="88"/>
  <c r="I58" i="88"/>
  <c r="I65" i="88"/>
  <c r="I25" i="88"/>
  <c r="I101" i="88"/>
  <c r="I76" i="88"/>
  <c r="I54" i="88"/>
  <c r="I38" i="88"/>
  <c r="I26" i="88"/>
  <c r="I102" i="88"/>
  <c r="I77" i="88"/>
  <c r="I55" i="88"/>
  <c r="I34" i="88"/>
  <c r="I78" i="88"/>
  <c r="I70" i="88"/>
  <c r="I117" i="88"/>
  <c r="I94" i="88"/>
  <c r="I47" i="88"/>
  <c r="I37" i="88"/>
  <c r="I118" i="88"/>
  <c r="I98" i="88"/>
  <c r="I48" i="88"/>
  <c r="I27" i="88"/>
  <c r="I89" i="88"/>
  <c r="I36" i="88"/>
  <c r="I82" i="88"/>
  <c r="I35" i="88"/>
  <c r="I108" i="88"/>
  <c r="I93" i="88"/>
  <c r="I45" i="88"/>
  <c r="I74" i="88"/>
  <c r="I107" i="88"/>
  <c r="I103" i="88"/>
  <c r="I53" i="88"/>
  <c r="I100" i="88"/>
  <c r="I42" i="88"/>
  <c r="I56" i="88"/>
  <c r="I116" i="88"/>
  <c r="I64" i="88"/>
  <c r="I85" i="88"/>
  <c r="I99" i="88"/>
  <c r="I57" i="88"/>
  <c r="I104" i="88"/>
  <c r="I61" i="88"/>
  <c r="I46" i="88"/>
  <c r="I60" i="88"/>
  <c r="I28" i="88"/>
  <c r="I92" i="88"/>
  <c r="I119" i="88"/>
  <c r="I29" i="88"/>
  <c r="I75" i="88"/>
  <c r="I41" i="88"/>
  <c r="I86" i="88"/>
  <c r="I68" i="88"/>
  <c r="I24" i="88"/>
  <c r="I52" i="88"/>
  <c r="I115" i="88"/>
  <c r="I81" i="88"/>
  <c r="G53" i="91"/>
  <c r="G55" i="91" s="1"/>
  <c r="J102" i="97"/>
  <c r="H22" i="99"/>
  <c r="H24" i="99" s="1"/>
  <c r="I80" i="99"/>
  <c r="I102" i="97"/>
  <c r="J99" i="20"/>
  <c r="J80" i="99" s="1"/>
  <c r="L71" i="99"/>
  <c r="L60" i="99"/>
  <c r="M79" i="20"/>
  <c r="N95" i="20"/>
  <c r="L68" i="99"/>
  <c r="M87" i="20"/>
  <c r="M57" i="99"/>
  <c r="N76" i="20"/>
  <c r="L66" i="99"/>
  <c r="M85" i="20"/>
  <c r="M73" i="99"/>
  <c r="N92" i="20"/>
  <c r="L97" i="97"/>
  <c r="M95" i="97"/>
  <c r="M82" i="99"/>
  <c r="N101" i="20"/>
  <c r="L58" i="99"/>
  <c r="M77" i="20"/>
  <c r="N63" i="99"/>
  <c r="O82" i="20"/>
  <c r="M20" i="99"/>
  <c r="N30" i="20"/>
  <c r="M69" i="99"/>
  <c r="N88" i="20"/>
  <c r="K17" i="99"/>
  <c r="L27" i="20"/>
  <c r="K93" i="97"/>
  <c r="K102" i="97" s="1"/>
  <c r="L72" i="97"/>
  <c r="N67" i="99"/>
  <c r="O86" i="20"/>
  <c r="L76" i="99"/>
  <c r="M56" i="99"/>
  <c r="N75" i="20"/>
  <c r="M61" i="99"/>
  <c r="N80" i="20"/>
  <c r="M59" i="99"/>
  <c r="N78" i="20"/>
  <c r="L72" i="99"/>
  <c r="M21" i="99"/>
  <c r="N31" i="20"/>
  <c r="L64" i="99"/>
  <c r="M83" i="20"/>
  <c r="L77" i="99"/>
  <c r="M96" i="20"/>
  <c r="M97" i="20" s="1"/>
  <c r="L62" i="99"/>
  <c r="M81" i="20"/>
  <c r="L70" i="99"/>
  <c r="M89" i="20"/>
  <c r="M55" i="99"/>
  <c r="N74" i="20"/>
  <c r="M65" i="99"/>
  <c r="N84" i="20"/>
  <c r="G53" i="12"/>
  <c r="G55" i="12" s="1"/>
  <c r="F39" i="49" s="1"/>
  <c r="E64" i="49" s="1"/>
  <c r="K2" i="51"/>
  <c r="H36" i="97"/>
  <c r="I16" i="99"/>
  <c r="J26" i="20"/>
  <c r="H36" i="20"/>
  <c r="I15" i="99"/>
  <c r="I32" i="20"/>
  <c r="I34" i="20" s="1"/>
  <c r="J25" i="20"/>
  <c r="I32" i="97"/>
  <c r="I34" i="97" s="1"/>
  <c r="J25" i="97"/>
  <c r="J54" i="99" l="1"/>
  <c r="K73" i="20"/>
  <c r="F39" i="85"/>
  <c r="F41" i="85" s="1"/>
  <c r="F58" i="85" s="1"/>
  <c r="M39" i="49"/>
  <c r="I83" i="99"/>
  <c r="J93" i="20"/>
  <c r="J53" i="99"/>
  <c r="J74" i="99" s="1"/>
  <c r="J83" i="99" s="1"/>
  <c r="K72" i="20"/>
  <c r="G19" i="37"/>
  <c r="I110" i="9"/>
  <c r="I56" i="9"/>
  <c r="I77" i="9"/>
  <c r="I46" i="9"/>
  <c r="I24" i="9"/>
  <c r="I53" i="9"/>
  <c r="I59" i="9"/>
  <c r="I51" i="9"/>
  <c r="I31" i="9"/>
  <c r="I111" i="9"/>
  <c r="I85" i="9"/>
  <c r="I91" i="9"/>
  <c r="I76" i="9"/>
  <c r="I54" i="9"/>
  <c r="I29" i="9"/>
  <c r="I26" i="9"/>
  <c r="I100" i="9"/>
  <c r="I49" i="9"/>
  <c r="I37" i="9"/>
  <c r="I25" i="9"/>
  <c r="I104" i="9"/>
  <c r="I105" i="9"/>
  <c r="I34" i="9"/>
  <c r="I84" i="9"/>
  <c r="I72" i="9"/>
  <c r="I50" i="9"/>
  <c r="I28" i="9"/>
  <c r="I27" i="9"/>
  <c r="I17" i="9"/>
  <c r="I96" i="9"/>
  <c r="I75" i="9"/>
  <c r="I45" i="9"/>
  <c r="I52" i="9"/>
  <c r="I43" i="9"/>
  <c r="I20" i="9"/>
  <c r="I99" i="9"/>
  <c r="I74" i="9"/>
  <c r="I106" i="9"/>
  <c r="I48" i="9"/>
  <c r="I16" i="9"/>
  <c r="I67" i="9"/>
  <c r="I65" i="9"/>
  <c r="I19" i="9"/>
  <c r="I94" i="9"/>
  <c r="I47" i="9"/>
  <c r="I21" i="9"/>
  <c r="I86" i="9"/>
  <c r="I83" i="9"/>
  <c r="I18" i="9"/>
  <c r="I109" i="9"/>
  <c r="I90" i="9"/>
  <c r="I68" i="9"/>
  <c r="I38" i="9"/>
  <c r="I95" i="9"/>
  <c r="I73" i="9"/>
  <c r="I39" i="9"/>
  <c r="I69" i="9"/>
  <c r="I107" i="9"/>
  <c r="I32" i="9"/>
  <c r="I78" i="9"/>
  <c r="I64" i="9"/>
  <c r="I44" i="9"/>
  <c r="I36" i="9"/>
  <c r="I108" i="9"/>
  <c r="I89" i="9"/>
  <c r="I60" i="9"/>
  <c r="I66" i="9"/>
  <c r="I55" i="9"/>
  <c r="I35" i="9"/>
  <c r="I15" i="9"/>
  <c r="I93" i="9"/>
  <c r="I97" i="9"/>
  <c r="I80" i="9"/>
  <c r="I61" i="9"/>
  <c r="I30" i="9"/>
  <c r="I92" i="9"/>
  <c r="I33" i="9"/>
  <c r="I79" i="9"/>
  <c r="I98" i="9"/>
  <c r="K99" i="20"/>
  <c r="K80" i="99" s="1"/>
  <c r="J102" i="20"/>
  <c r="M71" i="99"/>
  <c r="N55" i="99"/>
  <c r="O74" i="20"/>
  <c r="N61" i="99"/>
  <c r="O80" i="20"/>
  <c r="L78" i="99"/>
  <c r="M58" i="99"/>
  <c r="N77" i="20"/>
  <c r="M97" i="97"/>
  <c r="N95" i="97"/>
  <c r="M60" i="99"/>
  <c r="N79" i="20"/>
  <c r="M62" i="99"/>
  <c r="N81" i="20"/>
  <c r="M64" i="99"/>
  <c r="N83" i="20"/>
  <c r="O67" i="99"/>
  <c r="P86" i="20"/>
  <c r="L93" i="97"/>
  <c r="L102" i="97" s="1"/>
  <c r="M72" i="97"/>
  <c r="N69" i="99"/>
  <c r="O88" i="20"/>
  <c r="N73" i="99"/>
  <c r="O92" i="20"/>
  <c r="N57" i="99"/>
  <c r="O76" i="20"/>
  <c r="O95" i="20"/>
  <c r="N65" i="99"/>
  <c r="O84" i="20"/>
  <c r="M70" i="99"/>
  <c r="N89" i="20"/>
  <c r="M72" i="99"/>
  <c r="N59" i="99"/>
  <c r="O78" i="20"/>
  <c r="N56" i="99"/>
  <c r="O75" i="20"/>
  <c r="O63" i="99"/>
  <c r="P82" i="20"/>
  <c r="N82" i="99"/>
  <c r="O101" i="20"/>
  <c r="M77" i="99"/>
  <c r="N96" i="20"/>
  <c r="N97" i="20" s="1"/>
  <c r="N21" i="99"/>
  <c r="O31" i="20"/>
  <c r="L17" i="99"/>
  <c r="M27" i="20"/>
  <c r="N20" i="99"/>
  <c r="O30" i="20"/>
  <c r="M66" i="99"/>
  <c r="N85" i="20"/>
  <c r="M68" i="99"/>
  <c r="N87" i="20"/>
  <c r="M76" i="99"/>
  <c r="F39" i="84"/>
  <c r="F41" i="84" s="1"/>
  <c r="F58" i="84" s="1"/>
  <c r="I22" i="99"/>
  <c r="I24" i="99" s="1"/>
  <c r="H38" i="97"/>
  <c r="H104" i="97" s="1"/>
  <c r="H43" i="97" s="1"/>
  <c r="H52" i="97" s="1"/>
  <c r="H62" i="97" s="1"/>
  <c r="K25" i="97"/>
  <c r="J32" i="97"/>
  <c r="J34" i="97" s="1"/>
  <c r="J15" i="99"/>
  <c r="J32" i="20"/>
  <c r="J34" i="20" s="1"/>
  <c r="K25" i="20"/>
  <c r="I36" i="97"/>
  <c r="I36" i="20"/>
  <c r="J16" i="99"/>
  <c r="K26" i="20"/>
  <c r="F41" i="49"/>
  <c r="CE2" i="51"/>
  <c r="BY2" i="51"/>
  <c r="H26" i="99"/>
  <c r="H38" i="20"/>
  <c r="K54" i="99" l="1"/>
  <c r="L73" i="20"/>
  <c r="E65" i="49"/>
  <c r="E62" i="49" s="1"/>
  <c r="F67" i="49" s="1"/>
  <c r="G25" i="37" s="1"/>
  <c r="M41" i="49"/>
  <c r="K53" i="99"/>
  <c r="K74" i="99" s="1"/>
  <c r="K83" i="99" s="1"/>
  <c r="K93" i="20"/>
  <c r="K102" i="20" s="1"/>
  <c r="L72" i="20"/>
  <c r="H28" i="99"/>
  <c r="H85" i="99" s="1"/>
  <c r="H33" i="99" s="1"/>
  <c r="L99" i="20"/>
  <c r="N71" i="99"/>
  <c r="I26" i="99"/>
  <c r="I28" i="99" s="1"/>
  <c r="I85" i="99" s="1"/>
  <c r="I33" i="99" s="1"/>
  <c r="I44" i="99" s="1"/>
  <c r="M78" i="99"/>
  <c r="M17" i="99"/>
  <c r="N27" i="20"/>
  <c r="O21" i="99"/>
  <c r="P31" i="20"/>
  <c r="O73" i="99"/>
  <c r="P92" i="20"/>
  <c r="M93" i="97"/>
  <c r="M102" i="97" s="1"/>
  <c r="N72" i="97"/>
  <c r="N64" i="99"/>
  <c r="O83" i="20"/>
  <c r="N60" i="99"/>
  <c r="O79" i="20"/>
  <c r="O61" i="99"/>
  <c r="P80" i="20"/>
  <c r="O55" i="99"/>
  <c r="P74" i="20"/>
  <c r="O20" i="99"/>
  <c r="P30" i="20"/>
  <c r="N77" i="99"/>
  <c r="O96" i="20"/>
  <c r="O97" i="20" s="1"/>
  <c r="O57" i="99"/>
  <c r="P76" i="20"/>
  <c r="O69" i="99"/>
  <c r="P88" i="20"/>
  <c r="P67" i="99"/>
  <c r="Q86" i="20"/>
  <c r="N62" i="99"/>
  <c r="O81" i="20"/>
  <c r="N66" i="99"/>
  <c r="O85" i="20"/>
  <c r="P63" i="99"/>
  <c r="Q82" i="20"/>
  <c r="O59" i="99"/>
  <c r="P78" i="20"/>
  <c r="N70" i="99"/>
  <c r="O89" i="20"/>
  <c r="P95" i="20"/>
  <c r="N97" i="97"/>
  <c r="O95" i="97"/>
  <c r="N68" i="99"/>
  <c r="O87" i="20"/>
  <c r="O82" i="99"/>
  <c r="P101" i="20"/>
  <c r="O56" i="99"/>
  <c r="P75" i="20"/>
  <c r="N72" i="99"/>
  <c r="O65" i="99"/>
  <c r="P84" i="20"/>
  <c r="N76" i="99"/>
  <c r="N58" i="99"/>
  <c r="O77" i="20"/>
  <c r="H61" i="97"/>
  <c r="H51" i="97"/>
  <c r="I38" i="97"/>
  <c r="I104" i="97" s="1"/>
  <c r="I43" i="97" s="1"/>
  <c r="I51" i="97" s="1"/>
  <c r="J36" i="20"/>
  <c r="J124" i="88"/>
  <c r="CA2" i="51"/>
  <c r="I38" i="20"/>
  <c r="I104" i="20" s="1"/>
  <c r="I43" i="20" s="1"/>
  <c r="J22" i="99"/>
  <c r="J24" i="99" s="1"/>
  <c r="H104" i="20"/>
  <c r="H43" i="20" s="1"/>
  <c r="CL2" i="51"/>
  <c r="K16" i="99"/>
  <c r="L26" i="20"/>
  <c r="J36" i="97"/>
  <c r="K32" i="20"/>
  <c r="K34" i="20" s="1"/>
  <c r="L25" i="20"/>
  <c r="K15" i="99"/>
  <c r="K32" i="97"/>
  <c r="K34" i="97" s="1"/>
  <c r="L25" i="97"/>
  <c r="N78" i="99" l="1"/>
  <c r="M73" i="20"/>
  <c r="L54" i="99"/>
  <c r="L93" i="20"/>
  <c r="L102" i="20" s="1"/>
  <c r="M72" i="20"/>
  <c r="L53" i="99"/>
  <c r="L74" i="99" s="1"/>
  <c r="M99" i="20"/>
  <c r="M80" i="99" s="1"/>
  <c r="L80" i="99"/>
  <c r="O71" i="99"/>
  <c r="P82" i="99"/>
  <c r="Q101" i="20"/>
  <c r="Q63" i="99"/>
  <c r="R82" i="20"/>
  <c r="Q67" i="99"/>
  <c r="R86" i="20"/>
  <c r="P65" i="99"/>
  <c r="Q84" i="20"/>
  <c r="P56" i="99"/>
  <c r="Q75" i="20"/>
  <c r="O68" i="99"/>
  <c r="P87" i="20"/>
  <c r="O77" i="99"/>
  <c r="P96" i="20"/>
  <c r="P97" i="20" s="1"/>
  <c r="P20" i="99"/>
  <c r="Q30" i="20"/>
  <c r="P61" i="99"/>
  <c r="Q80" i="20"/>
  <c r="O64" i="99"/>
  <c r="P83" i="20"/>
  <c r="P73" i="99"/>
  <c r="Q92" i="20"/>
  <c r="O72" i="99"/>
  <c r="P95" i="97"/>
  <c r="O97" i="97"/>
  <c r="O76" i="99"/>
  <c r="P55" i="99"/>
  <c r="Q74" i="20"/>
  <c r="O60" i="99"/>
  <c r="P79" i="20"/>
  <c r="N93" i="97"/>
  <c r="N102" i="97" s="1"/>
  <c r="O72" i="97"/>
  <c r="O70" i="99"/>
  <c r="P89" i="20"/>
  <c r="P57" i="99"/>
  <c r="Q76" i="20"/>
  <c r="N17" i="99"/>
  <c r="O27" i="20"/>
  <c r="O58" i="99"/>
  <c r="P77" i="20"/>
  <c r="Q95" i="20"/>
  <c r="P59" i="99"/>
  <c r="Q78" i="20"/>
  <c r="O66" i="99"/>
  <c r="P85" i="20"/>
  <c r="O62" i="99"/>
  <c r="P81" i="20"/>
  <c r="P69" i="99"/>
  <c r="Q88" i="20"/>
  <c r="P21" i="99"/>
  <c r="Q31" i="20"/>
  <c r="I61" i="97"/>
  <c r="I52" i="97"/>
  <c r="I62" i="97" s="1"/>
  <c r="K22" i="99"/>
  <c r="K24" i="99" s="1"/>
  <c r="J38" i="97"/>
  <c r="J104" i="97" s="1"/>
  <c r="J43" i="97" s="1"/>
  <c r="J51" i="97" s="1"/>
  <c r="I39" i="99"/>
  <c r="I45" i="99" s="1"/>
  <c r="H52" i="20"/>
  <c r="H62" i="20" s="1"/>
  <c r="CU2" i="51" s="1"/>
  <c r="H61" i="20"/>
  <c r="H51" i="20"/>
  <c r="M26" i="20"/>
  <c r="L16" i="99"/>
  <c r="J26" i="99"/>
  <c r="L32" i="97"/>
  <c r="L34" i="97" s="1"/>
  <c r="M25" i="97"/>
  <c r="K36" i="20"/>
  <c r="H44" i="99"/>
  <c r="H39" i="99"/>
  <c r="H45" i="99" s="1"/>
  <c r="I61" i="20"/>
  <c r="I51" i="20"/>
  <c r="I38" i="99" s="1"/>
  <c r="I52" i="20"/>
  <c r="I62" i="20" s="1"/>
  <c r="CV2" i="51" s="1"/>
  <c r="J38" i="20"/>
  <c r="J104" i="20" s="1"/>
  <c r="J43" i="20" s="1"/>
  <c r="L15" i="99"/>
  <c r="M25" i="20"/>
  <c r="L32" i="20"/>
  <c r="L34" i="20" s="1"/>
  <c r="K36" i="97"/>
  <c r="N99" i="20" l="1"/>
  <c r="N73" i="20"/>
  <c r="M54" i="99"/>
  <c r="L83" i="99"/>
  <c r="M53" i="99"/>
  <c r="M74" i="99" s="1"/>
  <c r="M93" i="20"/>
  <c r="M102" i="20" s="1"/>
  <c r="N72" i="20"/>
  <c r="K26" i="99"/>
  <c r="K28" i="99" s="1"/>
  <c r="K85" i="99" s="1"/>
  <c r="K33" i="99" s="1"/>
  <c r="K44" i="99" s="1"/>
  <c r="P71" i="99"/>
  <c r="Q21" i="99"/>
  <c r="R31" i="20"/>
  <c r="P58" i="99"/>
  <c r="Q77" i="20"/>
  <c r="Q73" i="99"/>
  <c r="R92" i="20"/>
  <c r="R67" i="99"/>
  <c r="S86" i="20"/>
  <c r="Q69" i="99"/>
  <c r="R88" i="20"/>
  <c r="R95" i="20"/>
  <c r="Q55" i="99"/>
  <c r="R74" i="20"/>
  <c r="O17" i="99"/>
  <c r="P27" i="20"/>
  <c r="M83" i="99"/>
  <c r="P72" i="99"/>
  <c r="P64" i="99"/>
  <c r="Q83" i="20"/>
  <c r="Q20" i="99"/>
  <c r="R30" i="20"/>
  <c r="P68" i="99"/>
  <c r="Q87" i="20"/>
  <c r="Q65" i="99"/>
  <c r="R84" i="20"/>
  <c r="R63" i="99"/>
  <c r="S82" i="20"/>
  <c r="Q82" i="99"/>
  <c r="R101" i="20"/>
  <c r="N80" i="99"/>
  <c r="O99" i="20"/>
  <c r="Q61" i="99"/>
  <c r="R80" i="20"/>
  <c r="P77" i="99"/>
  <c r="Q96" i="20"/>
  <c r="Q97" i="20" s="1"/>
  <c r="Q56" i="99"/>
  <c r="R75" i="20"/>
  <c r="P66" i="99"/>
  <c r="Q85" i="20"/>
  <c r="O93" i="97"/>
  <c r="O102" i="97" s="1"/>
  <c r="P72" i="97"/>
  <c r="P97" i="97"/>
  <c r="Q95" i="97"/>
  <c r="Q76" i="99" s="1"/>
  <c r="P62" i="99"/>
  <c r="Q81" i="20"/>
  <c r="Q59" i="99"/>
  <c r="R78" i="20"/>
  <c r="P76" i="99"/>
  <c r="Q57" i="99"/>
  <c r="R76" i="20"/>
  <c r="P70" i="99"/>
  <c r="Q89" i="20"/>
  <c r="P60" i="99"/>
  <c r="Q79" i="20"/>
  <c r="O78" i="99"/>
  <c r="J61" i="97"/>
  <c r="J52" i="97"/>
  <c r="J62" i="97" s="1"/>
  <c r="J28" i="99"/>
  <c r="J85" i="99" s="1"/>
  <c r="J33" i="99" s="1"/>
  <c r="J39" i="99" s="1"/>
  <c r="J45" i="99" s="1"/>
  <c r="K38" i="97"/>
  <c r="K104" i="97" s="1"/>
  <c r="K43" i="97" s="1"/>
  <c r="K52" i="97" s="1"/>
  <c r="K62" i="97" s="1"/>
  <c r="L36" i="20"/>
  <c r="M15" i="99"/>
  <c r="N25" i="20"/>
  <c r="M32" i="20"/>
  <c r="M34" i="20" s="1"/>
  <c r="J61" i="20"/>
  <c r="J51" i="20"/>
  <c r="J38" i="99" s="1"/>
  <c r="J52" i="20"/>
  <c r="J62" i="20" s="1"/>
  <c r="CW2" i="51" s="1"/>
  <c r="M32" i="97"/>
  <c r="M34" i="97" s="1"/>
  <c r="N25" i="97"/>
  <c r="L22" i="99"/>
  <c r="L24" i="99" s="1"/>
  <c r="L36" i="97"/>
  <c r="M16" i="99"/>
  <c r="N26" i="20"/>
  <c r="K38" i="20"/>
  <c r="K104" i="20" s="1"/>
  <c r="K43" i="20" s="1"/>
  <c r="H38" i="99"/>
  <c r="CT2" i="51"/>
  <c r="N54" i="99" l="1"/>
  <c r="O73" i="20"/>
  <c r="N53" i="99"/>
  <c r="N74" i="99" s="1"/>
  <c r="N83" i="99" s="1"/>
  <c r="N93" i="20"/>
  <c r="N102" i="20" s="1"/>
  <c r="O72" i="20"/>
  <c r="P78" i="99"/>
  <c r="Q71" i="99"/>
  <c r="Q70" i="99"/>
  <c r="R89" i="20"/>
  <c r="P93" i="97"/>
  <c r="P102" i="97" s="1"/>
  <c r="Q72" i="97"/>
  <c r="Q66" i="99"/>
  <c r="R85" i="20"/>
  <c r="R56" i="99"/>
  <c r="S75" i="20"/>
  <c r="R61" i="99"/>
  <c r="S80" i="20"/>
  <c r="P17" i="99"/>
  <c r="Q27" i="20"/>
  <c r="S67" i="99"/>
  <c r="T86" i="20"/>
  <c r="Q58" i="99"/>
  <c r="R77" i="20"/>
  <c r="R59" i="99"/>
  <c r="S78" i="20"/>
  <c r="R82" i="99"/>
  <c r="S101" i="20"/>
  <c r="R65" i="99"/>
  <c r="S84" i="20"/>
  <c r="R20" i="99"/>
  <c r="S30" i="20"/>
  <c r="Q72" i="99"/>
  <c r="R55" i="99"/>
  <c r="S74" i="20"/>
  <c r="Q60" i="99"/>
  <c r="R79" i="20"/>
  <c r="R57" i="99"/>
  <c r="S76" i="20"/>
  <c r="Q97" i="97"/>
  <c r="R95" i="97"/>
  <c r="Q77" i="99"/>
  <c r="Q78" i="99" s="1"/>
  <c r="R96" i="20"/>
  <c r="R97" i="20" s="1"/>
  <c r="O80" i="99"/>
  <c r="P99" i="20"/>
  <c r="R69" i="99"/>
  <c r="S88" i="20"/>
  <c r="R73" i="99"/>
  <c r="S92" i="20"/>
  <c r="R21" i="99"/>
  <c r="S31" i="20"/>
  <c r="Q62" i="99"/>
  <c r="R81" i="20"/>
  <c r="S63" i="99"/>
  <c r="T82" i="20"/>
  <c r="Q68" i="99"/>
  <c r="R87" i="20"/>
  <c r="Q64" i="99"/>
  <c r="R83" i="20"/>
  <c r="S95" i="20"/>
  <c r="J44" i="99"/>
  <c r="K51" i="97"/>
  <c r="K61" i="97"/>
  <c r="K39" i="99"/>
  <c r="K45" i="99" s="1"/>
  <c r="L38" i="97"/>
  <c r="L104" i="97" s="1"/>
  <c r="L43" i="97" s="1"/>
  <c r="L52" i="97" s="1"/>
  <c r="L62" i="97" s="1"/>
  <c r="M22" i="99"/>
  <c r="L38" i="20"/>
  <c r="L104" i="20" s="1"/>
  <c r="L43" i="20" s="1"/>
  <c r="L61" i="20" s="1"/>
  <c r="K51" i="20"/>
  <c r="K52" i="20"/>
  <c r="K62" i="20" s="1"/>
  <c r="K61" i="20"/>
  <c r="N16" i="99"/>
  <c r="O26" i="20"/>
  <c r="L26" i="99"/>
  <c r="O25" i="97"/>
  <c r="N32" i="97"/>
  <c r="N34" i="97" s="1"/>
  <c r="M36" i="97"/>
  <c r="M36" i="20"/>
  <c r="N15" i="99"/>
  <c r="N32" i="20"/>
  <c r="N34" i="20" s="1"/>
  <c r="O25" i="20"/>
  <c r="O54" i="99" l="1"/>
  <c r="P73" i="20"/>
  <c r="O53" i="99"/>
  <c r="O74" i="99" s="1"/>
  <c r="O83" i="99" s="1"/>
  <c r="O93" i="20"/>
  <c r="O102" i="20" s="1"/>
  <c r="P72" i="20"/>
  <c r="M26" i="99"/>
  <c r="M24" i="99"/>
  <c r="R71" i="99"/>
  <c r="P80" i="99"/>
  <c r="Q99" i="20"/>
  <c r="R97" i="97"/>
  <c r="S95" i="97"/>
  <c r="R60" i="99"/>
  <c r="S79" i="20"/>
  <c r="Q17" i="99"/>
  <c r="R27" i="20"/>
  <c r="S56" i="99"/>
  <c r="T75" i="20"/>
  <c r="Q93" i="97"/>
  <c r="Q102" i="97" s="1"/>
  <c r="R72" i="97"/>
  <c r="R76" i="99"/>
  <c r="R68" i="99"/>
  <c r="S87" i="20"/>
  <c r="R62" i="99"/>
  <c r="S81" i="20"/>
  <c r="S73" i="99"/>
  <c r="T92" i="20"/>
  <c r="R72" i="99"/>
  <c r="S65" i="99"/>
  <c r="T84" i="20"/>
  <c r="S59" i="99"/>
  <c r="T78" i="20"/>
  <c r="T67" i="99"/>
  <c r="U86" i="20"/>
  <c r="R77" i="99"/>
  <c r="S96" i="20"/>
  <c r="S57" i="99"/>
  <c r="T76" i="20"/>
  <c r="S61" i="99"/>
  <c r="T80" i="20"/>
  <c r="R70" i="99"/>
  <c r="S89" i="20"/>
  <c r="R66" i="99"/>
  <c r="S85" i="20"/>
  <c r="S76" i="99"/>
  <c r="T95" i="20"/>
  <c r="S97" i="20"/>
  <c r="R64" i="99"/>
  <c r="S83" i="20"/>
  <c r="T63" i="99"/>
  <c r="U82" i="20"/>
  <c r="S21" i="99"/>
  <c r="T31" i="20"/>
  <c r="S69" i="99"/>
  <c r="T88" i="20"/>
  <c r="S55" i="99"/>
  <c r="T74" i="20"/>
  <c r="S20" i="99"/>
  <c r="T30" i="20"/>
  <c r="S82" i="99"/>
  <c r="T101" i="20"/>
  <c r="R58" i="99"/>
  <c r="S77" i="20"/>
  <c r="T77" i="20" s="1"/>
  <c r="L52" i="20"/>
  <c r="L62" i="20" s="1"/>
  <c r="K38" i="99"/>
  <c r="L51" i="20"/>
  <c r="L51" i="97"/>
  <c r="L61" i="97"/>
  <c r="L28" i="99"/>
  <c r="L85" i="99" s="1"/>
  <c r="L33" i="99" s="1"/>
  <c r="L39" i="99" s="1"/>
  <c r="L45" i="99" s="1"/>
  <c r="O32" i="20"/>
  <c r="O34" i="20" s="1"/>
  <c r="P25" i="20"/>
  <c r="O15" i="99"/>
  <c r="O32" i="97"/>
  <c r="O34" i="97" s="1"/>
  <c r="P25" i="97"/>
  <c r="N36" i="20"/>
  <c r="N22" i="99"/>
  <c r="N24" i="99" s="1"/>
  <c r="M38" i="97"/>
  <c r="M104" i="97" s="1"/>
  <c r="M43" i="97" s="1"/>
  <c r="M38" i="20"/>
  <c r="M104" i="20" s="1"/>
  <c r="M43" i="20" s="1"/>
  <c r="N36" i="97"/>
  <c r="O16" i="99"/>
  <c r="P26" i="20"/>
  <c r="P54" i="99" l="1"/>
  <c r="Q73" i="20"/>
  <c r="M28" i="99"/>
  <c r="M85" i="99" s="1"/>
  <c r="M33" i="99" s="1"/>
  <c r="M39" i="99" s="1"/>
  <c r="M45" i="99" s="1"/>
  <c r="P93" i="20"/>
  <c r="P102" i="20" s="1"/>
  <c r="P53" i="99"/>
  <c r="P74" i="99" s="1"/>
  <c r="P83" i="99" s="1"/>
  <c r="Q72" i="20"/>
  <c r="S71" i="99"/>
  <c r="R78" i="99"/>
  <c r="T69" i="99"/>
  <c r="U88" i="20"/>
  <c r="T59" i="99"/>
  <c r="U78" i="20"/>
  <c r="T56" i="99"/>
  <c r="U75" i="20"/>
  <c r="T55" i="99"/>
  <c r="U74" i="20"/>
  <c r="U95" i="20"/>
  <c r="T57" i="99"/>
  <c r="U76" i="20"/>
  <c r="S77" i="99"/>
  <c r="S78" i="99" s="1"/>
  <c r="T96" i="20"/>
  <c r="T97" i="20" s="1"/>
  <c r="S62" i="99"/>
  <c r="T81" i="20"/>
  <c r="T21" i="99"/>
  <c r="U31" i="20"/>
  <c r="S64" i="99"/>
  <c r="T83" i="20"/>
  <c r="U67" i="99"/>
  <c r="V86" i="20"/>
  <c r="V67" i="99" s="1"/>
  <c r="T65" i="99"/>
  <c r="U84" i="20"/>
  <c r="R93" i="97"/>
  <c r="R102" i="97" s="1"/>
  <c r="S72" i="97"/>
  <c r="R17" i="99"/>
  <c r="S27" i="20"/>
  <c r="T95" i="97"/>
  <c r="T76" i="99" s="1"/>
  <c r="S97" i="97"/>
  <c r="Q80" i="99"/>
  <c r="R99" i="20"/>
  <c r="U63" i="99"/>
  <c r="V82" i="20"/>
  <c r="V63" i="99" s="1"/>
  <c r="S72" i="99"/>
  <c r="S60" i="99"/>
  <c r="T79" i="20"/>
  <c r="T82" i="99"/>
  <c r="U101" i="20"/>
  <c r="S70" i="99"/>
  <c r="T89" i="20"/>
  <c r="S58" i="99"/>
  <c r="T20" i="99"/>
  <c r="U30" i="20"/>
  <c r="S66" i="99"/>
  <c r="T85" i="20"/>
  <c r="T61" i="99"/>
  <c r="U80" i="20"/>
  <c r="T73" i="99"/>
  <c r="U92" i="20"/>
  <c r="S68" i="99"/>
  <c r="T87" i="20"/>
  <c r="L44" i="99"/>
  <c r="L38" i="99"/>
  <c r="N38" i="20"/>
  <c r="N104" i="20" s="1"/>
  <c r="N43" i="20" s="1"/>
  <c r="N61" i="20" s="1"/>
  <c r="N38" i="97"/>
  <c r="N104" i="97" s="1"/>
  <c r="N43" i="97" s="1"/>
  <c r="N26" i="99"/>
  <c r="P15" i="99"/>
  <c r="Q25" i="20"/>
  <c r="P32" i="20"/>
  <c r="P34" i="20" s="1"/>
  <c r="O36" i="97"/>
  <c r="M61" i="97"/>
  <c r="M51" i="97"/>
  <c r="M52" i="97"/>
  <c r="M62" i="97" s="1"/>
  <c r="O22" i="99"/>
  <c r="O24" i="99" s="1"/>
  <c r="Q26" i="20"/>
  <c r="P16" i="99"/>
  <c r="M61" i="20"/>
  <c r="M51" i="20"/>
  <c r="M52" i="20"/>
  <c r="M62" i="20" s="1"/>
  <c r="P32" i="97"/>
  <c r="P34" i="97" s="1"/>
  <c r="Q25" i="97"/>
  <c r="O36" i="20"/>
  <c r="M44" i="99" l="1"/>
  <c r="R73" i="20"/>
  <c r="Q54" i="99"/>
  <c r="Q53" i="99"/>
  <c r="Q74" i="99" s="1"/>
  <c r="Q83" i="99" s="1"/>
  <c r="Q93" i="20"/>
  <c r="Q102" i="20" s="1"/>
  <c r="R72" i="20"/>
  <c r="T71" i="99"/>
  <c r="T68" i="99"/>
  <c r="U87" i="20"/>
  <c r="T62" i="99"/>
  <c r="U81" i="20"/>
  <c r="U61" i="99"/>
  <c r="V80" i="20"/>
  <c r="V61" i="99" s="1"/>
  <c r="T70" i="99"/>
  <c r="U89" i="20"/>
  <c r="T60" i="99"/>
  <c r="U79" i="20"/>
  <c r="U57" i="99"/>
  <c r="V76" i="20"/>
  <c r="V57" i="99" s="1"/>
  <c r="U73" i="99"/>
  <c r="V92" i="20"/>
  <c r="V73" i="99" s="1"/>
  <c r="T97" i="97"/>
  <c r="U95" i="97"/>
  <c r="U21" i="99"/>
  <c r="V31" i="20"/>
  <c r="V21" i="99" s="1"/>
  <c r="U55" i="99"/>
  <c r="V74" i="20"/>
  <c r="V55" i="99" s="1"/>
  <c r="U56" i="99"/>
  <c r="V75" i="20"/>
  <c r="V56" i="99" s="1"/>
  <c r="U69" i="99"/>
  <c r="V88" i="20"/>
  <c r="V69" i="99" s="1"/>
  <c r="T64" i="99"/>
  <c r="U83" i="20"/>
  <c r="U59" i="99"/>
  <c r="V78" i="20"/>
  <c r="V59" i="99" s="1"/>
  <c r="U20" i="99"/>
  <c r="V30" i="20"/>
  <c r="V20" i="99" s="1"/>
  <c r="S93" i="97"/>
  <c r="S102" i="97" s="1"/>
  <c r="T72" i="97"/>
  <c r="T66" i="99"/>
  <c r="U85" i="20"/>
  <c r="T58" i="99"/>
  <c r="U77" i="20"/>
  <c r="U82" i="99"/>
  <c r="V101" i="20"/>
  <c r="V82" i="99" s="1"/>
  <c r="T72" i="99"/>
  <c r="R80" i="99"/>
  <c r="S99" i="20"/>
  <c r="S17" i="99"/>
  <c r="T27" i="20"/>
  <c r="U65" i="99"/>
  <c r="V84" i="20"/>
  <c r="V65" i="99" s="1"/>
  <c r="T77" i="99"/>
  <c r="T78" i="99" s="1"/>
  <c r="U96" i="20"/>
  <c r="U76" i="99"/>
  <c r="V95" i="20"/>
  <c r="N28" i="99"/>
  <c r="N85" i="99" s="1"/>
  <c r="N33" i="99" s="1"/>
  <c r="N44" i="99" s="1"/>
  <c r="N52" i="20"/>
  <c r="N62" i="20" s="1"/>
  <c r="N51" i="20"/>
  <c r="Q32" i="97"/>
  <c r="Q34" i="97" s="1"/>
  <c r="R25" i="97"/>
  <c r="Q15" i="99"/>
  <c r="R25" i="20"/>
  <c r="Q32" i="20"/>
  <c r="Q34" i="20" s="1"/>
  <c r="P36" i="97"/>
  <c r="O38" i="20"/>
  <c r="O104" i="20" s="1"/>
  <c r="O43" i="20" s="1"/>
  <c r="Q16" i="99"/>
  <c r="R26" i="20"/>
  <c r="N61" i="97"/>
  <c r="N51" i="97"/>
  <c r="N52" i="97"/>
  <c r="N62" i="97" s="1"/>
  <c r="P22" i="99"/>
  <c r="P24" i="99" s="1"/>
  <c r="M38" i="99"/>
  <c r="O26" i="99"/>
  <c r="O38" i="97"/>
  <c r="O104" i="97" s="1"/>
  <c r="O43" i="97" s="1"/>
  <c r="P36" i="20"/>
  <c r="R54" i="99" l="1"/>
  <c r="S73" i="20"/>
  <c r="S72" i="20"/>
  <c r="R53" i="99"/>
  <c r="R74" i="99" s="1"/>
  <c r="R83" i="99" s="1"/>
  <c r="R93" i="20"/>
  <c r="R102" i="20" s="1"/>
  <c r="U71" i="99"/>
  <c r="V71" i="99"/>
  <c r="T17" i="99"/>
  <c r="U27" i="20"/>
  <c r="U58" i="99"/>
  <c r="V77" i="20"/>
  <c r="V58" i="99" s="1"/>
  <c r="U97" i="97"/>
  <c r="V95" i="97"/>
  <c r="V97" i="97" s="1"/>
  <c r="T93" i="97"/>
  <c r="T102" i="97" s="1"/>
  <c r="U72" i="97"/>
  <c r="U70" i="99"/>
  <c r="V89" i="20"/>
  <c r="V70" i="99" s="1"/>
  <c r="U68" i="99"/>
  <c r="V87" i="20"/>
  <c r="V68" i="99" s="1"/>
  <c r="U64" i="99"/>
  <c r="V83" i="20"/>
  <c r="V64" i="99" s="1"/>
  <c r="U60" i="99"/>
  <c r="V79" i="20"/>
  <c r="V60" i="99" s="1"/>
  <c r="U62" i="99"/>
  <c r="V81" i="20"/>
  <c r="V62" i="99" s="1"/>
  <c r="U77" i="99"/>
  <c r="U78" i="99" s="1"/>
  <c r="V96" i="20"/>
  <c r="V77" i="99" s="1"/>
  <c r="U72" i="99"/>
  <c r="V72" i="99"/>
  <c r="U97" i="20"/>
  <c r="S80" i="99"/>
  <c r="T99" i="20"/>
  <c r="U66" i="99"/>
  <c r="V85" i="20"/>
  <c r="V66" i="99" s="1"/>
  <c r="N39" i="99"/>
  <c r="N45" i="99" s="1"/>
  <c r="N38" i="99"/>
  <c r="P38" i="97"/>
  <c r="P104" i="97" s="1"/>
  <c r="P43" i="97" s="1"/>
  <c r="P52" i="97" s="1"/>
  <c r="P62" i="97" s="1"/>
  <c r="O51" i="97"/>
  <c r="O52" i="97"/>
  <c r="O62" i="97" s="1"/>
  <c r="O61" i="97"/>
  <c r="P26" i="99"/>
  <c r="Q36" i="20"/>
  <c r="Q36" i="97"/>
  <c r="O51" i="20"/>
  <c r="O52" i="20"/>
  <c r="O62" i="20" s="1"/>
  <c r="O61" i="20"/>
  <c r="R15" i="99"/>
  <c r="R32" i="20"/>
  <c r="R34" i="20" s="1"/>
  <c r="S25" i="20"/>
  <c r="P38" i="20"/>
  <c r="P104" i="20" s="1"/>
  <c r="P43" i="20" s="1"/>
  <c r="O28" i="99"/>
  <c r="O85" i="99" s="1"/>
  <c r="O33" i="99" s="1"/>
  <c r="Q22" i="99"/>
  <c r="Q24" i="99" s="1"/>
  <c r="R16" i="99"/>
  <c r="S26" i="20"/>
  <c r="S25" i="97"/>
  <c r="R32" i="97"/>
  <c r="R34" i="97" s="1"/>
  <c r="S54" i="99" l="1"/>
  <c r="T73" i="20"/>
  <c r="S53" i="99"/>
  <c r="S74" i="99" s="1"/>
  <c r="S83" i="99" s="1"/>
  <c r="S93" i="20"/>
  <c r="S102" i="20" s="1"/>
  <c r="T72" i="20"/>
  <c r="V76" i="99"/>
  <c r="V78" i="99" s="1"/>
  <c r="U93" i="97"/>
  <c r="U102" i="97" s="1"/>
  <c r="V72" i="97"/>
  <c r="V93" i="97" s="1"/>
  <c r="V102" i="97" s="1"/>
  <c r="U17" i="99"/>
  <c r="V27" i="20"/>
  <c r="V17" i="99" s="1"/>
  <c r="T80" i="99"/>
  <c r="U99" i="20"/>
  <c r="V97" i="20"/>
  <c r="P61" i="97"/>
  <c r="P51" i="97"/>
  <c r="Q38" i="20"/>
  <c r="Q104" i="20" s="1"/>
  <c r="Q43" i="20" s="1"/>
  <c r="Q51" i="20" s="1"/>
  <c r="R22" i="99"/>
  <c r="P28" i="99"/>
  <c r="P85" i="99" s="1"/>
  <c r="P33" i="99" s="1"/>
  <c r="P39" i="99" s="1"/>
  <c r="P45" i="99" s="1"/>
  <c r="O39" i="99"/>
  <c r="O45" i="99" s="1"/>
  <c r="O44" i="99"/>
  <c r="S32" i="97"/>
  <c r="S34" i="97" s="1"/>
  <c r="T25" i="97"/>
  <c r="P52" i="20"/>
  <c r="P62" i="20" s="1"/>
  <c r="P61" i="20"/>
  <c r="P51" i="20"/>
  <c r="Q38" i="97"/>
  <c r="Q104" i="97" s="1"/>
  <c r="Q43" i="97" s="1"/>
  <c r="S32" i="20"/>
  <c r="S34" i="20" s="1"/>
  <c r="S15" i="99"/>
  <c r="T25" i="20"/>
  <c r="S16" i="99"/>
  <c r="T26" i="20"/>
  <c r="Q26" i="99"/>
  <c r="R36" i="20"/>
  <c r="O38" i="99"/>
  <c r="R36" i="97"/>
  <c r="T54" i="99" l="1"/>
  <c r="U73" i="20"/>
  <c r="U72" i="20"/>
  <c r="T53" i="99"/>
  <c r="T74" i="99" s="1"/>
  <c r="T83" i="99" s="1"/>
  <c r="T93" i="20"/>
  <c r="T102" i="20" s="1"/>
  <c r="R26" i="99"/>
  <c r="R24" i="99"/>
  <c r="U80" i="99"/>
  <c r="V99" i="20"/>
  <c r="V80" i="99" s="1"/>
  <c r="P38" i="99"/>
  <c r="P44" i="99"/>
  <c r="Q61" i="20"/>
  <c r="Q52" i="20"/>
  <c r="Q62" i="20" s="1"/>
  <c r="S22" i="99"/>
  <c r="S24" i="99" s="1"/>
  <c r="T15" i="99"/>
  <c r="U25" i="20"/>
  <c r="T32" i="20"/>
  <c r="T34" i="20" s="1"/>
  <c r="T16" i="99"/>
  <c r="U26" i="20"/>
  <c r="S36" i="20"/>
  <c r="S36" i="97"/>
  <c r="R38" i="20"/>
  <c r="R104" i="20" s="1"/>
  <c r="R43" i="20" s="1"/>
  <c r="R38" i="97"/>
  <c r="R104" i="97" s="1"/>
  <c r="R43" i="97" s="1"/>
  <c r="Q28" i="99"/>
  <c r="Q85" i="99" s="1"/>
  <c r="Q33" i="99" s="1"/>
  <c r="Q61" i="97"/>
  <c r="Q51" i="97"/>
  <c r="Q38" i="99" s="1"/>
  <c r="Q52" i="97"/>
  <c r="Q62" i="97" s="1"/>
  <c r="T32" i="97"/>
  <c r="T34" i="97" s="1"/>
  <c r="U25" i="97"/>
  <c r="U54" i="99" l="1"/>
  <c r="V73" i="20"/>
  <c r="V54" i="99" s="1"/>
  <c r="R28" i="99"/>
  <c r="R85" i="99" s="1"/>
  <c r="R33" i="99" s="1"/>
  <c r="R39" i="99" s="1"/>
  <c r="R45" i="99" s="1"/>
  <c r="V72" i="20"/>
  <c r="U53" i="99"/>
  <c r="U74" i="99" s="1"/>
  <c r="U83" i="99" s="1"/>
  <c r="U93" i="20"/>
  <c r="U102" i="20" s="1"/>
  <c r="T22" i="99"/>
  <c r="T24" i="99" s="1"/>
  <c r="S38" i="97"/>
  <c r="S104" i="97" s="1"/>
  <c r="S43" i="97" s="1"/>
  <c r="S51" i="97" s="1"/>
  <c r="S26" i="99"/>
  <c r="S28" i="99" s="1"/>
  <c r="S85" i="99" s="1"/>
  <c r="S33" i="99" s="1"/>
  <c r="S39" i="99" s="1"/>
  <c r="S45" i="99" s="1"/>
  <c r="T36" i="97"/>
  <c r="U15" i="99"/>
  <c r="V25" i="20"/>
  <c r="U32" i="20"/>
  <c r="U34" i="20" s="1"/>
  <c r="R61" i="20"/>
  <c r="R51" i="20"/>
  <c r="R52" i="20"/>
  <c r="R62" i="20" s="1"/>
  <c r="U16" i="99"/>
  <c r="V26" i="20"/>
  <c r="V16" i="99" s="1"/>
  <c r="R61" i="97"/>
  <c r="R51" i="97"/>
  <c r="R52" i="97"/>
  <c r="R62" i="97" s="1"/>
  <c r="U32" i="97"/>
  <c r="U34" i="97" s="1"/>
  <c r="V25" i="97"/>
  <c r="V32" i="97" s="1"/>
  <c r="V34" i="97" s="1"/>
  <c r="S38" i="20"/>
  <c r="S104" i="20" s="1"/>
  <c r="S43" i="20" s="1"/>
  <c r="Q44" i="99"/>
  <c r="Q39" i="99"/>
  <c r="Q45" i="99" s="1"/>
  <c r="T36" i="20"/>
  <c r="R44" i="99" l="1"/>
  <c r="V53" i="99"/>
  <c r="V74" i="99" s="1"/>
  <c r="V83" i="99" s="1"/>
  <c r="V93" i="20"/>
  <c r="V102" i="20" s="1"/>
  <c r="T26" i="99"/>
  <c r="T28" i="99" s="1"/>
  <c r="T85" i="99" s="1"/>
  <c r="T33" i="99" s="1"/>
  <c r="U22" i="99"/>
  <c r="S61" i="97"/>
  <c r="T38" i="20"/>
  <c r="T104" i="20" s="1"/>
  <c r="T43" i="20" s="1"/>
  <c r="T52" i="20" s="1"/>
  <c r="T62" i="20" s="1"/>
  <c r="S52" i="97"/>
  <c r="S62" i="97" s="1"/>
  <c r="R38" i="99"/>
  <c r="S44" i="99"/>
  <c r="V36" i="97"/>
  <c r="U36" i="97"/>
  <c r="T38" i="97"/>
  <c r="T104" i="97" s="1"/>
  <c r="T43" i="97" s="1"/>
  <c r="U36" i="20"/>
  <c r="S51" i="20"/>
  <c r="S38" i="99" s="1"/>
  <c r="S52" i="20"/>
  <c r="S62" i="20" s="1"/>
  <c r="S61" i="20"/>
  <c r="V15" i="99"/>
  <c r="V22" i="99" s="1"/>
  <c r="V24" i="99" s="1"/>
  <c r="V32" i="20"/>
  <c r="V34" i="20" s="1"/>
  <c r="U26" i="99" l="1"/>
  <c r="U24" i="99"/>
  <c r="T61" i="20"/>
  <c r="T51" i="20"/>
  <c r="U38" i="97"/>
  <c r="U104" i="97" s="1"/>
  <c r="U43" i="97" s="1"/>
  <c r="U51" i="97" s="1"/>
  <c r="V38" i="97"/>
  <c r="V104" i="97" s="1"/>
  <c r="V43" i="97" s="1"/>
  <c r="V61" i="97" s="1"/>
  <c r="T44" i="99"/>
  <c r="T39" i="99"/>
  <c r="T45" i="99" s="1"/>
  <c r="U38" i="20"/>
  <c r="U104" i="20" s="1"/>
  <c r="U43" i="20" s="1"/>
  <c r="V36" i="20"/>
  <c r="T52" i="97"/>
  <c r="T62" i="97" s="1"/>
  <c r="T61" i="97"/>
  <c r="T51" i="97"/>
  <c r="V26" i="99"/>
  <c r="U28" i="99" l="1"/>
  <c r="U85" i="99" s="1"/>
  <c r="U33" i="99" s="1"/>
  <c r="U44" i="99" s="1"/>
  <c r="T38" i="99"/>
  <c r="U52" i="97"/>
  <c r="U62" i="97" s="1"/>
  <c r="U61" i="97"/>
  <c r="V52" i="97"/>
  <c r="V62" i="97" s="1"/>
  <c r="V51" i="97"/>
  <c r="V38" i="20"/>
  <c r="V104" i="20" s="1"/>
  <c r="V43" i="20" s="1"/>
  <c r="V28" i="99"/>
  <c r="V85" i="99" s="1"/>
  <c r="V33" i="99" s="1"/>
  <c r="U61" i="20"/>
  <c r="U51" i="20"/>
  <c r="U38" i="99" s="1"/>
  <c r="U52" i="20"/>
  <c r="U62" i="20" s="1"/>
  <c r="U39" i="99" l="1"/>
  <c r="U45" i="99" s="1"/>
  <c r="V61" i="20"/>
  <c r="V51" i="20"/>
  <c r="V38" i="99" s="1"/>
  <c r="V52" i="20"/>
  <c r="V62" i="20" s="1"/>
  <c r="V39" i="99"/>
  <c r="V45" i="99" s="1"/>
  <c r="V44"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Morgan-Cross</author>
  </authors>
  <commentList>
    <comment ref="F29" authorId="0" shapeId="0" xr:uid="{00000000-0006-0000-0E00-000001000000}">
      <text>
        <r>
          <rPr>
            <b/>
            <sz val="9"/>
            <color indexed="81"/>
            <rFont val="Tahoma"/>
            <family val="2"/>
          </rPr>
          <t>Colin Morgan-Cross:</t>
        </r>
        <r>
          <rPr>
            <sz val="9"/>
            <color indexed="81"/>
            <rFont val="Tahoma"/>
            <family val="2"/>
          </rPr>
          <t xml:space="preserve">
Rewrote this box
</t>
        </r>
      </text>
    </comment>
    <comment ref="F45" authorId="0" shapeId="0" xr:uid="{00000000-0006-0000-0E00-000002000000}">
      <text>
        <r>
          <rPr>
            <b/>
            <sz val="9"/>
            <color indexed="81"/>
            <rFont val="Tahoma"/>
            <family val="2"/>
          </rPr>
          <t>Colin Morgan-Cross:</t>
        </r>
        <r>
          <rPr>
            <sz val="9"/>
            <color indexed="81"/>
            <rFont val="Tahoma"/>
            <family val="2"/>
          </rPr>
          <t xml:space="preserve">
Edited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7" authorId="0" shapeId="0" xr:uid="{00000000-0006-0000-1B00-000001000000}">
      <text>
        <r>
          <rPr>
            <b/>
            <sz val="9"/>
            <color indexed="81"/>
            <rFont val="Tahoma"/>
            <family val="2"/>
          </rPr>
          <t>Commerce</t>
        </r>
        <r>
          <rPr>
            <sz val="9"/>
            <color indexed="81"/>
            <rFont val="Tahoma"/>
            <family val="2"/>
          </rPr>
          <t xml:space="preserve">
(e.g. deferred, cash flow only)</t>
        </r>
      </text>
    </comment>
    <comment ref="P44" authorId="0" shapeId="0" xr:uid="{00000000-0006-0000-1B00-00000200000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 Loo</author>
  </authors>
  <commentList>
    <comment ref="D50" authorId="0" shapeId="0" xr:uid="{00000000-0006-0000-1C00-000001000000}">
      <text>
        <r>
          <rPr>
            <b/>
            <sz val="9"/>
            <color indexed="81"/>
            <rFont val="Tahoma"/>
            <family val="2"/>
          </rPr>
          <t>Richard Loo: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7" authorId="0" shapeId="0" xr:uid="{00000000-0006-0000-1D00-000001000000}">
      <text>
        <r>
          <rPr>
            <b/>
            <sz val="9"/>
            <color indexed="81"/>
            <rFont val="Tahoma"/>
            <family val="2"/>
          </rPr>
          <t>Commerce</t>
        </r>
        <r>
          <rPr>
            <sz val="9"/>
            <color indexed="81"/>
            <rFont val="Tahoma"/>
            <family val="2"/>
          </rPr>
          <t xml:space="preserve">
(e.g. deferred, cash flow only)</t>
        </r>
      </text>
    </comment>
    <comment ref="P44" authorId="0" shapeId="0" xr:uid="{00000000-0006-0000-1D00-000002000000}">
      <text>
        <r>
          <rPr>
            <b/>
            <sz val="9"/>
            <color indexed="81"/>
            <rFont val="Tahoma"/>
            <family val="2"/>
          </rPr>
          <t xml:space="preserve">Commerce
</t>
        </r>
        <r>
          <rPr>
            <sz val="9"/>
            <color indexed="81"/>
            <rFont val="Tahoma"/>
            <family val="2"/>
          </rPr>
          <t>(e.g. deferred, cash flow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6" authorId="0" shapeId="0" xr:uid="{00000000-0006-0000-21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xr:uid="{00000000-0006-0000-21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xr:uid="{00000000-0006-0000-21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6" authorId="0" shapeId="0" xr:uid="{00000000-0006-0000-25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xr:uid="{00000000-0006-0000-25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xr:uid="{00000000-0006-0000-25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8" authorId="0" shapeId="0" xr:uid="{00000000-0006-0000-2B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xr:uid="{00000000-0006-0000-2B00-00000200000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xr:uid="{00000000-0006-0000-2B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xr:uid="{00000000-0006-0000-2B00-000004000000}">
      <text>
        <r>
          <rPr>
            <b/>
            <sz val="9"/>
            <color indexed="81"/>
            <rFont val="Tahoma"/>
            <family val="2"/>
          </rPr>
          <t>Activity Type Abbreviations:</t>
        </r>
        <r>
          <rPr>
            <sz val="9"/>
            <color indexed="81"/>
            <rFont val="Tahoma"/>
            <family val="2"/>
          </rPr>
          <t xml:space="preserve">
NC = New Construction
R = Rehab
A = Acquisition Only</t>
        </r>
      </text>
    </comment>
    <comment ref="D46" authorId="0" shapeId="0" xr:uid="{00000000-0006-0000-2B00-000005000000}">
      <text>
        <r>
          <rPr>
            <b/>
            <sz val="9"/>
            <color indexed="81"/>
            <rFont val="Tahoma"/>
            <family val="2"/>
          </rPr>
          <t>Project Type Abbreviations:</t>
        </r>
        <r>
          <rPr>
            <sz val="9"/>
            <color indexed="81"/>
            <rFont val="Tahoma"/>
            <family val="2"/>
          </rPr>
          <t xml:space="preserve">
MF = Multifamily (Rental)
SF = Single Family (Homeownership)</t>
        </r>
      </text>
    </comment>
    <comment ref="E46" authorId="0" shapeId="0" xr:uid="{00000000-0006-0000-2B00-000006000000}">
      <text>
        <r>
          <rPr>
            <b/>
            <sz val="9"/>
            <color indexed="81"/>
            <rFont val="Tahoma"/>
            <family val="2"/>
          </rPr>
          <t>Activity Type Abbreviations:</t>
        </r>
        <r>
          <rPr>
            <sz val="9"/>
            <color indexed="81"/>
            <rFont val="Tahoma"/>
            <family val="2"/>
          </rPr>
          <t xml:space="preserve">
NC = New Construction
R = Rehab
A = Acquisition Only</t>
        </r>
      </text>
    </comment>
    <comment ref="D58" authorId="0" shapeId="0" xr:uid="{00000000-0006-0000-2B00-000007000000}">
      <text>
        <r>
          <rPr>
            <b/>
            <sz val="9"/>
            <color indexed="81"/>
            <rFont val="Tahoma"/>
            <family val="2"/>
          </rPr>
          <t>Project Type Abbreviations:</t>
        </r>
        <r>
          <rPr>
            <sz val="9"/>
            <color indexed="81"/>
            <rFont val="Tahoma"/>
            <family val="2"/>
          </rPr>
          <t xml:space="preserve">
MF = Multifamily (Rental)
SF = Single Family (Homeownership)</t>
        </r>
      </text>
    </comment>
    <comment ref="E58" authorId="0" shapeId="0" xr:uid="{00000000-0006-0000-2B00-000008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23" authorId="0" shapeId="0" xr:uid="{00000000-0006-0000-2C00-00000100000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xr:uid="{00000000-0006-0000-2C00-00000200000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xr:uid="{00000000-0006-0000-2C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xr:uid="{00000000-0006-0000-2C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2D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2D00-000002000000}">
      <text>
        <r>
          <rPr>
            <b/>
            <sz val="9"/>
            <color indexed="81"/>
            <rFont val="Tahoma"/>
            <family val="2"/>
          </rPr>
          <t>Type of Financing:</t>
        </r>
        <r>
          <rPr>
            <sz val="9"/>
            <color indexed="81"/>
            <rFont val="Tahoma"/>
            <family val="2"/>
          </rPr>
          <t xml:space="preserve">
HUD, HTF, LIHTC, etc.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Harrington, Sean (COM)</author>
    <author>Whitney Goetter</author>
  </authors>
  <commentList>
    <comment ref="I26" authorId="0" shapeId="0" xr:uid="{00000000-0006-0000-2F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xr:uid="{00000000-0006-0000-2F00-00000200000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xr:uid="{00000000-0006-0000-2F00-000003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xr:uid="{00000000-0006-0000-2F00-000004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xr:uid="{00000000-0006-0000-2F00-00000500000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xr:uid="{00000000-0006-0000-2F00-000006000000}">
      <text>
        <r>
          <rPr>
            <b/>
            <sz val="9"/>
            <color indexed="81"/>
            <rFont val="Tahoma"/>
            <family val="2"/>
          </rPr>
          <t>Total Residential Development Cost (form 6A, cell K118) less Land, Offsite Infrastructure and Capitalized Reserves</t>
        </r>
      </text>
    </comment>
    <comment ref="M236" authorId="3" shapeId="0" xr:uid="{00000000-0006-0000-2F00-000007000000}">
      <text>
        <r>
          <rPr>
            <b/>
            <sz val="9"/>
            <color indexed="81"/>
            <rFont val="Calibri"/>
            <family val="2"/>
            <scheme val="minor"/>
          </rPr>
          <t>To be completed by the Commission</t>
        </r>
      </text>
    </comment>
    <comment ref="C240" authorId="2" shapeId="0" xr:uid="{00000000-0006-0000-2F00-000008000000}">
      <text>
        <r>
          <rPr>
            <b/>
            <sz val="9"/>
            <color indexed="81"/>
            <rFont val="Tahoma"/>
            <family val="2"/>
          </rPr>
          <t>Total Residential Development Cost (form 6A, cell K118) less Land, Offsite Infrastructure and Capitalized Reserves</t>
        </r>
      </text>
    </comment>
    <comment ref="C241" authorId="2" shapeId="0" xr:uid="{00000000-0006-0000-2F00-000009000000}">
      <text>
        <r>
          <rPr>
            <b/>
            <sz val="9"/>
            <color indexed="81"/>
            <rFont val="Tahoma"/>
            <family val="2"/>
          </rPr>
          <t>Form 2B</t>
        </r>
      </text>
    </comment>
  </commentList>
</comments>
</file>

<file path=xl/sharedStrings.xml><?xml version="1.0" encoding="utf-8"?>
<sst xmlns="http://schemas.openxmlformats.org/spreadsheetml/2006/main" count="9039" uniqueCount="2237">
  <si>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</si>
  <si>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</si>
  <si>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</si>
  <si>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</si>
  <si>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</si>
  <si>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</si>
  <si>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</si>
  <si>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</si>
  <si>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</si>
  <si>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</si>
  <si>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</si>
  <si>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</si>
  <si>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</si>
  <si>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</si>
  <si>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</si>
  <si>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</si>
  <si>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</si>
  <si>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</si>
  <si>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</si>
  <si>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</si>
  <si>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</si>
  <si>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</si>
  <si>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</si>
  <si>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</si>
  <si>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</si>
  <si>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</si>
  <si>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</si>
  <si>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</si>
  <si>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</si>
  <si>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</si>
  <si>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</si>
  <si>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</si>
  <si>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</si>
  <si>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</si>
  <si>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</si>
  <si>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</si>
  <si>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</si>
  <si>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</si>
  <si>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</si>
  <si>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</si>
  <si>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</si>
  <si>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</si>
  <si>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</si>
  <si>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</si>
  <si>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</si>
  <si>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</si>
  <si>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</si>
  <si>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</si>
  <si>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</si>
  <si>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</si>
  <si>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</si>
  <si>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</si>
  <si>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</si>
  <si>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</si>
  <si>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</si>
  <si>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</si>
  <si>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</si>
  <si>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</si>
  <si>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</si>
  <si>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</si>
  <si>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</si>
  <si>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</si>
  <si>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</si>
  <si>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</si>
  <si>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</si>
  <si>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</si>
  <si>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</si>
  <si>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</si>
  <si>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</si>
  <si>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</si>
  <si>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</si>
  <si>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</si>
  <si>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</si>
  <si>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</si>
  <si>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</si>
  <si>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</si>
  <si>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</si>
  <si>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</si>
  <si>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</si>
  <si>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</si>
  <si>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</si>
  <si>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</si>
  <si>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</si>
  <si>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</si>
  <si>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</si>
  <si>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</si>
  <si>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</si>
  <si>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</si>
  <si>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</si>
  <si>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</si>
  <si>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</si>
  <si>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</si>
  <si>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</si>
  <si>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</si>
  <si>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</si>
  <si>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</si>
  <si>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</si>
  <si>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</si>
  <si>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</si>
  <si>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</si>
  <si>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</si>
  <si>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</si>
  <si>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</si>
  <si>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</si>
  <si>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</si>
  <si>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</si>
  <si>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</si>
  <si>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</si>
  <si>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</si>
  <si>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</si>
  <si>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</si>
  <si>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</si>
  <si>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</si>
  <si>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</si>
  <si>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</si>
  <si>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</si>
  <si>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</si>
  <si>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</si>
  <si>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</si>
  <si>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</si>
  <si>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</si>
  <si>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</si>
  <si>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</si>
  <si>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</si>
  <si>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</si>
  <si>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</si>
  <si>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</si>
  <si>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</si>
  <si>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</si>
  <si>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</si>
  <si>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</si>
  <si>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</si>
  <si>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</si>
  <si>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</si>
  <si>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</si>
  <si>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</si>
  <si>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</si>
  <si>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</si>
  <si>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</si>
  <si>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</si>
  <si>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</si>
  <si>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</si>
  <si>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</si>
  <si>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</si>
  <si>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</si>
  <si>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</si>
  <si>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</si>
  <si>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</si>
  <si>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</si>
  <si>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</si>
  <si>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</si>
  <si>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</si>
  <si>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</si>
  <si>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</si>
  <si>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</si>
  <si>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</si>
  <si>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</si>
  <si>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</si>
  <si>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</si>
  <si>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</si>
  <si>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</si>
  <si>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</si>
  <si>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</si>
  <si>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</si>
  <si>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</si>
  <si>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</si>
  <si>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</si>
  <si>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</si>
  <si>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</si>
  <si>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</si>
  <si>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</si>
  <si>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</si>
  <si>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</si>
  <si>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</si>
  <si>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</si>
  <si>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</si>
  <si>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</si>
  <si>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</si>
  <si>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</si>
  <si>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</si>
  <si>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</si>
  <si>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</si>
  <si>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</si>
  <si>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</si>
  <si>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</si>
  <si>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</si>
  <si>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</si>
  <si>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</si>
  <si>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</si>
  <si>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</si>
  <si>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</si>
  <si>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</si>
  <si>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</si>
  <si>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</si>
  <si>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</si>
  <si>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</si>
  <si>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</si>
  <si>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</si>
  <si>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</si>
  <si>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</si>
  <si>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</si>
  <si>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</si>
  <si>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</si>
  <si>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</si>
  <si>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</si>
  <si>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</si>
  <si>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</si>
  <si>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</si>
  <si>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</si>
  <si>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</si>
  <si>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</si>
  <si>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</si>
  <si>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</si>
  <si>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</si>
  <si>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</si>
  <si>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</si>
  <si>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</si>
  <si>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</si>
  <si>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</si>
  <si>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</si>
  <si>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</si>
  <si>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</si>
  <si>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</si>
  <si>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</si>
  <si>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</si>
  <si>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</si>
  <si>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</si>
  <si>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</si>
  <si>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</si>
  <si>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</si>
  <si>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</si>
  <si>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</si>
  <si>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</si>
  <si>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</si>
  <si>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</si>
  <si>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</si>
  <si>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</si>
  <si>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</si>
  <si>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</si>
  <si>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</si>
  <si>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</si>
  <si>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</si>
  <si>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</si>
  <si>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</si>
  <si>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</si>
  <si>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</si>
  <si>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</si>
  <si>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</si>
  <si>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</si>
  <si>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</si>
  <si>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</si>
  <si>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</si>
  <si>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</si>
  <si>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</si>
  <si>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</si>
  <si>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</si>
  <si>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</si>
  <si>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</si>
  <si>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</si>
  <si>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</si>
  <si>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</si>
  <si>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</si>
  <si>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</si>
  <si>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</si>
  <si>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</si>
  <si>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</si>
  <si>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</si>
  <si>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</si>
  <si>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</si>
  <si>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</si>
  <si>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</si>
  <si>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</si>
  <si>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</si>
  <si>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</si>
  <si>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</si>
  <si>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</si>
  <si>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</si>
  <si>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</si>
  <si>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</si>
  <si>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</si>
  <si>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</si>
  <si>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</si>
  <si>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</si>
  <si>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</si>
  <si>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</si>
  <si>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</si>
  <si>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</si>
  <si>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</si>
  <si>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</si>
  <si>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</si>
  <si>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</si>
  <si>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</si>
  <si>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</si>
  <si>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</si>
  <si>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</si>
  <si>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</si>
  <si>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</si>
  <si>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</si>
  <si>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</si>
  <si>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</si>
  <si>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</si>
  <si>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</si>
  <si>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</si>
  <si>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</si>
  <si>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</si>
  <si>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</si>
  <si>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</si>
  <si>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</si>
  <si>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</si>
  <si>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</si>
  <si>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</si>
  <si>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</si>
  <si>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</si>
  <si>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</si>
  <si>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</si>
  <si>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</si>
  <si>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</si>
  <si>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</si>
  <si>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</si>
  <si>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</si>
  <si>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</si>
  <si>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</si>
  <si>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</si>
  <si>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</si>
  <si>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</si>
  <si>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</si>
  <si>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</si>
  <si>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</si>
  <si>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</si>
  <si>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</si>
  <si>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</si>
  <si>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</si>
  <si>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</si>
  <si>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</si>
  <si>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</si>
  <si>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</si>
  <si>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</si>
  <si>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</si>
  <si>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</si>
  <si>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</si>
  <si>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</si>
  <si>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</si>
  <si>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</si>
  <si>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</si>
  <si>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</si>
  <si>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</si>
  <si>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</si>
  <si>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</si>
  <si>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</si>
  <si>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</si>
  <si>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</si>
  <si>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</si>
  <si>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</si>
  <si>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</si>
  <si>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</si>
  <si>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</si>
  <si>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</si>
  <si>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</si>
  <si>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</si>
  <si>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</si>
  <si>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</si>
  <si>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</si>
  <si>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</si>
  <si>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</si>
  <si>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</si>
  <si>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</si>
  <si>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</si>
  <si>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</si>
  <si>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</si>
  <si>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</si>
  <si>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</si>
  <si>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</si>
  <si>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</si>
  <si>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</si>
  <si>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</si>
  <si>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</si>
  <si>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</si>
  <si>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</si>
  <si>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</si>
  <si>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</si>
  <si>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</si>
  <si>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</si>
  <si>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</si>
  <si>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</si>
  <si>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</si>
  <si>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</si>
  <si>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</si>
  <si>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</si>
  <si>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</si>
  <si>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</si>
  <si>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</si>
  <si>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</si>
  <si>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</si>
  <si>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</si>
  <si>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</si>
  <si>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</si>
  <si>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</si>
  <si>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</si>
  <si>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</si>
  <si>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</si>
  <si>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</si>
  <si>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</si>
  <si>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</si>
  <si>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</si>
  <si>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</si>
  <si>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</si>
  <si>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</si>
  <si>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</si>
  <si>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</si>
  <si>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</si>
  <si>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</si>
  <si>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</si>
  <si>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</si>
  <si>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</si>
  <si>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</si>
  <si>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</si>
  <si>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</si>
  <si>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</si>
  <si>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</si>
  <si>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</si>
  <si>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</si>
  <si>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</si>
  <si>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</si>
  <si>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</si>
  <si>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</si>
  <si>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</si>
  <si>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</si>
  <si>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</si>
  <si>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</si>
  <si>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</si>
  <si>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</si>
  <si>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</si>
  <si>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</si>
  <si>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</si>
  <si>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</si>
  <si>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</si>
  <si>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</si>
  <si>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</si>
  <si>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</si>
  <si>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</si>
  <si>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</si>
  <si>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</si>
  <si>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</si>
  <si>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</si>
  <si>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</si>
  <si>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</si>
  <si>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</si>
  <si>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</si>
  <si>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</si>
  <si>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</si>
  <si>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</si>
  <si>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</si>
  <si>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</si>
  <si>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</si>
  <si>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</si>
  <si>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</si>
  <si>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</si>
  <si>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</si>
  <si>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</si>
  <si>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</si>
  <si>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</si>
  <si>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</si>
  <si>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</si>
  <si>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</si>
  <si>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</si>
  <si>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</si>
  <si>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</si>
  <si>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</si>
  <si>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</si>
  <si>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</si>
  <si>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</si>
  <si>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</si>
  <si>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</si>
  <si>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</si>
  <si>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</si>
  <si>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</si>
  <si>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</si>
  <si>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</si>
  <si>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</si>
  <si>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</si>
  <si>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</si>
  <si>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</si>
  <si>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</si>
  <si>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</si>
  <si>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</si>
  <si>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</si>
  <si>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</si>
  <si>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</si>
  <si>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</si>
  <si>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</si>
  <si>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</si>
  <si>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</si>
  <si>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</si>
  <si>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</si>
  <si>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</si>
  <si>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</si>
  <si>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</si>
  <si>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</si>
  <si>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</si>
  <si>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</si>
  <si>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</si>
  <si>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</si>
  <si>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</si>
  <si>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</si>
  <si>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</si>
  <si>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</si>
  <si>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</si>
  <si>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</si>
  <si>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</si>
  <si>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</si>
  <si>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</si>
  <si>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</si>
  <si>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</si>
  <si>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</si>
  <si>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</si>
  <si>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</si>
  <si>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</si>
  <si>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</si>
  <si>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</si>
  <si>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</si>
  <si>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</si>
  <si>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</si>
  <si>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</si>
  <si>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</si>
  <si>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</si>
  <si>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</si>
  <si>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</si>
  <si>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Grant</t>
  </si>
  <si>
    <t>Avg Unit Square Footage</t>
  </si>
  <si>
    <t>Form 7A: Financing Sources</t>
  </si>
  <si>
    <t>Form 9A: Project Team (Page 2)</t>
  </si>
  <si>
    <t>Wastewater</t>
  </si>
  <si>
    <t>Water District</t>
  </si>
  <si>
    <t>Select…</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</si>
  <si>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</si>
  <si>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</si>
  <si>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</si>
  <si>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</si>
  <si>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</si>
  <si>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</si>
  <si>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</si>
  <si>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</si>
  <si>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</si>
  <si>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</si>
  <si>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</si>
  <si>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</si>
  <si>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</si>
  <si>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</si>
  <si>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</si>
  <si>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</si>
  <si>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</si>
  <si>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</si>
  <si>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</si>
  <si>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</si>
  <si>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</si>
  <si>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</si>
  <si>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</si>
  <si>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</si>
  <si>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</si>
  <si>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</si>
  <si>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</si>
  <si>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</si>
  <si>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</si>
  <si>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</si>
  <si>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</si>
  <si>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</si>
  <si>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</si>
  <si>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</si>
  <si>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</si>
  <si>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</si>
  <si>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</si>
  <si>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</si>
  <si>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</si>
  <si>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</si>
  <si>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</si>
  <si>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</si>
  <si>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</si>
  <si>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</si>
  <si>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</si>
  <si>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</si>
  <si>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</si>
  <si>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</si>
  <si>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</si>
  <si>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</si>
  <si>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</si>
  <si>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</si>
  <si>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</si>
  <si>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</si>
  <si>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</si>
  <si>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</si>
  <si>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</si>
  <si>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</si>
  <si>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</si>
  <si>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</si>
  <si>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</si>
  <si>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</si>
  <si>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</si>
  <si>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</si>
  <si>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</si>
  <si>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</si>
  <si>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</si>
  <si>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</si>
  <si>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</si>
  <si>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</si>
  <si>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</si>
  <si>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</si>
  <si>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</si>
  <si>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</si>
  <si>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</si>
  <si>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</si>
  <si>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</si>
  <si>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</si>
  <si>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</si>
  <si>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</si>
  <si>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</si>
  <si>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</si>
  <si>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</si>
  <si>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</si>
  <si>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</si>
  <si>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</si>
  <si>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</si>
  <si>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</si>
  <si>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</si>
  <si>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</si>
  <si>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</si>
  <si>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</si>
  <si>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</si>
  <si>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</si>
  <si>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</si>
  <si>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</si>
  <si>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</si>
  <si>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</si>
  <si>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</si>
  <si>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</si>
  <si>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</si>
  <si>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</si>
  <si>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</si>
  <si>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</si>
  <si>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</si>
  <si>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</si>
  <si>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</si>
  <si>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</si>
  <si>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</si>
  <si>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</si>
  <si>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</si>
  <si>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</si>
  <si>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</si>
  <si>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</si>
  <si>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</si>
  <si>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</si>
  <si>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</si>
  <si>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</si>
  <si>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</si>
  <si>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</si>
  <si>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</si>
  <si>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</si>
  <si>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</si>
  <si>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</si>
  <si>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</si>
  <si>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</si>
  <si>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</si>
  <si>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</si>
  <si>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</si>
  <si>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</si>
  <si>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</si>
  <si>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</si>
  <si>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</si>
  <si>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</si>
  <si>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</si>
  <si>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</si>
  <si>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</si>
  <si>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</si>
  <si>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</si>
  <si>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</si>
  <si>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</si>
  <si>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</si>
  <si>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</si>
  <si>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</si>
  <si>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</si>
  <si>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</si>
  <si>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</si>
  <si>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</si>
  <si>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</si>
  <si>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</si>
  <si>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</si>
  <si>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</si>
  <si>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</si>
  <si>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</si>
  <si>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</si>
  <si>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</si>
  <si>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</si>
  <si>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</si>
  <si>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</si>
  <si>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</si>
  <si>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</si>
  <si>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</si>
  <si>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</si>
  <si>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</si>
  <si>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</si>
  <si>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</si>
  <si>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</si>
  <si>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</si>
  <si>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</si>
  <si>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</si>
  <si>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</si>
  <si>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</si>
  <si>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</si>
  <si>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</si>
  <si>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</si>
  <si>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</si>
  <si>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</si>
  <si>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</si>
  <si>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</si>
  <si>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</si>
  <si>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</si>
  <si>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</si>
  <si>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</si>
  <si>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</si>
  <si>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</si>
  <si>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</si>
  <si>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</si>
  <si>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</si>
  <si>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</si>
  <si>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</si>
  <si>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</si>
  <si>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</si>
  <si>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</si>
  <si>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</si>
  <si>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</si>
  <si>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</si>
  <si>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</si>
  <si>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</si>
  <si>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</si>
  <si>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</si>
  <si>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</si>
  <si>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</si>
  <si>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</si>
  <si>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</si>
  <si>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</si>
  <si>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</si>
  <si>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</si>
  <si>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</si>
  <si>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</si>
  <si>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</si>
  <si>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</si>
  <si>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</si>
  <si>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</si>
  <si>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</si>
  <si>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</si>
  <si>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</si>
  <si>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</si>
  <si>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</si>
  <si>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</si>
  <si>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</si>
  <si>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</si>
  <si>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</si>
  <si>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</si>
  <si>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</si>
  <si>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</si>
  <si>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</si>
  <si>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</si>
  <si>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</si>
  <si>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</si>
  <si>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</si>
  <si>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</si>
  <si>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</si>
  <si>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</si>
  <si>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</si>
  <si>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</si>
  <si>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</si>
  <si>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</si>
  <si>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</si>
  <si>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</si>
  <si>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</si>
  <si>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</si>
  <si>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</si>
  <si>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</si>
  <si>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</si>
  <si>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</si>
  <si>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</si>
  <si>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</si>
  <si>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</si>
  <si>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</si>
  <si>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</si>
  <si>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</si>
  <si>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</si>
  <si>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</si>
  <si>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</si>
  <si>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</si>
  <si>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</si>
  <si>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</si>
  <si>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</si>
  <si>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</si>
  <si>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</si>
  <si>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</si>
  <si>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</si>
  <si>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</si>
  <si>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</si>
  <si>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</si>
  <si>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</si>
  <si>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</si>
  <si>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</si>
  <si>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</si>
  <si>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</si>
  <si>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</si>
  <si>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</si>
  <si>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</si>
  <si>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</si>
  <si>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</si>
  <si>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</si>
  <si>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</si>
  <si>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</si>
  <si>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</si>
  <si>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</si>
  <si>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</si>
  <si>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</si>
  <si>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</si>
  <si>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</si>
  <si>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</si>
  <si>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</si>
  <si>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</si>
  <si>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</si>
  <si>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</si>
  <si>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</si>
  <si>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</si>
  <si>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</si>
  <si>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</si>
  <si>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</si>
  <si>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</si>
  <si>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</si>
  <si>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</si>
  <si>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</si>
  <si>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</si>
  <si>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</si>
  <si>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</si>
  <si>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</si>
  <si>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</si>
  <si>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</si>
  <si>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</si>
  <si>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</si>
  <si>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</si>
  <si>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</si>
  <si>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</si>
  <si>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</si>
  <si>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</si>
  <si>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</si>
  <si>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</si>
  <si>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</si>
  <si>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</si>
  <si>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</si>
  <si>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</si>
  <si>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</si>
  <si>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</si>
  <si>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</si>
  <si>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</si>
  <si>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</si>
  <si>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</si>
  <si>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</si>
  <si>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</si>
  <si>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</si>
  <si>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</si>
  <si>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</si>
  <si>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</si>
  <si>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</si>
  <si>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</si>
  <si>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</si>
  <si>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</si>
  <si>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</si>
  <si>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</si>
  <si>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</si>
  <si>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</si>
  <si>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</si>
  <si>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</si>
  <si>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</si>
  <si>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</si>
  <si>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</si>
  <si>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</si>
  <si>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</si>
  <si>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</si>
  <si>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</si>
  <si>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</si>
  <si>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</si>
  <si>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</si>
  <si>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</si>
  <si>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</si>
  <si>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</si>
  <si>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</si>
  <si>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</si>
  <si>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</si>
  <si>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</si>
  <si>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</si>
  <si>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</si>
  <si>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</si>
  <si>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</si>
  <si>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</si>
  <si>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</si>
  <si>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</si>
  <si>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</si>
  <si>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</si>
  <si>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</si>
  <si>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</si>
  <si>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</si>
  <si>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</si>
  <si>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</si>
  <si>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</si>
  <si>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</si>
  <si>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</si>
  <si>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</si>
  <si>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</si>
  <si>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</si>
  <si>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</si>
  <si>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</si>
  <si>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</si>
  <si>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</si>
  <si>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</si>
  <si>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</si>
  <si>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</si>
  <si>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</si>
  <si>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</si>
  <si>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</si>
  <si>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</si>
  <si>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</si>
  <si>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</si>
  <si>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</si>
  <si>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</si>
  <si>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</si>
  <si>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</si>
  <si>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</si>
  <si>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</si>
  <si>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</si>
  <si>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</si>
  <si>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</si>
  <si>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</si>
  <si>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</si>
  <si>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</si>
  <si>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</si>
  <si>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</si>
  <si>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</si>
  <si>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</si>
  <si>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</si>
  <si>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</si>
  <si>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</si>
  <si>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</si>
  <si>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</si>
  <si>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</si>
  <si>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</si>
  <si>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</si>
  <si>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</si>
  <si>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</si>
  <si>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</si>
  <si>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</si>
  <si>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</si>
  <si>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</si>
  <si>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</si>
  <si>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</si>
  <si>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</si>
  <si>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</si>
  <si>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</si>
  <si>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</si>
  <si>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</si>
  <si>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</si>
  <si>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</si>
  <si>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</si>
  <si>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</si>
  <si>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</si>
  <si>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</si>
  <si>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</si>
  <si>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</si>
  <si>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</si>
  <si>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</si>
  <si>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</si>
  <si>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</si>
  <si>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</si>
  <si>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</si>
  <si>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</si>
  <si>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</si>
  <si>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</si>
  <si>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</si>
  <si>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</si>
  <si>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</si>
  <si>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</si>
  <si>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</si>
  <si>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</si>
  <si>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</si>
  <si>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</si>
  <si>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</si>
  <si>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</si>
  <si>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</si>
  <si>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</si>
  <si>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</si>
  <si>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</si>
  <si>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</si>
  <si>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</si>
  <si>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</si>
  <si>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</si>
  <si>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</si>
  <si>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</si>
  <si>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</si>
  <si>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</si>
  <si>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</si>
  <si>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</si>
  <si>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</si>
  <si>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</si>
  <si>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</si>
  <si>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</si>
  <si>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</si>
  <si>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</si>
  <si>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</si>
  <si>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</si>
  <si>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</si>
  <si>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</si>
  <si>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</si>
  <si>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</si>
  <si>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</si>
  <si>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</si>
  <si>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</si>
  <si>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</si>
  <si>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</si>
  <si>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</si>
  <si>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</si>
  <si>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</si>
  <si>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</si>
  <si>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</si>
  <si>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</si>
  <si>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</si>
  <si>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</si>
  <si>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</si>
  <si>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</si>
  <si>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</si>
  <si>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</si>
  <si>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</si>
  <si>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</si>
  <si>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</si>
  <si>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</si>
  <si>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</si>
  <si>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</si>
  <si>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</si>
  <si>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</si>
  <si>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</si>
  <si>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</si>
  <si>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</si>
  <si>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</si>
  <si>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</si>
  <si>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</si>
  <si>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</si>
  <si>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</si>
  <si>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</si>
  <si>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</si>
  <si>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</si>
  <si>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</si>
  <si>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</si>
  <si>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</si>
  <si>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</si>
  <si>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</si>
  <si>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</si>
  <si>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</si>
  <si>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</si>
  <si>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</si>
  <si>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</si>
  <si>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</si>
  <si>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</si>
  <si>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</si>
  <si>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</si>
  <si>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</si>
  <si>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</si>
  <si>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</si>
  <si>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</si>
  <si>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</si>
  <si>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</si>
  <si>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</si>
  <si>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</si>
  <si>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</si>
  <si>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</si>
  <si>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</si>
  <si>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</si>
  <si>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</si>
  <si>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</si>
  <si>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</si>
  <si>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</si>
  <si>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</si>
  <si>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</si>
  <si>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</si>
  <si>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</si>
  <si>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</si>
  <si>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</si>
  <si>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</si>
  <si>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</si>
  <si>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</si>
  <si>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</si>
  <si>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</si>
  <si>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</si>
  <si>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</si>
  <si>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</si>
  <si>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</si>
  <si>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</si>
  <si>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</si>
  <si>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</si>
  <si>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</si>
  <si>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</si>
  <si>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</si>
  <si>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</si>
  <si>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</si>
  <si>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</si>
  <si>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</si>
  <si>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</si>
  <si>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</si>
  <si>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</si>
  <si>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</si>
  <si>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</si>
  <si>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</si>
  <si>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</si>
  <si>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</si>
  <si>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</si>
  <si>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</si>
  <si>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</si>
  <si>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</si>
  <si>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</si>
  <si>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</si>
  <si>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</si>
  <si>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</si>
  <si>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</si>
  <si>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</si>
  <si>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</si>
  <si>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</si>
  <si>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</si>
  <si>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</si>
  <si>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</si>
  <si>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</si>
  <si>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</si>
  <si>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</si>
  <si>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</si>
  <si>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</si>
  <si>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</si>
  <si>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</si>
  <si>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</si>
  <si>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</si>
  <si>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</si>
  <si>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</si>
  <si>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</si>
  <si>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</si>
  <si>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</si>
  <si>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</si>
  <si>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</si>
  <si>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</si>
  <si>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</si>
  <si>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</si>
  <si>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</si>
  <si>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</si>
  <si>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</si>
  <si>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</si>
  <si>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</si>
  <si>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</si>
  <si>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</si>
  <si>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</si>
  <si>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</si>
  <si>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</si>
  <si>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</si>
  <si>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</si>
  <si>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</si>
  <si>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</si>
  <si>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</si>
  <si>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</si>
  <si>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</si>
  <si>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</si>
  <si>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</si>
  <si>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</si>
  <si>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</si>
  <si>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</si>
  <si>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</si>
  <si>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</si>
  <si>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</si>
  <si>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</si>
  <si>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</si>
  <si>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</si>
  <si>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</si>
  <si>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</si>
  <si>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</si>
  <si>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</si>
  <si>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</si>
  <si>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</si>
  <si>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</si>
  <si>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</si>
  <si>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</si>
  <si>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</si>
  <si>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</si>
  <si>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</si>
  <si>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</si>
  <si>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</si>
  <si>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</si>
  <si>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</si>
  <si>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</si>
  <si>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</si>
  <si>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</si>
  <si>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</si>
  <si>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</si>
  <si>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</si>
  <si>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</si>
  <si>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</si>
  <si>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</si>
  <si>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</si>
  <si>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</si>
  <si>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</si>
  <si>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</si>
  <si>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</si>
  <si>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</si>
  <si>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</si>
  <si>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</si>
  <si>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</si>
  <si>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</si>
  <si>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</si>
  <si>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</si>
  <si>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</si>
  <si>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</si>
  <si>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</si>
  <si>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</si>
  <si>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</si>
  <si>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</si>
  <si>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</si>
  <si>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</si>
  <si>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</si>
  <si>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</si>
  <si>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</si>
  <si>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</si>
  <si>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</si>
  <si>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</si>
  <si>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</si>
  <si>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</si>
  <si>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</si>
  <si>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</si>
  <si>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</si>
  <si>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</si>
  <si>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</si>
  <si>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</si>
  <si>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</si>
  <si>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</si>
  <si>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</si>
  <si>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</si>
  <si>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</si>
  <si>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</si>
  <si>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</si>
  <si>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</si>
  <si>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</si>
  <si>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</si>
  <si>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</si>
  <si>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</si>
  <si>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</si>
  <si>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</si>
  <si>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</si>
  <si>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</si>
  <si>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</si>
  <si>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</si>
  <si>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</si>
  <si>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</si>
  <si>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</si>
  <si>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</si>
  <si>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</si>
  <si>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</si>
  <si>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</si>
  <si>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</si>
  <si>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</si>
  <si>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</si>
  <si>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</si>
  <si>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</si>
  <si>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</si>
  <si>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</si>
  <si>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</si>
  <si>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</si>
  <si>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</si>
  <si>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</si>
  <si>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</si>
  <si>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</si>
  <si>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</si>
  <si>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</si>
  <si>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</si>
  <si>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</si>
  <si>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</si>
  <si>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</si>
  <si>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</si>
  <si>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</si>
  <si>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</si>
  <si>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</si>
  <si>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</si>
  <si>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</si>
  <si>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</si>
  <si>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</si>
  <si>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</si>
  <si>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</si>
  <si>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</si>
  <si>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</si>
  <si>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</si>
  <si>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</si>
  <si>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</si>
  <si>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</si>
  <si>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</si>
  <si>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</si>
  <si>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</si>
  <si>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</si>
  <si>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</si>
  <si>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</si>
  <si>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</si>
  <si>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</si>
  <si>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</si>
  <si>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</si>
  <si>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</si>
  <si>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</si>
  <si>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</si>
  <si>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</si>
  <si>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</si>
  <si>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</si>
  <si>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</si>
  <si>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</si>
  <si>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</si>
  <si>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</si>
  <si>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</si>
  <si>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</si>
  <si>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</si>
  <si>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</si>
  <si>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</si>
  <si>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</si>
  <si>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</si>
  <si>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</si>
  <si>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</si>
  <si>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</si>
  <si>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</si>
  <si>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</si>
  <si>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</si>
  <si>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</si>
  <si>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</si>
  <si>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</si>
  <si>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</si>
  <si>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</si>
  <si>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</si>
  <si>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</si>
  <si>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</si>
  <si>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</si>
  <si>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</si>
  <si>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</si>
  <si>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</si>
  <si>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</si>
  <si>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</si>
  <si>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</si>
  <si>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</si>
  <si>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</si>
  <si>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</si>
  <si>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</si>
  <si>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</si>
  <si>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</si>
  <si>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</si>
  <si>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</si>
  <si>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</si>
  <si>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</si>
  <si>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</si>
  <si>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</si>
  <si>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</si>
  <si>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</si>
  <si>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</si>
  <si>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</si>
  <si>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</si>
  <si>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</si>
  <si>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</si>
  <si>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</si>
  <si>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</si>
  <si>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</si>
  <si>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</si>
  <si>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</si>
  <si>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</si>
  <si>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</si>
  <si>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</si>
  <si>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</si>
  <si>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</si>
  <si>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</si>
  <si>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</si>
  <si>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</si>
  <si>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</si>
  <si>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</si>
  <si>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</si>
  <si>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</si>
  <si>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</si>
  <si>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</si>
  <si>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</si>
  <si>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</si>
  <si>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</si>
  <si>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</si>
  <si>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</si>
  <si>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</si>
  <si>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</si>
  <si>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</si>
  <si>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</si>
  <si>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</si>
  <si>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</si>
  <si>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</si>
  <si>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</si>
  <si>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</si>
  <si>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</si>
  <si>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</si>
  <si>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</si>
  <si>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</si>
  <si>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</si>
  <si>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</si>
  <si>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</si>
  <si>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</si>
  <si>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</si>
  <si>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</si>
  <si>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</si>
  <si>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</si>
  <si>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</si>
  <si>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</si>
  <si>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</si>
  <si>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</si>
  <si>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</si>
  <si>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</si>
  <si>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</si>
  <si>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</si>
  <si>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</si>
  <si>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</si>
  <si>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</si>
  <si>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</si>
  <si>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</si>
  <si>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</si>
  <si>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</si>
  <si>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</si>
  <si>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</si>
  <si>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</si>
  <si>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</si>
  <si>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</si>
  <si>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</si>
  <si>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</si>
  <si>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</si>
  <si>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</si>
  <si>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</si>
  <si>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</si>
  <si>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</si>
  <si>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</si>
  <si>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</si>
  <si>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</si>
  <si>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</si>
  <si>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</si>
  <si>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</si>
  <si>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</si>
  <si>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</si>
  <si>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</si>
  <si>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</si>
  <si>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</si>
  <si>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</si>
  <si>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</si>
  <si>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</si>
  <si>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</si>
  <si>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</si>
  <si>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</si>
  <si>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</si>
  <si>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</si>
  <si>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</si>
  <si>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</si>
  <si>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</si>
  <si>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</si>
  <si>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</si>
  <si>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</si>
  <si>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</si>
  <si>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</si>
  <si>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</si>
  <si>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</si>
  <si>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</si>
  <si>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</si>
  <si>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</si>
  <si>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</si>
  <si>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</si>
  <si>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</si>
  <si>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</si>
  <si>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</si>
  <si>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</si>
  <si>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</si>
  <si>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</si>
  <si>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</si>
  <si>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</si>
  <si>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</si>
  <si>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</si>
  <si>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</si>
  <si>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</si>
  <si>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</si>
  <si>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</si>
  <si>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</si>
  <si>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</si>
  <si>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</si>
  <si>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</si>
  <si>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</si>
  <si>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</si>
  <si>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</si>
  <si>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</si>
  <si>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</si>
  <si>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</si>
  <si>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</si>
  <si>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</si>
  <si>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</si>
  <si>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</si>
  <si>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</si>
  <si>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</si>
  <si>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</si>
  <si>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</si>
  <si>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</si>
  <si>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</si>
  <si>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</si>
  <si>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</si>
  <si>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</si>
  <si>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</si>
  <si>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</si>
  <si>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</si>
  <si>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</si>
  <si>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</si>
  <si>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</si>
  <si>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</si>
  <si>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</si>
  <si>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</si>
  <si>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</si>
  <si>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</si>
  <si>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</si>
  <si>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</si>
  <si>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</si>
  <si>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</si>
  <si>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</si>
  <si>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</si>
  <si>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</si>
  <si>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</si>
  <si>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</si>
  <si>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</si>
  <si>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</si>
  <si>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</si>
  <si>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</si>
  <si>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</si>
  <si>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</si>
  <si>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</si>
  <si>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</si>
  <si>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</si>
  <si>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</si>
  <si>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</si>
  <si>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</si>
  <si>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</si>
  <si>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</si>
  <si>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</si>
  <si>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</si>
  <si>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</si>
  <si>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</si>
  <si>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</si>
  <si>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</si>
  <si>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</si>
  <si>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</si>
  <si>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</si>
  <si>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</si>
  <si>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</si>
  <si>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</si>
  <si>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</si>
  <si>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</si>
  <si>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</si>
  <si>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</si>
  <si>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</si>
  <si>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</si>
  <si>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</si>
  <si>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</si>
  <si>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</si>
  <si>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</si>
  <si>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</si>
  <si>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</si>
  <si>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</si>
  <si>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</si>
  <si>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</si>
  <si>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</si>
  <si>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</si>
  <si>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</si>
  <si>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</si>
  <si>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</si>
  <si>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</si>
  <si>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</si>
  <si>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</si>
  <si>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</si>
  <si>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</si>
  <si>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</si>
  <si>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</si>
  <si>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</si>
  <si>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</si>
  <si>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</si>
  <si>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</si>
  <si>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</si>
  <si>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</si>
  <si>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</si>
  <si>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</si>
  <si>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</si>
  <si>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</si>
  <si>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</si>
  <si>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</si>
  <si>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</si>
  <si>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</si>
  <si>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</si>
  <si>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</si>
  <si>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</si>
  <si>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</si>
  <si>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</si>
  <si>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</si>
  <si>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</si>
  <si>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</si>
  <si>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</si>
  <si>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</si>
  <si>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</si>
  <si>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</si>
  <si>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</si>
  <si>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</si>
  <si>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</si>
  <si>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</si>
  <si>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</si>
  <si>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</si>
  <si>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</si>
  <si>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</si>
  <si>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</si>
  <si>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</si>
  <si>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</si>
  <si>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</si>
  <si>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</si>
  <si>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</si>
  <si>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</si>
  <si>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</si>
  <si>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</si>
  <si>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</si>
  <si>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</si>
  <si>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</si>
  <si>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</si>
  <si>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</si>
  <si>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</si>
  <si>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</si>
  <si>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</si>
  <si>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</si>
  <si>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</si>
  <si>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</si>
  <si>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</si>
  <si>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</si>
  <si>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</si>
  <si>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</si>
  <si>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</si>
  <si>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</si>
  <si>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</si>
  <si>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</si>
  <si>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</si>
  <si>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</si>
  <si>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</si>
  <si>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</si>
  <si>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</si>
  <si>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</si>
  <si>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</si>
  <si>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</si>
  <si>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</si>
  <si>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</si>
  <si>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</si>
  <si>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</si>
  <si>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</si>
  <si>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</si>
  <si>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</si>
  <si>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</si>
  <si>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</si>
  <si>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</si>
  <si>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</si>
  <si>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</si>
  <si>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</si>
  <si>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</si>
  <si>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</si>
  <si>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</si>
  <si>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</si>
  <si>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</si>
  <si>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</si>
  <si>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</si>
  <si>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</si>
  <si>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</si>
  <si>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</si>
  <si>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</si>
  <si>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</si>
  <si>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</si>
  <si>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</si>
  <si>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</si>
  <si>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</si>
  <si>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</si>
  <si>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</si>
  <si>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</si>
  <si>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</si>
  <si>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</si>
  <si>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</si>
  <si>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</si>
  <si>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</si>
  <si>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</si>
  <si>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</si>
  <si>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</si>
  <si>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</si>
  <si>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</si>
  <si>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</si>
  <si>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</si>
  <si>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</si>
  <si>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</si>
  <si>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</si>
  <si>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</si>
  <si>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</si>
  <si>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</si>
  <si>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</si>
  <si>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</si>
  <si>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</si>
  <si>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</si>
  <si>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</si>
  <si>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</si>
  <si>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</si>
  <si>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</si>
  <si>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</si>
  <si>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</si>
  <si>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</si>
  <si>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</si>
  <si>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</si>
  <si>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</si>
  <si>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</si>
  <si>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</si>
  <si>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</si>
  <si>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</si>
  <si>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</si>
  <si>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</si>
  <si>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</si>
  <si>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</si>
  <si>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</si>
  <si>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</si>
  <si>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</si>
  <si>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</si>
  <si>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</si>
  <si>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</si>
  <si>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</si>
  <si>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</si>
  <si>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</si>
  <si>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</si>
  <si>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</si>
  <si>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</si>
  <si>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</si>
  <si>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</si>
  <si>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</si>
  <si>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</si>
  <si>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</si>
  <si>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</si>
  <si>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</si>
  <si>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</si>
  <si>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</si>
  <si>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</si>
  <si>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</si>
  <si>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</si>
  <si>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</si>
  <si>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</si>
  <si>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</si>
  <si>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</si>
  <si>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</si>
  <si>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</si>
  <si>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</si>
  <si>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</si>
  <si>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</si>
  <si>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</si>
  <si>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</si>
  <si>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</si>
  <si>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</si>
  <si>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</si>
  <si>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</si>
  <si>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</si>
  <si>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</si>
  <si>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</si>
  <si>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</si>
  <si>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</si>
  <si>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</si>
  <si>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</si>
  <si>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</si>
  <si>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</si>
  <si>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</si>
  <si>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</si>
  <si>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</si>
  <si>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</si>
  <si>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</si>
  <si>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</si>
  <si>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</si>
  <si>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</si>
  <si>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</si>
  <si>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</si>
  <si>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</si>
  <si>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</si>
  <si>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</si>
  <si>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</si>
  <si>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</si>
  <si>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</si>
  <si>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</si>
  <si>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</si>
  <si>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</si>
  <si>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</si>
  <si>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</si>
  <si>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</si>
  <si>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</si>
  <si>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</si>
  <si>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</si>
  <si>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</si>
  <si>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</si>
  <si>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</si>
  <si>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</si>
  <si>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</si>
  <si>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</si>
  <si>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</si>
  <si>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</si>
  <si>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</si>
  <si>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</si>
  <si>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</si>
  <si>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</si>
  <si>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</si>
  <si>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</si>
  <si>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</si>
  <si>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</si>
  <si>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</si>
  <si>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</si>
  <si>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</si>
  <si>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</si>
  <si>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</si>
  <si>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</si>
  <si>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</si>
  <si>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</si>
  <si>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</si>
  <si>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</si>
  <si>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</si>
  <si>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</si>
  <si>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</si>
  <si>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</si>
  <si>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</si>
  <si>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</si>
  <si>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</si>
  <si>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</si>
  <si>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</si>
  <si>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</si>
  <si>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</si>
  <si>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</si>
  <si>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</si>
  <si>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</si>
  <si>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</si>
  <si>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</si>
  <si>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</si>
  <si>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</si>
  <si>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</si>
  <si>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</si>
  <si>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</si>
  <si>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</si>
  <si>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</si>
  <si>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</si>
  <si>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</si>
  <si>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</si>
  <si>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</si>
  <si>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</si>
  <si>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</si>
  <si>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</si>
  <si>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Site 1</t>
  </si>
  <si>
    <t>Site Name/Identifier</t>
  </si>
  <si>
    <t>Street Address:</t>
  </si>
  <si>
    <t>Activity at Site (check all that apply)</t>
  </si>
  <si>
    <t>Site 2</t>
  </si>
  <si>
    <t>Which Site should be considered the project's Primary Address?</t>
  </si>
  <si>
    <t>Form 6A: Development Budgets Rollup</t>
  </si>
  <si>
    <t>Project Totals</t>
  </si>
  <si>
    <t>Total Bridge</t>
  </si>
  <si>
    <t>Total Residential</t>
  </si>
  <si>
    <t>Residential Sources (excl. LIHTC Equity)</t>
  </si>
  <si>
    <t>Form 7A: Financing Sources - 4% Building</t>
  </si>
  <si>
    <t>Form 7A: Financing Sources - 9% Building</t>
  </si>
  <si>
    <t>Site A - 4% Building</t>
  </si>
  <si>
    <t>Site B - 9% Building</t>
  </si>
  <si>
    <t>Site Total</t>
  </si>
  <si>
    <t>Non-
Residential</t>
  </si>
  <si>
    <t>Form 8D: Operating Pro Forma (all Project Rollup)</t>
  </si>
  <si>
    <t>Form 7B: Estimate of Cash Flow During Development - 9% Building</t>
  </si>
  <si>
    <t>Form 7B: Estimate of Cash Flow During Development - 4% Building</t>
  </si>
  <si>
    <t>Expected LIHTC Equity (Form 6D-4% Building)</t>
  </si>
  <si>
    <t>Expected LIHTC Equity (Form 6D-9% Building)</t>
  </si>
  <si>
    <t>Expected LIHTC Equity (Form 6D - 4% Building)</t>
  </si>
  <si>
    <t>Expected LIHTC Equity (Form 6D - 9% Building)</t>
  </si>
  <si>
    <t>Notes:</t>
  </si>
  <si>
    <t>Form 6A: Development Budgets - 4% Building</t>
  </si>
  <si>
    <t>Form 6B: Development Budget Details - 4% Building</t>
  </si>
  <si>
    <t>Form 6C: LIHTC Budget (Basis Calculation) - 4% Building</t>
  </si>
  <si>
    <t>Form 6D: LIHTC Calculation - 4% Building</t>
  </si>
  <si>
    <t>Form 6E Fee Schedule - 4% Building</t>
  </si>
  <si>
    <t>Form 6A: Development Budgets  - 9% Building</t>
  </si>
  <si>
    <t>Form 6B: Development Budget Details  - 9% Building</t>
  </si>
  <si>
    <t>Form 6C: LIHTC Budget (Basis Calculation)  - 9% Building</t>
  </si>
  <si>
    <t>Form 6D: LIHTC Calculation  - 9% Building</t>
  </si>
  <si>
    <t>Form 6E Fee Schedule  - 9% Building</t>
  </si>
  <si>
    <t>Subtotals</t>
  </si>
  <si>
    <t>Bellwether Housing/Mercy Housing Northwest</t>
  </si>
  <si>
    <t>Richard Loo</t>
  </si>
  <si>
    <t>206-957-2729</t>
  </si>
  <si>
    <t>rloo@bellwetherhousing.org</t>
  </si>
  <si>
    <t>6600 Roosevelt Way NE</t>
  </si>
  <si>
    <t>Seattle</t>
  </si>
  <si>
    <t>N/A</t>
  </si>
  <si>
    <t>TBD Limited Partnership</t>
  </si>
  <si>
    <t>43rd District</t>
  </si>
  <si>
    <t>WA 7th District</t>
  </si>
  <si>
    <t>KC26.00</t>
  </si>
  <si>
    <t>THIS SECTION IS NOT APPLICABLE</t>
  </si>
  <si>
    <t>Negotiations complete with Sound Transit</t>
  </si>
  <si>
    <t>Award of Site by Sound Transit &amp; Funding by OH</t>
  </si>
  <si>
    <t>Per RFP Schedule</t>
  </si>
  <si>
    <t>TBD if there is federal funding on the property</t>
  </si>
  <si>
    <t>NOT APPLICABLE</t>
  </si>
  <si>
    <t>Office of Housing</t>
  </si>
  <si>
    <t>King County TOD</t>
  </si>
  <si>
    <t>State Housing Trust Fund</t>
  </si>
  <si>
    <t>OH O &amp; M funding for 16 homeless units</t>
  </si>
  <si>
    <t>Walsh Construction Estimate for NOFA Application</t>
  </si>
  <si>
    <t>Within 6 months of anticipated closing date</t>
  </si>
  <si>
    <t>NOT APPLICABLE for new construction</t>
  </si>
  <si>
    <t>Closing to occur when land is made available by Sound Transit</t>
  </si>
  <si>
    <t>nine months after project completion, 5 months 90% occupancey, 3 months stabilization period</t>
  </si>
  <si>
    <t>Bellwether Housing will be the Property Manager</t>
  </si>
  <si>
    <t>Part of the Master Use Permit Process</t>
  </si>
  <si>
    <t>if applicable - it it not expected that a Phase II will be required per info provided by Sound Transit</t>
  </si>
  <si>
    <t>Phase I already provided by Sound Transit, update will occur after completion of negotiations</t>
  </si>
  <si>
    <t>Susan Boyd (Bellwether), Bill Rumpf (Mercy Housing NW)</t>
  </si>
  <si>
    <t>1651 Bellevue Aveniue</t>
  </si>
  <si>
    <t>WA</t>
  </si>
  <si>
    <t>sboyd@bellwetherhousing.org</t>
  </si>
  <si>
    <t>VIA Architects</t>
  </si>
  <si>
    <t>Jim Bodoia</t>
  </si>
  <si>
    <t>jbodoia@via-architecture.com</t>
  </si>
  <si>
    <t>206-284-5624</t>
  </si>
  <si>
    <t>Kantor Taylor Decina</t>
  </si>
  <si>
    <t>Andrea Sato</t>
  </si>
  <si>
    <t>asato@kantortaylor.com</t>
  </si>
  <si>
    <t>206-812-2505</t>
  </si>
  <si>
    <t>TBD</t>
  </si>
  <si>
    <t>Bellwether Housing</t>
  </si>
  <si>
    <t>Sue Selman</t>
  </si>
  <si>
    <t>1651 Bellevue Avenue</t>
  </si>
  <si>
    <t>206-623-0506</t>
  </si>
  <si>
    <t>sselman@bellwetherhousing.org</t>
  </si>
  <si>
    <t>Sound Transit</t>
  </si>
  <si>
    <t>thatcher.imboden@soundtransit.org</t>
  </si>
  <si>
    <t>410 South Jackson Street</t>
  </si>
  <si>
    <t>Brooke Belman, Land Use Planning and Development Director</t>
  </si>
  <si>
    <t>206-398-5000</t>
  </si>
  <si>
    <t>TBD - Walsh provided cost estimating services, GC to be selected through a RFP process</t>
  </si>
  <si>
    <t>Option 2:  50% @ 30% AMI, 50% @ 50% AMI (60 Points)</t>
  </si>
  <si>
    <t>Urban:  within 1/4 mile of 3 services and within 1/2 mile of a grocery store</t>
  </si>
  <si>
    <t>Office Housing</t>
  </si>
  <si>
    <t>Laundry</t>
  </si>
  <si>
    <t>Interest &amp; Feed</t>
  </si>
  <si>
    <t>Fees &amp; Interest</t>
  </si>
  <si>
    <t>After School Program Coordinator</t>
  </si>
  <si>
    <t>Resident Services Coordinator</t>
  </si>
  <si>
    <t>Education &amp; Family Support Liason</t>
  </si>
  <si>
    <t>MHNW</t>
  </si>
  <si>
    <t>Service Personnel is shared between the 4%and 9% projects.</t>
  </si>
  <si>
    <t>Urban:  within 1/4 mile of 3 services and 1/2 mile of a grocery store - 3 points</t>
  </si>
  <si>
    <t>x</t>
  </si>
  <si>
    <t>Seattle Office of Housing</t>
  </si>
  <si>
    <t>50 yrs</t>
  </si>
  <si>
    <t>Build Smart/Sponsor Loan</t>
  </si>
  <si>
    <t>Seattle Day Care Grants</t>
  </si>
  <si>
    <t>Day Care - Non Profit Debt</t>
  </si>
  <si>
    <t>Tax-Exempt Perm Debt</t>
  </si>
  <si>
    <t>35 yrs</t>
  </si>
  <si>
    <t>17 yrs</t>
  </si>
  <si>
    <t>amortizing</t>
  </si>
  <si>
    <t>Parker Apartments</t>
  </si>
  <si>
    <t>Rose Street Apartments</t>
  </si>
  <si>
    <t>The Gilmore</t>
  </si>
  <si>
    <t>Casa Pacifica</t>
  </si>
  <si>
    <t>Eagles Housing</t>
  </si>
  <si>
    <t>Mercer Court</t>
  </si>
  <si>
    <t>Bellevue Olive</t>
  </si>
  <si>
    <t>Cascade Court</t>
  </si>
  <si>
    <t>Stone Way Apartmens</t>
  </si>
  <si>
    <t>Stewardt Court</t>
  </si>
  <si>
    <t>Seattle, WA</t>
  </si>
  <si>
    <t>50</t>
  </si>
  <si>
    <t>71</t>
  </si>
  <si>
    <t>70</t>
  </si>
  <si>
    <t>65</t>
  </si>
  <si>
    <t>44</t>
  </si>
  <si>
    <t>24</t>
  </si>
  <si>
    <t>48</t>
  </si>
  <si>
    <t>100</t>
  </si>
  <si>
    <t>Multiple Targets</t>
  </si>
  <si>
    <t>2014</t>
  </si>
  <si>
    <t>2011</t>
  </si>
  <si>
    <t>2006</t>
  </si>
  <si>
    <t>2003</t>
  </si>
  <si>
    <t>2002</t>
  </si>
  <si>
    <t>1998</t>
  </si>
  <si>
    <t>1996</t>
  </si>
  <si>
    <t>1995</t>
  </si>
  <si>
    <t>1994</t>
  </si>
  <si>
    <t>Current</t>
  </si>
  <si>
    <t>4% LITHCH, Bonds, OH, Sponsor loan, Bank Loan</t>
  </si>
  <si>
    <t>4% LIHTC, Bonds, OH, CTED, King County DD, Capital Campaign</t>
  </si>
  <si>
    <t>4% LIHTC, OH, SHA Holly Park Replacement Housing, CTED, HIPDD, Bank Loan</t>
  </si>
  <si>
    <t>4% LIHTC, Bonds, OH, CTED, Bank Loan</t>
  </si>
  <si>
    <t>4% LIHTC, Bonds, OH, Bank Loan</t>
  </si>
  <si>
    <t>4% LIHTC, Bonds, OH, Other</t>
  </si>
  <si>
    <t>9% LIHTC, Sponsor Loan, Bank Loan, TDR</t>
  </si>
  <si>
    <t>9% LIHTC, CTED, Bank Loan, Other</t>
  </si>
  <si>
    <t>9% LIHTC, OH, HTF, Bank Loan</t>
  </si>
  <si>
    <t>4% LIHTC, Bonds, OH</t>
  </si>
  <si>
    <t>Family Tree/ Lincoln Way</t>
  </si>
  <si>
    <t>Villa Kathleen, Fircrest, Evergreen Manor</t>
  </si>
  <si>
    <t xml:space="preserve">New Tacoma 2 </t>
  </si>
  <si>
    <t>Mercy Othello Plaza</t>
  </si>
  <si>
    <t>Woodlakes, Lake Village East</t>
  </si>
  <si>
    <t>Eleanor Apartments</t>
  </si>
  <si>
    <t>Owner, developer, service provider</t>
  </si>
  <si>
    <t>Everett, Lynnwood</t>
  </si>
  <si>
    <t>199</t>
  </si>
  <si>
    <t>12/9/2014</t>
  </si>
  <si>
    <t>12/31/2015</t>
  </si>
  <si>
    <t>4% bonds, LIHTC, 223f</t>
  </si>
  <si>
    <t>Owner, developer</t>
  </si>
  <si>
    <t>Burlington, Mt Vernon, Concrete</t>
  </si>
  <si>
    <t>82</t>
  </si>
  <si>
    <t>5/22/2014</t>
  </si>
  <si>
    <t>Owner, developer, case manager, service provider</t>
  </si>
  <si>
    <t>40</t>
  </si>
  <si>
    <t>11/22/2014</t>
  </si>
  <si>
    <t>12/1/2015</t>
  </si>
  <si>
    <t>Owner, developer,service provider</t>
  </si>
  <si>
    <t>108</t>
  </si>
  <si>
    <t>3/30/2017</t>
  </si>
  <si>
    <t>Snohomish, Lake Stevens</t>
  </si>
  <si>
    <t>88</t>
  </si>
  <si>
    <t>10/21/2016</t>
  </si>
  <si>
    <t>1/30/2017</t>
  </si>
  <si>
    <t>Bellingham</t>
  </si>
  <si>
    <t>80</t>
  </si>
  <si>
    <t>1/1/2015</t>
  </si>
  <si>
    <t>9/14/2017</t>
  </si>
  <si>
    <t>Sandpoint Building 9</t>
  </si>
  <si>
    <t>148</t>
  </si>
  <si>
    <t>3/1/2019</t>
  </si>
  <si>
    <t>Arbora Court</t>
  </si>
  <si>
    <t>133</t>
  </si>
  <si>
    <t>May 2018</t>
  </si>
  <si>
    <t>4% &amp; 9% LIHTC, HTF, County, City</t>
  </si>
  <si>
    <t>Anchor Flats</t>
  </si>
  <si>
    <t>June 2018</t>
  </si>
  <si>
    <t>Retail Partner Equity</t>
  </si>
  <si>
    <t>Retail Partner Loan</t>
  </si>
  <si>
    <t>10 year</t>
  </si>
  <si>
    <t>25 yrs</t>
  </si>
  <si>
    <t xml:space="preserve">Sale </t>
  </si>
  <si>
    <t>Perm Loan</t>
  </si>
  <si>
    <t>Deferred Developer Fee</t>
  </si>
  <si>
    <t>City Of Seattle OH</t>
  </si>
  <si>
    <t>Sponsor Loan</t>
  </si>
  <si>
    <t>Tax-Exempt Debt</t>
  </si>
  <si>
    <t>Deferred Fee</t>
  </si>
  <si>
    <t>Seattle Daycare Grants</t>
  </si>
  <si>
    <t>Permanent Debt</t>
  </si>
  <si>
    <t>State HTF</t>
  </si>
  <si>
    <t>LIHTC Equity</t>
  </si>
  <si>
    <t>Conventional Debt</t>
  </si>
  <si>
    <t>Bank Inspections &amp; Closing Costs</t>
  </si>
  <si>
    <t>Retqil Partner Equity</t>
  </si>
  <si>
    <t>Retail Perm Loan</t>
  </si>
  <si>
    <t>Misc/A/E reimburasables/Transfer tax</t>
  </si>
  <si>
    <t>Sept 9- 2017</t>
  </si>
  <si>
    <t>Onsite Manager (salary less 1BR rent)</t>
  </si>
  <si>
    <t>Bellwether</t>
  </si>
  <si>
    <t>Leasing Assistant</t>
  </si>
  <si>
    <t>Cleaner Light Maintenance II</t>
  </si>
  <si>
    <t>Bellwether PM FEE</t>
  </si>
  <si>
    <t>Property Management Fee 6%</t>
  </si>
  <si>
    <t xml:space="preserve"> Property Management Fee</t>
  </si>
  <si>
    <t>10.1% of all hard cost items</t>
  </si>
  <si>
    <t>Per Calculation with combined 4% and 9% projects</t>
  </si>
  <si>
    <t>Based on similar projects</t>
  </si>
  <si>
    <t>4% Project's share of appraisal cost</t>
  </si>
  <si>
    <t>4% Project's share of market study costs</t>
  </si>
  <si>
    <t>4% Project's share of Construction Management Fee of $15,000 per month</t>
  </si>
  <si>
    <t>Based on Cash Flow during construction</t>
  </si>
  <si>
    <t>Calculated as 0.5% of perm loan amount - to be negotiated with lender</t>
  </si>
  <si>
    <t>Based on past closings</t>
  </si>
  <si>
    <t>4 months debt service and 4 month operating expenses</t>
  </si>
  <si>
    <t>Calculated and based on historical past project - see detail sheet</t>
  </si>
  <si>
    <t>Based on 4% project share of accounting costs</t>
  </si>
  <si>
    <t>Basdd on extra staffing required for  year-1 lease up, and minor marketing expenses</t>
  </si>
  <si>
    <t>Calculated based on WSHFC bond issuance costs</t>
  </si>
  <si>
    <t>Calculated based on Bellwether Bridge loan for PreDev expenses</t>
  </si>
  <si>
    <t>Calculated based on lease-up schedule</t>
  </si>
  <si>
    <t>4% Project's share - based on past projects</t>
  </si>
  <si>
    <t>4% Project's share of A/E Reimbursables &amp; Misc Cost</t>
  </si>
  <si>
    <t>Estimate based on past closing</t>
  </si>
  <si>
    <t>5% of Hard Cost + WSST</t>
  </si>
  <si>
    <t>4% Project's share of $200,000 FFE cost for site furnishings</t>
  </si>
  <si>
    <t>4% Project's share of A/E Fee.  A/E fee 5% of hard construction costs</t>
  </si>
  <si>
    <t>Calculated per WSHFC policies - rounded</t>
  </si>
  <si>
    <t>4% Project's share of bank inspection report &amp; monthly costs &amp; title date down costs</t>
  </si>
  <si>
    <t>Builder's Risk - calculated on construction value and construction duration</t>
  </si>
  <si>
    <t>9% Project's share of $200,000 FFE cost for site furnishings</t>
  </si>
  <si>
    <t>9% Project's share of appraisal cost</t>
  </si>
  <si>
    <t>9% Project's share of market study costs</t>
  </si>
  <si>
    <t>9% Project's share of A/E Fee.  A/E fee 5% of hard construction costs</t>
  </si>
  <si>
    <t>9% Project's share of Construction Management Fee of $15,000 per month</t>
  </si>
  <si>
    <t>9% Project's share - based on past projects</t>
  </si>
  <si>
    <t>9% Project's share of A/E Reimbursables &amp; Misc Cost</t>
  </si>
  <si>
    <t>Calculated as approx 1% of construction loan amount - to be negotiated with lender</t>
  </si>
  <si>
    <t>9% Project's share of bank inspection report &amp; monthly costs &amp; title date down costs</t>
  </si>
  <si>
    <t>based on construction value</t>
  </si>
  <si>
    <t>included in GC Subs DB contract</t>
  </si>
  <si>
    <t>4% Project's share of Seattle City Light fee</t>
  </si>
  <si>
    <t>N/A in the City of Seattle</t>
  </si>
  <si>
    <t>part of building permit fee</t>
  </si>
  <si>
    <t>includes water meter charge</t>
  </si>
  <si>
    <t>Master Use Permit Fee/SDOT Fee</t>
  </si>
  <si>
    <t>Pre-App fee in site plan fee</t>
  </si>
  <si>
    <t>Master Use Permit/Sdot Fee</t>
  </si>
  <si>
    <t>includes in GC subs DB contract</t>
  </si>
  <si>
    <t>9% Project's share of Seattle City Light fee</t>
  </si>
  <si>
    <t>This is the Property Management Fee based on 6% EGI</t>
  </si>
  <si>
    <t>Based on bulding portfolio</t>
  </si>
  <si>
    <t>Based on staffing chart in form 8C</t>
  </si>
  <si>
    <t>$350 PUPY</t>
  </si>
  <si>
    <t>State Exemption assumed here,  RE tax based on surface water management charge</t>
  </si>
  <si>
    <t>Resident Services Provider - MHNW</t>
  </si>
  <si>
    <t>Bellwether/Mercy Predevelopment Loan</t>
  </si>
  <si>
    <t>Sources from Finance Closing</t>
  </si>
  <si>
    <t>Tier B Bonds Construction Loan</t>
  </si>
  <si>
    <t>Sources at Finance Closing</t>
  </si>
  <si>
    <t>30 months</t>
  </si>
  <si>
    <t>Final Tax Credit Equity payment , OH &amp; HTF Funds</t>
  </si>
  <si>
    <t>Final Tax Credit Equity Payment, OH Funds</t>
  </si>
  <si>
    <t>NA</t>
  </si>
  <si>
    <t>17 years</t>
  </si>
  <si>
    <t>50 years</t>
  </si>
  <si>
    <t>15 years</t>
  </si>
  <si>
    <t>35 years</t>
  </si>
  <si>
    <t>Waterfall CF</t>
  </si>
  <si>
    <t>CashFlow</t>
  </si>
  <si>
    <t>Contruction Loan Residential</t>
  </si>
  <si>
    <t>Construction Loan Retail</t>
  </si>
  <si>
    <t>30 month</t>
  </si>
  <si>
    <t>Retail Perm Loan, balance of retail equity</t>
  </si>
  <si>
    <t>Vacancy Factor used is 5% - as per typical underwriting standards.   Rents are escalated at 2.5% &amp; expenses are esclated at 3.5% - per typical past NOFA application and guidance from public funders.  Th exception to this is  water utilities which are esclated at 4%  and Property Management Fees "Offsite" esclated at 2.5% which are percentage of EGI.</t>
  </si>
  <si>
    <t>Vacancy Factor used is 5% - as per typical underwriting standards.   Rents are escalated at 2.5% &amp; expenses are esclated at 3.5% - per typical past NOFA application and guidance from public funders.  Th exception to this is  water utilities which are esclated at 4%  and Property Management Fees "Offsite" esclated at 2.5%, which are a percentage of EGI.</t>
  </si>
  <si>
    <t>Note- This may be an an error in the forms.  No tasks were deleted.</t>
  </si>
  <si>
    <t>4% Project includes  21 - 30% AMI units, 9% Project includes 20% set aside for large households, and 20% set aside for homeless households. Note that  103 of the units (42% of the total units) are 2BR and 3BR units.</t>
  </si>
  <si>
    <t>Our RFP submittal is based on survey information provided by Sound Transit</t>
  </si>
  <si>
    <t>Mercy Housing will be providing resident services</t>
  </si>
  <si>
    <t>Estimate based on past closings</t>
  </si>
  <si>
    <t>included in construction cost above</t>
  </si>
  <si>
    <t>9% Project's share of estimated GeoTech Testing Cost</t>
  </si>
  <si>
    <t>Per calculation with combined 4% and 9% projects</t>
  </si>
  <si>
    <t>4% Project's share of estimated GeoTech Testing Cost</t>
  </si>
  <si>
    <t>based on construction duration and appraised land value</t>
  </si>
  <si>
    <t>Pre-App costs in Site Plan Fee</t>
  </si>
  <si>
    <t>Construction Loan Daycare</t>
  </si>
  <si>
    <t xml:space="preserve">Seattle Office of Housing Levy O &amp; M - 16 homeless units </t>
  </si>
  <si>
    <t>5 years - renewable</t>
  </si>
  <si>
    <t>MFTE assumed here,  RE tax on land value. Below line reserves set-aside for full property tax in years 13, 14, &amp; 15</t>
  </si>
  <si>
    <t>The property management cost are a represented as " Management - Offsite."    DSCR increases with time - a necessary requirement to set aside property tax reserves for when MFTE expires in year 13.    Residents services available to 4% project and costs are an operating expense funded through cash flow.</t>
  </si>
  <si>
    <t>Perm Finnacing Take Out</t>
  </si>
  <si>
    <t>15 year</t>
  </si>
  <si>
    <t>n/A</t>
  </si>
  <si>
    <t>Onsite service personel per Form 8C + Land Lease Payment of $1 to Sound Transit +  WSHFC Compliance fees of $45/PUPY + Misc Adm costs of $74,398 PUPY</t>
  </si>
  <si>
    <t>Onsite service personel per Form 8C + Land Lease Payment of $1 to Sound Transit +  WSHFC Compliance fees of $35/PUPY + Misc Adm costs of $35,406 PUPY</t>
  </si>
  <si>
    <t xml:space="preserve">interest rate </t>
  </si>
  <si>
    <t>Paydown</t>
  </si>
  <si>
    <t>Y1</t>
  </si>
  <si>
    <t>Yr 2</t>
  </si>
  <si>
    <t>Yr  3</t>
  </si>
  <si>
    <t>Yr 4</t>
  </si>
  <si>
    <t>Yr 5</t>
  </si>
  <si>
    <t>Yr 6</t>
  </si>
  <si>
    <t>Yr 7</t>
  </si>
  <si>
    <t>Yr 8</t>
  </si>
  <si>
    <t>Yr 9</t>
  </si>
  <si>
    <t>Yr 10</t>
  </si>
  <si>
    <t>Yr 11</t>
  </si>
  <si>
    <t>yr 12</t>
  </si>
  <si>
    <t>y13</t>
  </si>
  <si>
    <t>yr 14</t>
  </si>
  <si>
    <t>yr  15</t>
  </si>
  <si>
    <t xml:space="preserve">Deferred Fee </t>
  </si>
  <si>
    <t>A/E Reinbursables/Misc/Transfer Tax</t>
  </si>
  <si>
    <t>#365870-0135</t>
  </si>
  <si>
    <t>Closing is expected when site is available for construction</t>
  </si>
  <si>
    <t>Updated market study at Tax Credit Application to supplement market study already provided by Sound Transit dated 2015</t>
  </si>
  <si>
    <t>6 months prior to closing</t>
  </si>
  <si>
    <t>Neighborhood notification plan will be submitted to Office of Housing after RFP award. It is expected that we will start notification in early 2018.</t>
  </si>
  <si>
    <t>Stage 1 application submitted in Spring 2017. Stage 2 application submitted in fall 2018.</t>
  </si>
  <si>
    <t>Competitive RFP for lender/investor</t>
  </si>
  <si>
    <t>Based on 4% Project's share of capitalized Land Cost</t>
  </si>
  <si>
    <t>Based on 9% Project's share of capitalized Land Cost</t>
  </si>
  <si>
    <t>Project Name: 6600 Roosevelt Way NE</t>
  </si>
  <si>
    <t>4% Project's share of owner direct consultants i.e ESDS, waterproofing</t>
  </si>
  <si>
    <t>9% Project's share of owner direct consultants i.e ESDS, waterproofing</t>
  </si>
  <si>
    <t>#91-1116960/#91-1546525</t>
  </si>
  <si>
    <t>#601141427/#601375663</t>
  </si>
  <si>
    <t>12/8/2014</t>
  </si>
  <si>
    <t>Cambridge Apartments</t>
  </si>
  <si>
    <t>December 2018</t>
  </si>
  <si>
    <t>4% LIHTC, Historic TC, State Loan</t>
  </si>
  <si>
    <t>155</t>
  </si>
  <si>
    <t>9% LIHTC, RD, HTF</t>
  </si>
  <si>
    <t>9% LIHTC, County, City, HTF</t>
  </si>
  <si>
    <t>4% / 9% LIHTC, bonds, City, Conerstone,cap</t>
  </si>
  <si>
    <t>9%  LIHTC, County, RD</t>
  </si>
  <si>
    <t>9% LIHTC, City, HTF</t>
  </si>
  <si>
    <t>4% / 9% LIHTC, bonds, City, State. Cap Campaign bonus.</t>
  </si>
  <si>
    <t>Note costs are based on  Q4- 2019  Construction Costs.  If the cost esclation were discounted, the project would be below 2017 TDC limits and an additonal point would be awarded.</t>
  </si>
  <si>
    <t>Note are cost are based on  Q4- 2019  Construction Costs.  If the cost  esclation were discounted, the project would be below 2017 TDC limits</t>
  </si>
  <si>
    <t>This is an error in the split forms</t>
  </si>
  <si>
    <t>Day care in Site A, Retail Space &amp;  Retail</t>
  </si>
  <si>
    <t>Retail Parking in Site B</t>
  </si>
  <si>
    <t>Retail Space</t>
  </si>
  <si>
    <t>Daycare</t>
  </si>
  <si>
    <t>Note: The uses match the sources on Form #7A - 9%</t>
  </si>
  <si>
    <t>Tax Credit Application</t>
  </si>
  <si>
    <t>4% and 9% TC application</t>
  </si>
  <si>
    <t>Based on past Bellwether closings</t>
  </si>
  <si>
    <t>Calculated and based on historical past projects - see detail sheet</t>
  </si>
  <si>
    <t>inluded in construction costs above</t>
  </si>
  <si>
    <t>Based on Walsh Construction Estimate  September 7, 2017 - adjusted down by 2.95% to reduce estimating contingency to 3%</t>
  </si>
  <si>
    <t>4% Project's share of survey cost - based on GXS Core Design estimate</t>
  </si>
  <si>
    <t>9% Project's share of survey cost - based on GXS Core Design</t>
  </si>
  <si>
    <t>Based on $5743 per unit sewer fee</t>
  </si>
  <si>
    <t>Based on Walsh Construction Estimate  September 7, 2017 - adjusted down by 2.95% by reduction of  estimating contingency to 3%</t>
  </si>
  <si>
    <t>based on $5743 per unit sewer fee</t>
  </si>
  <si>
    <t>Sunset House</t>
  </si>
  <si>
    <t>Canaday House</t>
  </si>
  <si>
    <t>Owner, Developer, Property Manager</t>
  </si>
  <si>
    <t>11/2012</t>
  </si>
  <si>
    <t>01/2010</t>
  </si>
  <si>
    <t>03/2007</t>
  </si>
  <si>
    <t>2007</t>
  </si>
  <si>
    <t>83</t>
  </si>
  <si>
    <t>01/2015</t>
  </si>
  <si>
    <t>07/2012</t>
  </si>
  <si>
    <t>03/2011</t>
  </si>
  <si>
    <t>07/2010</t>
  </si>
  <si>
    <t>4&amp; LIHTC, Bonds, OH, Sponsor Loan</t>
  </si>
  <si>
    <t>9% LIHTC, OH</t>
  </si>
  <si>
    <t>9% LIHTC, OH, King County, HUD, EDI Grant, HTF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</si>
</sst>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
      <b/>
      <i/>
      <u/>
      <sz val="9"/>
      <name val="Calibri"/>
      <family val="2"/>
      <scheme val="minor"/>
    </font>
    <font>
      <b/>
      <sz val="18"/>
      <name val="Arial"/>
      <family val="2"/>
    </font>
    <font>
      <b/>
      <i/>
      <sz val="11"/>
      <color indexed="8"/>
      <name val="Calibri"/>
      <family val="2"/>
    </font>
    <font>
      <b/>
      <sz val="7"/>
      <name val="Verdana"/>
      <family val="2"/>
    </font>
  </fonts>
  <fills count="4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
      <patternFill patternType="solid">
        <fgColor theme="9" tint="0.79998168889431442"/>
        <bgColor indexed="64"/>
      </patternFill>
    </fill>
    <fill>
      <patternFill patternType="darkGrid"/>
    </fill>
  </fills>
  <borders count="65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right/>
      <top/>
      <bottom style="thin">
        <color theme="3" tint="0.39994506668294322"/>
      </bottom>
      <diagonal/>
    </border>
    <border>
      <left/>
      <right/>
      <top/>
      <bottom style="medium">
        <color theme="3" tint="0.39994506668294322"/>
      </bottom>
      <diagonal/>
    </border>
    <border>
      <left style="thin">
        <color theme="3" tint="0.39994506668294322"/>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medium">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bottom style="thin">
        <color theme="3" tint="0.39994506668294322"/>
      </bottom>
      <diagonal/>
    </border>
    <border>
      <left/>
      <right style="thin">
        <color theme="3" tint="0.39994506668294322"/>
      </right>
      <top/>
      <bottom style="medium">
        <color theme="3" tint="0.39991454817346722"/>
      </bottom>
      <diagonal/>
    </border>
    <border>
      <left/>
      <right style="medium">
        <color indexed="64"/>
      </right>
      <top/>
      <bottom style="thin">
        <color theme="3" tint="0.39994506668294322"/>
      </bottom>
      <diagonal/>
    </border>
    <border>
      <left style="medium">
        <color indexed="64"/>
      </left>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style="thin">
        <color indexed="64"/>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style="thin">
        <color indexed="64"/>
      </top>
      <bottom style="thin">
        <color indexed="64"/>
      </bottom>
      <diagonal/>
    </border>
    <border>
      <left/>
      <right style="medium">
        <color indexed="64"/>
      </right>
      <top style="thin">
        <color theme="3" tint="0.39994506668294322"/>
      </top>
      <bottom/>
      <diagonal/>
    </border>
    <border>
      <left style="thin">
        <color theme="0" tint="-0.24994659260841701"/>
      </left>
      <right style="double">
        <color auto="1"/>
      </right>
      <top style="medium">
        <color indexed="64"/>
      </top>
      <bottom style="medium">
        <color auto="1"/>
      </bottom>
      <diagonal/>
    </border>
    <border>
      <left/>
      <right style="thin">
        <color theme="0" tint="-0.24994659260841701"/>
      </right>
      <top style="thin">
        <color indexed="64"/>
      </top>
      <bottom style="thin">
        <color indexed="64"/>
      </bottom>
      <diagonal/>
    </border>
    <border>
      <left style="medium">
        <color indexed="64"/>
      </left>
      <right style="medium">
        <color indexed="64"/>
      </right>
      <top style="thin">
        <color theme="3" tint="0.39994506668294322"/>
      </top>
      <bottom/>
      <diagonal/>
    </border>
    <border>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thin">
        <color theme="0" tint="-0.24994659260841701"/>
      </left>
      <right/>
      <top/>
      <bottom style="double">
        <color indexed="64"/>
      </bottom>
      <diagonal/>
    </border>
    <border>
      <left style="medium">
        <color indexed="64"/>
      </left>
      <right style="medium">
        <color indexed="64"/>
      </right>
      <top/>
      <bottom style="double">
        <color indexed="64"/>
      </bottom>
      <diagonal/>
    </border>
    <border>
      <left style="medium">
        <color auto="1"/>
      </left>
      <right/>
      <top/>
      <bottom style="thin">
        <color indexed="64"/>
      </bottom>
      <diagonal/>
    </border>
    <border>
      <left/>
      <right style="thin">
        <color indexed="64"/>
      </right>
      <top/>
      <bottom style="medium">
        <color indexed="64"/>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style="thin">
        <color theme="0" tint="-0.14996795556505021"/>
      </left>
      <right style="thin">
        <color theme="0" tint="-0.14990691854609822"/>
      </right>
      <top/>
      <bottom style="thin">
        <color theme="3" tint="0.39994506668294322"/>
      </bottom>
      <diagonal/>
    </border>
    <border>
      <left style="thin">
        <color theme="0" tint="-0.14990691854609822"/>
      </left>
      <right style="thin">
        <color theme="0" tint="-0.24994659260841701"/>
      </right>
      <top/>
      <bottom style="thin">
        <color theme="3" tint="0.39994506668294322"/>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style="medium">
        <color auto="1"/>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bottom style="thin">
        <color theme="3" tint="0.39994506668294322"/>
      </bottom>
      <diagonal/>
    </border>
    <border>
      <left style="thin">
        <color indexed="64"/>
      </left>
      <right style="thin">
        <color indexed="64"/>
      </right>
      <top style="medium">
        <color indexed="64"/>
      </top>
      <bottom style="thin">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medium">
        <color auto="1"/>
      </top>
      <bottom style="thin">
        <color theme="3" tint="0.39994506668294322"/>
      </bottom>
      <diagonal/>
    </border>
    <border>
      <left style="medium">
        <color indexed="64"/>
      </left>
      <right style="thin">
        <color theme="0" tint="-0.14996795556505021"/>
      </right>
      <top style="thin">
        <color indexed="64"/>
      </top>
      <bottom style="thin">
        <color indexed="64"/>
      </bottom>
      <diagonal/>
    </border>
    <border>
      <left style="medium">
        <color indexed="18"/>
      </left>
      <right/>
      <top style="medium">
        <color indexed="18"/>
      </top>
      <bottom/>
      <diagonal/>
    </border>
    <border>
      <left/>
      <right/>
      <top style="medium">
        <color indexed="18"/>
      </top>
      <bottom/>
      <diagonal/>
    </border>
    <border>
      <left style="medium">
        <color auto="1"/>
      </left>
      <right/>
      <top style="medium">
        <color auto="1"/>
      </top>
      <bottom style="medium">
        <color auto="1"/>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medium">
        <color indexed="64"/>
      </right>
      <top style="medium">
        <color indexed="64"/>
      </top>
      <bottom style="thin">
        <color theme="0" tint="-0.14993743705557422"/>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xf numFmtId="43" fontId="1" fillId="0" borderId="0" applyFont="0" applyFill="0" applyBorder="0" applyAlignment="0" applyProtection="0"/>
  </cellStyleXfs>
  <cellXfs count="3085">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1" xfId="0" applyFont="1" applyBorder="1" applyAlignment="1" applyProtection="1">
      <alignment vertical="center"/>
    </xf>
    <xf numFmtId="0" fontId="3" fillId="0" borderId="30"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114" xfId="0" applyFont="1" applyFill="1" applyBorder="1" applyAlignment="1" applyProtection="1">
      <alignment vertical="center"/>
    </xf>
    <xf numFmtId="0" fontId="3" fillId="0" borderId="115"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27" xfId="0" applyNumberFormat="1" applyFont="1" applyFill="1" applyBorder="1" applyAlignment="1" applyProtection="1">
      <alignment vertical="center"/>
    </xf>
    <xf numFmtId="42" fontId="23" fillId="6" borderId="67" xfId="0" applyNumberFormat="1" applyFont="1" applyFill="1" applyBorder="1" applyAlignment="1" applyProtection="1">
      <alignment vertical="center"/>
    </xf>
    <xf numFmtId="42" fontId="23" fillId="12" borderId="122" xfId="0" applyNumberFormat="1" applyFont="1" applyFill="1" applyBorder="1" applyAlignment="1" applyProtection="1">
      <alignment vertical="center"/>
    </xf>
    <xf numFmtId="42" fontId="23" fillId="17" borderId="69" xfId="0" applyNumberFormat="1" applyFont="1" applyFill="1" applyBorder="1" applyAlignment="1" applyProtection="1">
      <alignment vertical="center"/>
    </xf>
    <xf numFmtId="42" fontId="23" fillId="17" borderId="128" xfId="0" applyNumberFormat="1" applyFont="1" applyFill="1" applyBorder="1" applyAlignment="1" applyProtection="1">
      <alignment vertical="center"/>
    </xf>
    <xf numFmtId="0" fontId="26" fillId="0" borderId="92" xfId="0" applyFont="1" applyFill="1" applyBorder="1" applyAlignment="1" applyProtection="1"/>
    <xf numFmtId="0" fontId="26" fillId="0" borderId="93" xfId="0" applyFont="1" applyFill="1" applyBorder="1" applyAlignment="1" applyProtection="1"/>
    <xf numFmtId="5" fontId="25" fillId="0" borderId="89" xfId="0" applyNumberFormat="1" applyFont="1" applyFill="1" applyBorder="1" applyAlignment="1" applyProtection="1">
      <alignment vertical="center"/>
    </xf>
    <xf numFmtId="42" fontId="23" fillId="0" borderId="132" xfId="0" applyNumberFormat="1" applyFont="1" applyFill="1" applyBorder="1" applyAlignment="1" applyProtection="1">
      <alignment vertical="center"/>
    </xf>
    <xf numFmtId="5" fontId="30" fillId="0" borderId="89" xfId="0" applyNumberFormat="1" applyFont="1" applyFill="1" applyBorder="1" applyAlignment="1" applyProtection="1">
      <alignment vertical="center"/>
    </xf>
    <xf numFmtId="5" fontId="27" fillId="0" borderId="89" xfId="0" applyNumberFormat="1" applyFont="1" applyFill="1" applyBorder="1" applyAlignment="1" applyProtection="1">
      <alignment vertical="center"/>
    </xf>
    <xf numFmtId="42" fontId="23" fillId="0" borderId="89" xfId="0" applyNumberFormat="1" applyFont="1" applyFill="1" applyBorder="1" applyAlignment="1" applyProtection="1">
      <alignment vertical="center"/>
    </xf>
    <xf numFmtId="0" fontId="26" fillId="0" borderId="95" xfId="0" applyFont="1" applyFill="1" applyBorder="1" applyAlignment="1" applyProtection="1"/>
    <xf numFmtId="5" fontId="30" fillId="10" borderId="121" xfId="0" applyNumberFormat="1" applyFont="1" applyFill="1" applyBorder="1" applyAlignment="1" applyProtection="1">
      <alignment vertical="center"/>
    </xf>
    <xf numFmtId="0" fontId="30" fillId="10" borderId="111" xfId="0" applyFont="1" applyFill="1" applyBorder="1" applyProtection="1"/>
    <xf numFmtId="42" fontId="23" fillId="17" borderId="113" xfId="0" applyNumberFormat="1" applyFont="1" applyFill="1" applyBorder="1" applyAlignment="1" applyProtection="1">
      <alignment vertical="center"/>
    </xf>
    <xf numFmtId="5" fontId="12" fillId="0" borderId="33" xfId="0" applyNumberFormat="1" applyFont="1" applyFill="1" applyBorder="1" applyAlignment="1" applyProtection="1">
      <alignment vertical="center"/>
    </xf>
    <xf numFmtId="5" fontId="11" fillId="0" borderId="33"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3"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3" xfId="0" applyNumberFormat="1" applyFont="1" applyFill="1" applyBorder="1" applyAlignment="1" applyProtection="1">
      <alignment vertical="center"/>
    </xf>
    <xf numFmtId="5" fontId="27" fillId="0" borderId="33"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2" xfId="0" applyNumberFormat="1" applyFont="1" applyFill="1" applyBorder="1" applyProtection="1"/>
    <xf numFmtId="5" fontId="27" fillId="0" borderId="12" xfId="0" applyNumberFormat="1" applyFont="1" applyFill="1" applyBorder="1" applyProtection="1"/>
    <xf numFmtId="0" fontId="27" fillId="0" borderId="12"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2" xfId="0" applyNumberFormat="1" applyFont="1" applyFill="1" applyBorder="1" applyAlignment="1" applyProtection="1">
      <alignment vertical="center"/>
    </xf>
    <xf numFmtId="5" fontId="27" fillId="0" borderId="12" xfId="0" applyNumberFormat="1" applyFont="1" applyFill="1" applyBorder="1" applyAlignment="1" applyProtection="1">
      <alignment vertical="center"/>
    </xf>
    <xf numFmtId="5" fontId="25" fillId="0" borderId="12" xfId="0" applyNumberFormat="1" applyFont="1" applyFill="1" applyBorder="1" applyAlignment="1" applyProtection="1">
      <alignment vertical="center"/>
    </xf>
    <xf numFmtId="0" fontId="30" fillId="0" borderId="12"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2" xfId="0" applyNumberFormat="1" applyFont="1" applyBorder="1" applyProtection="1"/>
    <xf numFmtId="42" fontId="16" fillId="0" borderId="33" xfId="0" applyNumberFormat="1" applyFont="1" applyFill="1" applyBorder="1" applyAlignment="1" applyProtection="1">
      <alignment vertical="center"/>
    </xf>
    <xf numFmtId="42" fontId="16" fillId="0" borderId="72"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36" xfId="0" applyNumberFormat="1" applyFont="1" applyFill="1" applyBorder="1" applyAlignment="1" applyProtection="1">
      <alignment vertical="center"/>
    </xf>
    <xf numFmtId="42" fontId="16" fillId="12" borderId="17" xfId="0" applyNumberFormat="1" applyFont="1" applyFill="1" applyBorder="1" applyAlignment="1" applyProtection="1">
      <alignment vertical="center"/>
    </xf>
    <xf numFmtId="42" fontId="16" fillId="6" borderId="133" xfId="0" applyNumberFormat="1" applyFont="1" applyFill="1" applyBorder="1" applyAlignment="1" applyProtection="1">
      <alignment vertical="center"/>
    </xf>
    <xf numFmtId="42" fontId="16" fillId="12" borderId="22" xfId="0" applyNumberFormat="1" applyFont="1" applyFill="1" applyBorder="1" applyAlignment="1" applyProtection="1">
      <alignment vertical="center"/>
    </xf>
    <xf numFmtId="42" fontId="16" fillId="0" borderId="44" xfId="0" applyNumberFormat="1" applyFont="1" applyFill="1" applyBorder="1" applyAlignment="1" applyProtection="1">
      <alignment vertical="center"/>
      <protection locked="0"/>
    </xf>
    <xf numFmtId="42" fontId="16" fillId="12" borderId="85" xfId="0" applyNumberFormat="1" applyFont="1" applyFill="1" applyBorder="1" applyAlignment="1" applyProtection="1">
      <alignment vertical="center"/>
    </xf>
    <xf numFmtId="42" fontId="16" fillId="12" borderId="135" xfId="0" applyNumberFormat="1" applyFont="1" applyFill="1" applyBorder="1" applyAlignment="1" applyProtection="1">
      <alignment vertical="center"/>
    </xf>
    <xf numFmtId="42" fontId="28" fillId="16" borderId="133" xfId="0" applyNumberFormat="1" applyFont="1" applyFill="1" applyBorder="1" applyAlignment="1" applyProtection="1">
      <alignment vertical="center"/>
    </xf>
    <xf numFmtId="42" fontId="32" fillId="16" borderId="119" xfId="0" applyNumberFormat="1" applyFont="1" applyFill="1" applyBorder="1" applyAlignment="1" applyProtection="1">
      <alignment vertical="center"/>
    </xf>
    <xf numFmtId="42" fontId="16" fillId="19" borderId="127" xfId="0" applyNumberFormat="1" applyFont="1" applyFill="1" applyBorder="1" applyAlignment="1" applyProtection="1">
      <alignment vertical="center"/>
    </xf>
    <xf numFmtId="42" fontId="16" fillId="18" borderId="131" xfId="0" applyNumberFormat="1" applyFont="1" applyFill="1" applyBorder="1" applyAlignment="1" applyProtection="1">
      <alignment vertical="center"/>
    </xf>
    <xf numFmtId="42" fontId="16" fillId="18" borderId="82" xfId="0" applyNumberFormat="1" applyFont="1" applyFill="1" applyBorder="1" applyAlignment="1" applyProtection="1">
      <alignment vertical="center"/>
    </xf>
    <xf numFmtId="42" fontId="16" fillId="18" borderId="57" xfId="0" applyNumberFormat="1" applyFont="1" applyFill="1" applyBorder="1" applyAlignment="1" applyProtection="1">
      <alignment vertical="center"/>
    </xf>
    <xf numFmtId="42" fontId="16" fillId="18" borderId="127" xfId="0" applyNumberFormat="1" applyFont="1" applyFill="1" applyBorder="1" applyAlignment="1" applyProtection="1">
      <alignment vertical="center"/>
    </xf>
    <xf numFmtId="42" fontId="16" fillId="18" borderId="124" xfId="0" applyNumberFormat="1" applyFont="1" applyFill="1" applyBorder="1" applyAlignment="1" applyProtection="1">
      <alignment vertical="center"/>
    </xf>
    <xf numFmtId="42" fontId="16" fillId="18" borderId="125" xfId="0" applyNumberFormat="1" applyFont="1" applyFill="1" applyBorder="1" applyAlignment="1" applyProtection="1">
      <alignment vertical="center"/>
    </xf>
    <xf numFmtId="42" fontId="16" fillId="18" borderId="121" xfId="0" applyNumberFormat="1" applyFont="1" applyFill="1" applyBorder="1" applyAlignment="1" applyProtection="1">
      <alignment vertical="center"/>
    </xf>
    <xf numFmtId="42" fontId="16" fillId="18" borderId="24"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1" xfId="0" applyNumberFormat="1" applyFont="1" applyFill="1" applyBorder="1" applyAlignment="1" applyProtection="1">
      <alignment vertical="center"/>
    </xf>
    <xf numFmtId="42" fontId="16" fillId="18" borderId="64" xfId="0" applyNumberFormat="1" applyFont="1" applyFill="1" applyBorder="1" applyAlignment="1" applyProtection="1">
      <alignment vertical="center"/>
    </xf>
    <xf numFmtId="42" fontId="16" fillId="6" borderId="11" xfId="0" applyNumberFormat="1" applyFont="1" applyFill="1" applyBorder="1" applyAlignment="1" applyProtection="1">
      <alignment vertical="center"/>
    </xf>
    <xf numFmtId="42" fontId="16" fillId="18" borderId="10" xfId="0" applyNumberFormat="1" applyFont="1" applyFill="1" applyBorder="1" applyAlignment="1" applyProtection="1">
      <alignment vertical="center"/>
    </xf>
    <xf numFmtId="42" fontId="16" fillId="18" borderId="15" xfId="0" applyNumberFormat="1" applyFont="1" applyFill="1" applyBorder="1" applyAlignment="1" applyProtection="1">
      <alignment vertical="center"/>
    </xf>
    <xf numFmtId="42" fontId="16" fillId="18" borderId="26" xfId="0" applyNumberFormat="1" applyFont="1" applyFill="1" applyBorder="1" applyAlignment="1" applyProtection="1">
      <alignment vertical="center"/>
    </xf>
    <xf numFmtId="42" fontId="16" fillId="18" borderId="80" xfId="0" applyNumberFormat="1" applyFont="1" applyFill="1" applyBorder="1" applyAlignment="1" applyProtection="1">
      <alignment vertical="center"/>
    </xf>
    <xf numFmtId="42" fontId="16" fillId="18" borderId="87" xfId="0" applyNumberFormat="1" applyFont="1" applyFill="1" applyBorder="1" applyAlignment="1" applyProtection="1">
      <alignment vertical="center"/>
    </xf>
    <xf numFmtId="5" fontId="30" fillId="0" borderId="73" xfId="0" applyNumberFormat="1" applyFont="1" applyFill="1" applyBorder="1" applyAlignment="1" applyProtection="1">
      <alignment vertical="center"/>
    </xf>
    <xf numFmtId="5" fontId="27" fillId="0" borderId="73" xfId="0" applyNumberFormat="1" applyFont="1" applyFill="1" applyBorder="1" applyAlignment="1" applyProtection="1">
      <alignment vertical="center"/>
    </xf>
    <xf numFmtId="5" fontId="25" fillId="0" borderId="73" xfId="0" applyNumberFormat="1" applyFont="1" applyFill="1" applyBorder="1" applyAlignment="1" applyProtection="1">
      <alignment vertical="center"/>
    </xf>
    <xf numFmtId="42" fontId="16" fillId="0" borderId="73" xfId="0" applyNumberFormat="1" applyFont="1" applyFill="1" applyBorder="1" applyAlignment="1" applyProtection="1">
      <alignment vertical="center"/>
    </xf>
    <xf numFmtId="5" fontId="25" fillId="5" borderId="33" xfId="0" applyNumberFormat="1" applyFont="1" applyFill="1" applyBorder="1" applyAlignment="1" applyProtection="1">
      <alignment vertical="center"/>
    </xf>
    <xf numFmtId="3" fontId="25" fillId="5" borderId="33" xfId="0" applyNumberFormat="1" applyFont="1" applyFill="1" applyBorder="1" applyAlignment="1" applyProtection="1">
      <alignment vertical="center"/>
    </xf>
    <xf numFmtId="42" fontId="16" fillId="5" borderId="33" xfId="0" applyNumberFormat="1" applyFont="1" applyFill="1" applyBorder="1" applyAlignment="1" applyProtection="1">
      <alignment vertical="center"/>
    </xf>
    <xf numFmtId="42" fontId="16" fillId="14" borderId="33" xfId="0" applyNumberFormat="1" applyFont="1" applyFill="1" applyBorder="1" applyAlignment="1" applyProtection="1">
      <alignment vertical="center"/>
    </xf>
    <xf numFmtId="5" fontId="30" fillId="0" borderId="33" xfId="0" applyNumberFormat="1" applyFont="1" applyFill="1" applyBorder="1" applyAlignment="1" applyProtection="1">
      <alignment vertical="center"/>
    </xf>
    <xf numFmtId="42" fontId="16" fillId="18" borderId="72" xfId="0" applyNumberFormat="1" applyFont="1" applyFill="1" applyBorder="1" applyAlignment="1" applyProtection="1">
      <alignment vertical="center"/>
    </xf>
    <xf numFmtId="42" fontId="16" fillId="18" borderId="118"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49" xfId="0" applyNumberFormat="1" applyFont="1" applyFill="1" applyBorder="1" applyProtection="1"/>
    <xf numFmtId="5" fontId="45" fillId="0" borderId="56" xfId="0" applyNumberFormat="1" applyFont="1" applyFill="1" applyBorder="1" applyProtection="1"/>
    <xf numFmtId="0" fontId="45" fillId="0" borderId="56" xfId="0" applyFont="1" applyBorder="1" applyProtection="1"/>
    <xf numFmtId="0" fontId="3" fillId="0" borderId="30" xfId="0" applyFont="1" applyFill="1" applyBorder="1" applyProtection="1"/>
    <xf numFmtId="0" fontId="3" fillId="0" borderId="0" xfId="0" applyFont="1" applyFill="1" applyBorder="1" applyProtection="1"/>
    <xf numFmtId="0" fontId="3" fillId="0" borderId="31" xfId="0" applyFont="1" applyFill="1" applyBorder="1" applyProtection="1"/>
    <xf numFmtId="44" fontId="3" fillId="2" borderId="213" xfId="0" applyNumberFormat="1" applyFont="1" applyFill="1" applyBorder="1" applyAlignment="1" applyProtection="1"/>
    <xf numFmtId="0" fontId="15" fillId="0" borderId="0" xfId="0" applyNumberFormat="1" applyFont="1" applyFill="1" applyBorder="1" applyAlignment="1" applyProtection="1"/>
    <xf numFmtId="0" fontId="10" fillId="16" borderId="140" xfId="0" applyFont="1" applyFill="1" applyBorder="1" applyAlignment="1" applyProtection="1">
      <alignment vertical="center" wrapText="1"/>
    </xf>
    <xf numFmtId="0" fontId="5" fillId="16" borderId="140" xfId="0" applyFont="1" applyFill="1" applyBorder="1" applyAlignment="1" applyProtection="1">
      <alignment vertical="center" wrapText="1"/>
    </xf>
    <xf numFmtId="0" fontId="10" fillId="16" borderId="141" xfId="0" applyFont="1" applyFill="1" applyBorder="1" applyAlignment="1" applyProtection="1">
      <alignment vertical="center" wrapText="1"/>
    </xf>
    <xf numFmtId="0" fontId="25" fillId="0" borderId="211" xfId="0" applyFont="1" applyBorder="1" applyAlignment="1" applyProtection="1"/>
    <xf numFmtId="0" fontId="25" fillId="0" borderId="212"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11" xfId="0" applyNumberFormat="1" applyFont="1" applyFill="1" applyBorder="1" applyAlignment="1" applyProtection="1">
      <alignment vertical="center"/>
    </xf>
    <xf numFmtId="0" fontId="25" fillId="0" borderId="211" xfId="0" applyFont="1" applyFill="1" applyBorder="1" applyAlignment="1" applyProtection="1">
      <alignment vertical="center"/>
    </xf>
    <xf numFmtId="5" fontId="30" fillId="10" borderId="209" xfId="0" applyNumberFormat="1" applyFont="1" applyFill="1" applyBorder="1" applyAlignment="1" applyProtection="1">
      <alignment vertical="center"/>
    </xf>
    <xf numFmtId="5" fontId="30" fillId="10" borderId="211" xfId="0" applyNumberFormat="1" applyFont="1" applyFill="1" applyBorder="1" applyAlignment="1" applyProtection="1">
      <alignment vertical="center"/>
    </xf>
    <xf numFmtId="0" fontId="30" fillId="10" borderId="11" xfId="0" applyFont="1" applyFill="1" applyBorder="1" applyAlignment="1" applyProtection="1"/>
    <xf numFmtId="0" fontId="30" fillId="10" borderId="12"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69"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39" xfId="0" applyNumberFormat="1" applyFont="1" applyFill="1" applyBorder="1" applyAlignment="1" applyProtection="1">
      <alignment horizontal="center"/>
    </xf>
    <xf numFmtId="0" fontId="55" fillId="16" borderId="138" xfId="0" applyFont="1" applyFill="1" applyBorder="1" applyAlignment="1" applyProtection="1">
      <alignment horizontal="center" vertical="center" wrapText="1"/>
    </xf>
    <xf numFmtId="0" fontId="56" fillId="0" borderId="12" xfId="0" applyFont="1" applyFill="1" applyBorder="1" applyProtection="1"/>
    <xf numFmtId="0" fontId="54" fillId="0" borderId="12" xfId="0" applyFont="1" applyFill="1" applyBorder="1" applyAlignment="1" applyProtection="1"/>
    <xf numFmtId="0" fontId="55" fillId="0" borderId="0" xfId="0" applyFont="1" applyBorder="1" applyAlignment="1" applyProtection="1"/>
    <xf numFmtId="42" fontId="54" fillId="6" borderId="99" xfId="0" applyNumberFormat="1" applyFont="1" applyFill="1" applyBorder="1" applyProtection="1"/>
    <xf numFmtId="0" fontId="54" fillId="0" borderId="6" xfId="0" applyFont="1" applyBorder="1" applyAlignment="1" applyProtection="1"/>
    <xf numFmtId="42" fontId="54" fillId="6" borderId="97" xfId="0" applyNumberFormat="1" applyFont="1" applyFill="1" applyBorder="1" applyProtection="1"/>
    <xf numFmtId="42" fontId="54" fillId="6" borderId="98"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96" xfId="0" applyNumberFormat="1" applyFont="1" applyFill="1" applyBorder="1" applyProtection="1"/>
    <xf numFmtId="42" fontId="54" fillId="6" borderId="84" xfId="0" applyNumberFormat="1" applyFont="1" applyFill="1" applyBorder="1" applyProtection="1"/>
    <xf numFmtId="42" fontId="55" fillId="6" borderId="143" xfId="0" applyNumberFormat="1" applyFont="1" applyFill="1" applyBorder="1" applyProtection="1"/>
    <xf numFmtId="0" fontId="56" fillId="0" borderId="12" xfId="0" applyFont="1" applyBorder="1" applyProtection="1"/>
    <xf numFmtId="0" fontId="54" fillId="0" borderId="12" xfId="0" applyFont="1" applyBorder="1" applyAlignment="1" applyProtection="1"/>
    <xf numFmtId="0" fontId="54" fillId="0" borderId="12" xfId="0" applyFont="1" applyBorder="1" applyProtection="1"/>
    <xf numFmtId="6" fontId="54" fillId="0" borderId="12" xfId="0" applyNumberFormat="1" applyFont="1" applyBorder="1" applyProtection="1"/>
    <xf numFmtId="6" fontId="54" fillId="0" borderId="40"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0"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55" xfId="0" applyNumberFormat="1" applyFont="1" applyFill="1" applyBorder="1" applyAlignment="1" applyProtection="1"/>
    <xf numFmtId="44" fontId="16" fillId="6" borderId="151" xfId="0" applyNumberFormat="1" applyFont="1" applyFill="1" applyBorder="1" applyAlignment="1" applyProtection="1"/>
    <xf numFmtId="44" fontId="20" fillId="6" borderId="143" xfId="0" applyNumberFormat="1" applyFont="1" applyFill="1" applyBorder="1" applyAlignment="1" applyProtection="1"/>
    <xf numFmtId="0" fontId="3" fillId="0" borderId="27" xfId="0" applyFont="1" applyFill="1" applyBorder="1" applyAlignment="1" applyProtection="1">
      <alignment vertical="center"/>
    </xf>
    <xf numFmtId="0" fontId="16" fillId="0" borderId="31" xfId="0" applyFont="1" applyFill="1" applyBorder="1" applyProtection="1"/>
    <xf numFmtId="0" fontId="16" fillId="0" borderId="30" xfId="0" applyFont="1" applyFill="1" applyBorder="1" applyAlignment="1" applyProtection="1">
      <alignment vertical="center"/>
    </xf>
    <xf numFmtId="0" fontId="48" fillId="0" borderId="0" xfId="0" applyFont="1" applyFill="1" applyAlignment="1" applyProtection="1">
      <alignment horizontal="right"/>
    </xf>
    <xf numFmtId="0" fontId="16" fillId="0" borderId="32" xfId="0" applyFont="1" applyFill="1" applyBorder="1" applyAlignment="1" applyProtection="1">
      <alignment vertical="center"/>
    </xf>
    <xf numFmtId="0" fontId="16" fillId="0" borderId="33" xfId="0" applyFont="1" applyFill="1" applyBorder="1" applyAlignment="1" applyProtection="1">
      <alignment vertical="center"/>
    </xf>
    <xf numFmtId="0" fontId="16" fillId="0" borderId="33" xfId="0" applyFont="1" applyFill="1" applyBorder="1" applyProtection="1"/>
    <xf numFmtId="0" fontId="16" fillId="0" borderId="34" xfId="0" applyFont="1" applyFill="1" applyBorder="1" applyProtection="1"/>
    <xf numFmtId="0" fontId="16" fillId="0" borderId="27" xfId="0" applyFont="1" applyFill="1" applyBorder="1" applyProtection="1"/>
    <xf numFmtId="0" fontId="16" fillId="0" borderId="28" xfId="0" applyFont="1" applyFill="1" applyBorder="1" applyProtection="1"/>
    <xf numFmtId="0" fontId="16" fillId="0" borderId="28" xfId="0" applyFont="1" applyFill="1" applyBorder="1" applyAlignment="1" applyProtection="1">
      <alignment horizontal="center"/>
    </xf>
    <xf numFmtId="166" fontId="16" fillId="0" borderId="28" xfId="0" applyNumberFormat="1" applyFont="1" applyFill="1" applyBorder="1" applyProtection="1"/>
    <xf numFmtId="9" fontId="16" fillId="0" borderId="28" xfId="0" applyNumberFormat="1" applyFont="1" applyFill="1" applyBorder="1" applyAlignment="1" applyProtection="1">
      <alignment horizontal="center"/>
    </xf>
    <xf numFmtId="166" fontId="16" fillId="0" borderId="28" xfId="0" applyNumberFormat="1" applyFont="1" applyFill="1" applyBorder="1" applyAlignment="1" applyProtection="1">
      <alignment horizontal="center"/>
    </xf>
    <xf numFmtId="3" fontId="16" fillId="0" borderId="28" xfId="0" applyNumberFormat="1" applyFont="1" applyFill="1" applyBorder="1" applyProtection="1"/>
    <xf numFmtId="0" fontId="16" fillId="0" borderId="29" xfId="0" applyFont="1" applyFill="1" applyBorder="1" applyProtection="1"/>
    <xf numFmtId="0" fontId="16" fillId="0" borderId="30"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0"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1" xfId="0" applyNumberFormat="1" applyFont="1" applyFill="1" applyBorder="1" applyProtection="1"/>
    <xf numFmtId="166" fontId="17" fillId="0" borderId="31" xfId="0" applyNumberFormat="1" applyFont="1" applyFill="1" applyBorder="1" applyProtection="1"/>
    <xf numFmtId="3" fontId="17" fillId="0" borderId="30" xfId="0" applyNumberFormat="1" applyFont="1" applyFill="1" applyBorder="1" applyProtection="1"/>
    <xf numFmtId="166" fontId="17" fillId="0" borderId="12" xfId="0" applyNumberFormat="1" applyFont="1" applyFill="1" applyBorder="1" applyAlignment="1" applyProtection="1">
      <alignment horizontal="right"/>
    </xf>
    <xf numFmtId="166" fontId="17" fillId="0" borderId="105"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1"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44" xfId="0" applyFont="1" applyFill="1" applyBorder="1" applyAlignment="1" applyProtection="1">
      <alignment horizontal="center" vertical="center"/>
    </xf>
    <xf numFmtId="0" fontId="43" fillId="8" borderId="193"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43"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43"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63" xfId="0" applyFont="1" applyFill="1" applyBorder="1" applyAlignment="1" applyProtection="1">
      <alignment horizontal="left" vertical="center"/>
    </xf>
    <xf numFmtId="0" fontId="41" fillId="0" borderId="165" xfId="0" applyFont="1" applyFill="1" applyBorder="1" applyAlignment="1" applyProtection="1">
      <alignment vertical="center"/>
    </xf>
    <xf numFmtId="0" fontId="41" fillId="0" borderId="16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62" xfId="0" applyFont="1" applyFill="1" applyBorder="1" applyAlignment="1" applyProtection="1">
      <alignment vertical="center"/>
    </xf>
    <xf numFmtId="0" fontId="41" fillId="0" borderId="160"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62"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1"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69" xfId="0" applyFont="1" applyFill="1" applyBorder="1" applyAlignment="1" applyProtection="1">
      <alignment vertical="center"/>
    </xf>
    <xf numFmtId="0" fontId="43" fillId="0" borderId="169"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1" xfId="0" applyFont="1" applyFill="1" applyBorder="1" applyAlignment="1" applyProtection="1">
      <alignment vertical="center"/>
    </xf>
    <xf numFmtId="0" fontId="45" fillId="0" borderId="169"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194" xfId="0" applyFont="1" applyFill="1" applyBorder="1" applyAlignment="1" applyProtection="1">
      <alignment horizontal="left" vertical="center" indent="1"/>
    </xf>
    <xf numFmtId="0" fontId="43" fillId="0" borderId="194" xfId="0" applyFont="1" applyFill="1" applyBorder="1" applyAlignment="1" applyProtection="1">
      <alignment vertical="center"/>
    </xf>
    <xf numFmtId="0" fontId="54" fillId="0" borderId="160" xfId="0" applyFont="1" applyFill="1" applyBorder="1" applyAlignment="1" applyProtection="1">
      <alignment vertical="center"/>
    </xf>
    <xf numFmtId="0" fontId="41" fillId="0" borderId="195" xfId="0" applyFont="1" applyFill="1" applyBorder="1" applyAlignment="1" applyProtection="1">
      <alignment horizontal="left" vertical="center" indent="1"/>
    </xf>
    <xf numFmtId="0" fontId="43" fillId="0" borderId="195" xfId="0" applyFont="1" applyFill="1" applyBorder="1" applyAlignment="1" applyProtection="1">
      <alignment vertical="center"/>
    </xf>
    <xf numFmtId="0" fontId="41" fillId="0" borderId="195" xfId="0" applyFont="1" applyFill="1" applyBorder="1" applyAlignment="1" applyProtection="1">
      <alignment vertical="center"/>
    </xf>
    <xf numFmtId="0" fontId="65" fillId="0" borderId="160"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1" xfId="0" applyFont="1" applyFill="1" applyBorder="1" applyAlignment="1" applyProtection="1">
      <alignment horizontal="left" vertical="center"/>
    </xf>
    <xf numFmtId="0" fontId="43" fillId="0" borderId="191"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69"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47"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05" xfId="0" applyFont="1" applyFill="1" applyBorder="1" applyAlignment="1" applyProtection="1">
      <alignment horizontal="center" vertical="center" wrapText="1"/>
      <protection locked="0"/>
    </xf>
    <xf numFmtId="0" fontId="16" fillId="5" borderId="206" xfId="0" applyFont="1" applyFill="1" applyBorder="1" applyAlignment="1" applyProtection="1">
      <alignment horizontal="center" vertical="center" wrapText="1"/>
      <protection locked="0"/>
    </xf>
    <xf numFmtId="0" fontId="50" fillId="0" borderId="163" xfId="0" applyFont="1" applyFill="1" applyBorder="1" applyAlignment="1" applyProtection="1">
      <alignment horizontal="left" wrapText="1"/>
    </xf>
    <xf numFmtId="0" fontId="16" fillId="0" borderId="164" xfId="0" applyFont="1" applyFill="1" applyBorder="1" applyAlignment="1" applyProtection="1">
      <alignment wrapText="1"/>
    </xf>
    <xf numFmtId="0" fontId="16" fillId="0" borderId="207" xfId="0" applyFont="1" applyFill="1" applyBorder="1" applyAlignment="1" applyProtection="1">
      <alignment wrapText="1"/>
    </xf>
    <xf numFmtId="0" fontId="16" fillId="0" borderId="165" xfId="0" applyFont="1" applyBorder="1" applyAlignment="1" applyProtection="1">
      <alignment wrapText="1"/>
    </xf>
    <xf numFmtId="0" fontId="50" fillId="0" borderId="160" xfId="0" applyFont="1" applyFill="1" applyBorder="1" applyAlignment="1" applyProtection="1">
      <alignment horizontal="left" wrapText="1"/>
    </xf>
    <xf numFmtId="0" fontId="16" fillId="0" borderId="162" xfId="0" applyFont="1" applyBorder="1" applyAlignment="1" applyProtection="1">
      <alignment wrapText="1"/>
    </xf>
    <xf numFmtId="0" fontId="41" fillId="0" borderId="160" xfId="0" applyFont="1" applyFill="1" applyBorder="1" applyAlignment="1" applyProtection="1">
      <alignment horizontal="left" wrapText="1"/>
    </xf>
    <xf numFmtId="0" fontId="41" fillId="0" borderId="0" xfId="0" applyFont="1" applyAlignment="1" applyProtection="1">
      <alignment wrapText="1"/>
    </xf>
    <xf numFmtId="0" fontId="41" fillId="0" borderId="162"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0" xfId="0" applyFont="1" applyFill="1" applyBorder="1" applyAlignment="1" applyProtection="1">
      <alignment wrapText="1"/>
    </xf>
    <xf numFmtId="0" fontId="43" fillId="16" borderId="168" xfId="0" applyFont="1" applyFill="1" applyBorder="1" applyAlignment="1" applyProtection="1">
      <alignment horizontal="center" vertical="center" wrapText="1"/>
    </xf>
    <xf numFmtId="0" fontId="43" fillId="16" borderId="140" xfId="0" applyFont="1" applyFill="1" applyBorder="1" applyAlignment="1" applyProtection="1">
      <alignment horizontal="center" vertical="center" wrapText="1"/>
    </xf>
    <xf numFmtId="0" fontId="43" fillId="16" borderId="141" xfId="0" applyFont="1" applyFill="1" applyBorder="1" applyAlignment="1" applyProtection="1">
      <alignment horizontal="center" vertical="center" wrapText="1"/>
    </xf>
    <xf numFmtId="0" fontId="68" fillId="0" borderId="160" xfId="0" applyFont="1" applyFill="1" applyBorder="1" applyAlignment="1" applyProtection="1">
      <alignment wrapText="1"/>
    </xf>
    <xf numFmtId="0" fontId="53" fillId="0" borderId="160" xfId="0" applyFont="1" applyFill="1" applyBorder="1" applyAlignment="1" applyProtection="1">
      <alignment wrapText="1"/>
    </xf>
    <xf numFmtId="0" fontId="16" fillId="0" borderId="161" xfId="0" applyFont="1" applyFill="1" applyBorder="1" applyAlignment="1" applyProtection="1">
      <alignment wrapText="1"/>
    </xf>
    <xf numFmtId="0" fontId="20" fillId="0" borderId="166" xfId="0" applyFont="1" applyBorder="1" applyAlignment="1" applyProtection="1">
      <alignment wrapText="1"/>
    </xf>
    <xf numFmtId="0" fontId="16" fillId="0" borderId="167" xfId="0" applyFont="1" applyBorder="1" applyAlignment="1" applyProtection="1">
      <alignment wrapText="1"/>
    </xf>
    <xf numFmtId="0" fontId="18" fillId="0" borderId="220" xfId="0" applyFont="1" applyFill="1" applyBorder="1" applyAlignment="1" applyProtection="1"/>
    <xf numFmtId="0" fontId="16" fillId="0" borderId="164" xfId="0" applyFont="1" applyFill="1" applyBorder="1" applyAlignment="1" applyProtection="1"/>
    <xf numFmtId="0" fontId="69" fillId="0" borderId="162" xfId="0" applyFont="1" applyFill="1" applyBorder="1" applyAlignment="1" applyProtection="1">
      <alignment horizontal="left" vertical="center" wrapText="1"/>
    </xf>
    <xf numFmtId="0" fontId="20" fillId="0" borderId="0" xfId="0" applyFont="1" applyBorder="1" applyAlignment="1" applyProtection="1"/>
    <xf numFmtId="0" fontId="20" fillId="0" borderId="166" xfId="0" applyFont="1" applyBorder="1" applyAlignment="1" applyProtection="1"/>
    <xf numFmtId="0" fontId="18" fillId="0" borderId="6" xfId="0" applyFont="1" applyFill="1" applyBorder="1" applyAlignment="1" applyProtection="1"/>
    <xf numFmtId="0" fontId="44" fillId="6" borderId="51"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52" xfId="0" applyFont="1" applyFill="1" applyBorder="1" applyAlignment="1" applyProtection="1">
      <alignment vertical="center"/>
    </xf>
    <xf numFmtId="0" fontId="43" fillId="16" borderId="155" xfId="0" applyFont="1" applyFill="1" applyBorder="1" applyAlignment="1" applyProtection="1">
      <alignment vertical="center"/>
    </xf>
    <xf numFmtId="0" fontId="20" fillId="0" borderId="0" xfId="0" applyFont="1" applyBorder="1" applyAlignment="1" applyProtection="1">
      <alignment wrapText="1"/>
    </xf>
    <xf numFmtId="0" fontId="16" fillId="0" borderId="163" xfId="0" applyFont="1" applyFill="1" applyBorder="1" applyAlignment="1" applyProtection="1">
      <alignment horizontal="left" wrapText="1"/>
    </xf>
    <xf numFmtId="0" fontId="16" fillId="0" borderId="160"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4" xfId="0" applyBorder="1"/>
    <xf numFmtId="1" fontId="5" fillId="2" borderId="222"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1" xfId="0" applyFont="1" applyFill="1" applyBorder="1" applyProtection="1"/>
    <xf numFmtId="0" fontId="16" fillId="0" borderId="26" xfId="0" applyFont="1" applyFill="1" applyBorder="1" applyAlignment="1" applyProtection="1">
      <alignment horizontal="left"/>
      <protection locked="0"/>
    </xf>
    <xf numFmtId="0" fontId="59" fillId="0" borderId="147" xfId="0" applyFont="1" applyFill="1" applyBorder="1" applyAlignment="1" applyProtection="1"/>
    <xf numFmtId="0" fontId="16" fillId="0" borderId="73" xfId="0" applyFont="1" applyFill="1" applyBorder="1" applyProtection="1"/>
    <xf numFmtId="0" fontId="16" fillId="0" borderId="13" xfId="0" applyFont="1" applyFill="1" applyBorder="1" applyProtection="1"/>
    <xf numFmtId="0" fontId="16" fillId="0" borderId="89"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0" xfId="0" applyNumberFormat="1" applyFont="1" applyFill="1" applyBorder="1" applyAlignment="1" applyProtection="1">
      <alignment vertical="center"/>
    </xf>
    <xf numFmtId="9" fontId="23" fillId="17" borderId="112"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24"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193" xfId="0" applyNumberFormat="1" applyFont="1" applyFill="1" applyBorder="1" applyAlignment="1" applyProtection="1">
      <alignment vertical="center"/>
    </xf>
    <xf numFmtId="0" fontId="16" fillId="0" borderId="220" xfId="0" applyFont="1" applyFill="1" applyBorder="1" applyProtection="1"/>
    <xf numFmtId="0" fontId="16" fillId="0" borderId="221" xfId="0" applyFont="1" applyFill="1" applyBorder="1" applyProtection="1"/>
    <xf numFmtId="0" fontId="54" fillId="0" borderId="26" xfId="0" applyFont="1" applyBorder="1" applyProtection="1"/>
    <xf numFmtId="166" fontId="43" fillId="6" borderId="228" xfId="0" applyNumberFormat="1" applyFont="1" applyFill="1" applyBorder="1" applyAlignment="1" applyProtection="1">
      <alignment horizontal="center" wrapText="1"/>
    </xf>
    <xf numFmtId="166" fontId="43" fillId="6" borderId="229" xfId="0" applyNumberFormat="1" applyFont="1" applyFill="1" applyBorder="1" applyAlignment="1" applyProtection="1">
      <alignment horizontal="center" wrapText="1"/>
    </xf>
    <xf numFmtId="0" fontId="16" fillId="0" borderId="91" xfId="0" applyFont="1" applyBorder="1" applyProtection="1"/>
    <xf numFmtId="0" fontId="16" fillId="0" borderId="92" xfId="0" applyFont="1" applyBorder="1" applyProtection="1"/>
    <xf numFmtId="0" fontId="16" fillId="0" borderId="94"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8"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0" xfId="0" applyFont="1" applyBorder="1" applyAlignment="1" applyProtection="1"/>
    <xf numFmtId="0" fontId="20" fillId="0" borderId="60"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24"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48" fillId="0" borderId="0" xfId="0" applyFont="1" applyFill="1" applyBorder="1" applyAlignment="1" applyProtection="1">
      <alignment vertical="top" wrapText="1"/>
    </xf>
    <xf numFmtId="0" fontId="16" fillId="9" borderId="83"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0" xfId="0" applyFont="1" applyFill="1" applyBorder="1" applyProtection="1">
      <protection locked="0"/>
    </xf>
    <xf numFmtId="0" fontId="0" fillId="0" borderId="0" xfId="0" applyProtection="1">
      <protection locked="0"/>
    </xf>
    <xf numFmtId="0" fontId="0" fillId="0" borderId="0" xfId="0" applyFont="1" applyFill="1" applyProtection="1">
      <protection locked="0"/>
    </xf>
    <xf numFmtId="0" fontId="16" fillId="0" borderId="93" xfId="0" applyFont="1" applyBorder="1" applyProtection="1"/>
    <xf numFmtId="0" fontId="16" fillId="0" borderId="95" xfId="0" applyFont="1" applyBorder="1" applyProtection="1"/>
    <xf numFmtId="0" fontId="0" fillId="0" borderId="0" xfId="0" applyFont="1" applyProtection="1">
      <protection locked="0"/>
    </xf>
    <xf numFmtId="0" fontId="3" fillId="0" borderId="91" xfId="0" applyFont="1" applyBorder="1" applyProtection="1"/>
    <xf numFmtId="0" fontId="3" fillId="0" borderId="92" xfId="0" applyFont="1" applyBorder="1" applyProtection="1"/>
    <xf numFmtId="0" fontId="3" fillId="0" borderId="92" xfId="0" applyFont="1" applyFill="1" applyBorder="1" applyProtection="1"/>
    <xf numFmtId="0" fontId="3" fillId="0" borderId="93" xfId="0" applyFont="1" applyBorder="1" applyProtection="1"/>
    <xf numFmtId="0" fontId="3" fillId="0" borderId="94" xfId="0" applyFont="1" applyBorder="1" applyProtection="1"/>
    <xf numFmtId="0" fontId="3" fillId="0" borderId="95" xfId="0" applyFont="1" applyBorder="1" applyProtection="1"/>
    <xf numFmtId="0" fontId="3" fillId="0" borderId="0" xfId="0" applyFont="1" applyBorder="1" applyProtection="1"/>
    <xf numFmtId="0" fontId="3" fillId="0" borderId="0" xfId="0" applyFont="1" applyFill="1" applyBorder="1" applyAlignment="1" applyProtection="1"/>
    <xf numFmtId="0" fontId="3" fillId="6" borderId="103" xfId="0" applyFont="1" applyFill="1" applyBorder="1" applyAlignment="1" applyProtection="1">
      <alignment horizontal="center"/>
    </xf>
    <xf numFmtId="0" fontId="3" fillId="6" borderId="104" xfId="0" applyFont="1" applyFill="1" applyBorder="1" applyAlignment="1" applyProtection="1">
      <alignment horizontal="center"/>
    </xf>
    <xf numFmtId="0" fontId="5" fillId="6" borderId="83" xfId="0" applyFont="1" applyFill="1" applyBorder="1" applyAlignment="1" applyProtection="1">
      <alignment horizontal="center"/>
    </xf>
    <xf numFmtId="0" fontId="3" fillId="0" borderId="89" xfId="0" applyFont="1" applyBorder="1" applyProtection="1"/>
    <xf numFmtId="0" fontId="3" fillId="0" borderId="90" xfId="0" applyFont="1" applyBorder="1" applyProtection="1"/>
    <xf numFmtId="0" fontId="0" fillId="0" borderId="0" xfId="0" applyFill="1" applyProtection="1">
      <protection locked="0"/>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0" xfId="0" applyFont="1" applyBorder="1" applyAlignment="1" applyProtection="1">
      <alignment vertical="center"/>
    </xf>
    <xf numFmtId="0" fontId="3" fillId="0" borderId="33" xfId="0" applyFont="1" applyBorder="1" applyAlignment="1" applyProtection="1">
      <alignment vertical="center"/>
    </xf>
    <xf numFmtId="0" fontId="16" fillId="0" borderId="0" xfId="0" applyFont="1" applyFill="1" applyBorder="1" applyProtection="1"/>
    <xf numFmtId="0" fontId="3" fillId="0" borderId="36" xfId="0" applyFont="1" applyBorder="1" applyProtection="1"/>
    <xf numFmtId="0" fontId="3" fillId="0" borderId="37" xfId="0" applyFont="1" applyBorder="1" applyProtection="1"/>
    <xf numFmtId="0" fontId="3" fillId="0" borderId="38" xfId="0" applyFont="1" applyBorder="1" applyProtection="1"/>
    <xf numFmtId="0" fontId="3" fillId="0" borderId="39" xfId="0" applyFont="1" applyBorder="1" applyProtection="1"/>
    <xf numFmtId="0" fontId="3" fillId="0" borderId="40" xfId="0" applyFont="1" applyBorder="1" applyProtection="1"/>
    <xf numFmtId="0" fontId="5" fillId="0" borderId="0" xfId="0" applyFont="1" applyBorder="1" applyProtection="1"/>
    <xf numFmtId="0" fontId="1" fillId="0" borderId="0" xfId="0" applyFont="1" applyFill="1" applyBorder="1" applyAlignment="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3" fillId="0" borderId="27" xfId="0" applyFont="1" applyFill="1" applyBorder="1" applyAlignment="1" applyProtection="1"/>
    <xf numFmtId="0" fontId="3" fillId="0" borderId="28" xfId="0" applyFont="1" applyFill="1" applyBorder="1" applyAlignment="1" applyProtection="1"/>
    <xf numFmtId="0" fontId="3" fillId="0" borderId="29" xfId="0" applyFont="1" applyFill="1" applyBorder="1" applyAlignment="1" applyProtection="1"/>
    <xf numFmtId="0" fontId="3" fillId="0" borderId="30" xfId="0" applyFont="1" applyFill="1" applyBorder="1" applyAlignment="1" applyProtection="1"/>
    <xf numFmtId="0" fontId="3" fillId="0" borderId="31" xfId="0" applyFont="1" applyFill="1" applyBorder="1" applyAlignment="1" applyProtection="1"/>
    <xf numFmtId="0" fontId="17" fillId="16" borderId="209" xfId="0" applyFont="1" applyFill="1" applyBorder="1" applyAlignment="1" applyProtection="1">
      <alignment vertical="center"/>
    </xf>
    <xf numFmtId="0" fontId="5" fillId="16" borderId="11" xfId="0" applyFont="1" applyFill="1" applyBorder="1" applyAlignment="1" applyProtection="1"/>
    <xf numFmtId="0" fontId="5" fillId="16" borderId="223"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2" xfId="0" applyFont="1" applyFill="1" applyBorder="1" applyAlignment="1" applyProtection="1"/>
    <xf numFmtId="0" fontId="3" fillId="3" borderId="33" xfId="0" applyFont="1" applyFill="1" applyBorder="1" applyAlignment="1" applyProtection="1"/>
    <xf numFmtId="0" fontId="3" fillId="0" borderId="34" xfId="0" applyFont="1" applyFill="1" applyBorder="1" applyAlignment="1" applyProtection="1"/>
    <xf numFmtId="0" fontId="8" fillId="0" borderId="0" xfId="0" applyFont="1" applyFill="1" applyBorder="1" applyAlignment="1" applyProtection="1">
      <alignment horizontal="left" vertical="center"/>
    </xf>
    <xf numFmtId="0" fontId="25" fillId="0" borderId="91" xfId="0" applyFont="1" applyFill="1" applyBorder="1" applyProtection="1"/>
    <xf numFmtId="0" fontId="25" fillId="0" borderId="92" xfId="0" applyFont="1" applyFill="1" applyBorder="1" applyProtection="1"/>
    <xf numFmtId="0" fontId="25" fillId="0" borderId="94" xfId="0" applyFont="1" applyFill="1" applyBorder="1" applyProtection="1"/>
    <xf numFmtId="0" fontId="25" fillId="0" borderId="94" xfId="0" applyFont="1" applyBorder="1" applyProtection="1"/>
    <xf numFmtId="0" fontId="3" fillId="0" borderId="0" xfId="0" applyFont="1" applyProtection="1"/>
    <xf numFmtId="0" fontId="25" fillId="0" borderId="95" xfId="0" applyFont="1" applyFill="1" applyBorder="1" applyProtection="1"/>
    <xf numFmtId="0" fontId="25" fillId="15" borderId="48" xfId="0" applyFont="1" applyFill="1" applyBorder="1" applyProtection="1"/>
    <xf numFmtId="5" fontId="27" fillId="16" borderId="51" xfId="0" applyNumberFormat="1" applyFont="1" applyFill="1" applyBorder="1" applyAlignment="1" applyProtection="1">
      <alignment vertical="center" wrapText="1"/>
    </xf>
    <xf numFmtId="0" fontId="25" fillId="15" borderId="0" xfId="0" applyFont="1" applyFill="1" applyBorder="1" applyProtection="1"/>
    <xf numFmtId="5" fontId="27" fillId="16" borderId="61" xfId="0" applyNumberFormat="1" applyFont="1" applyFill="1" applyBorder="1" applyAlignment="1" applyProtection="1">
      <alignment vertical="center" wrapText="1"/>
    </xf>
    <xf numFmtId="0" fontId="25" fillId="15" borderId="12"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48" xfId="0" applyNumberFormat="1" applyFont="1" applyFill="1" applyBorder="1" applyProtection="1"/>
    <xf numFmtId="42" fontId="23" fillId="15" borderId="0" xfId="0" applyNumberFormat="1" applyFont="1" applyFill="1" applyBorder="1" applyProtection="1"/>
    <xf numFmtId="42" fontId="23" fillId="15" borderId="68" xfId="0" applyNumberFormat="1" applyFont="1" applyFill="1" applyBorder="1" applyProtection="1"/>
    <xf numFmtId="42" fontId="23" fillId="12" borderId="55" xfId="0" applyNumberFormat="1" applyFont="1" applyFill="1" applyBorder="1" applyAlignment="1" applyProtection="1">
      <alignment vertical="center"/>
    </xf>
    <xf numFmtId="0" fontId="3" fillId="0" borderId="48" xfId="0" applyFont="1" applyBorder="1" applyProtection="1"/>
    <xf numFmtId="0" fontId="25" fillId="0" borderId="88" xfId="0" applyFont="1" applyFill="1" applyBorder="1" applyProtection="1"/>
    <xf numFmtId="0" fontId="3" fillId="0" borderId="132" xfId="0" applyFont="1" applyBorder="1" applyProtection="1"/>
    <xf numFmtId="0" fontId="25" fillId="0" borderId="132" xfId="0" applyFont="1" applyBorder="1" applyProtection="1"/>
    <xf numFmtId="42" fontId="35" fillId="0" borderId="132" xfId="0" applyNumberFormat="1" applyFont="1" applyFill="1" applyBorder="1" applyAlignment="1" applyProtection="1">
      <alignment horizontal="center" vertical="center"/>
    </xf>
    <xf numFmtId="42" fontId="23" fillId="15" borderId="132" xfId="0" applyNumberFormat="1" applyFont="1" applyFill="1" applyBorder="1" applyProtection="1"/>
    <xf numFmtId="0" fontId="3" fillId="0" borderId="193" xfId="0" applyFont="1" applyBorder="1" applyProtection="1"/>
    <xf numFmtId="0" fontId="25" fillId="0" borderId="193" xfId="0" applyFont="1" applyBorder="1" applyProtection="1"/>
    <xf numFmtId="42" fontId="35" fillId="0" borderId="193" xfId="0" applyNumberFormat="1" applyFont="1" applyFill="1" applyBorder="1" applyAlignment="1" applyProtection="1">
      <alignment horizontal="center" vertical="center"/>
    </xf>
    <xf numFmtId="42" fontId="23" fillId="15" borderId="193" xfId="0" applyNumberFormat="1" applyFont="1" applyFill="1" applyBorder="1" applyProtection="1"/>
    <xf numFmtId="42" fontId="16" fillId="0" borderId="12" xfId="0" applyNumberFormat="1" applyFont="1" applyFill="1" applyBorder="1" applyProtection="1"/>
    <xf numFmtId="0" fontId="25" fillId="0" borderId="89" xfId="0" applyFont="1" applyBorder="1" applyProtection="1"/>
    <xf numFmtId="42" fontId="23" fillId="15" borderId="89" xfId="0" applyNumberFormat="1" applyFont="1" applyFill="1" applyBorder="1" applyProtection="1"/>
    <xf numFmtId="42" fontId="23" fillId="11" borderId="119" xfId="0" applyNumberFormat="1" applyFont="1" applyFill="1" applyBorder="1" applyAlignment="1" applyProtection="1">
      <alignment vertical="center"/>
    </xf>
    <xf numFmtId="42" fontId="23" fillId="11" borderId="134" xfId="0" applyNumberFormat="1" applyFont="1" applyFill="1" applyBorder="1" applyAlignment="1" applyProtection="1">
      <alignment vertical="center"/>
    </xf>
    <xf numFmtId="42" fontId="23" fillId="15" borderId="12" xfId="0" applyNumberFormat="1" applyFont="1" applyFill="1" applyBorder="1" applyProtection="1"/>
    <xf numFmtId="42" fontId="23" fillId="0" borderId="0" xfId="0" applyNumberFormat="1" applyFont="1" applyFill="1" applyBorder="1" applyProtection="1"/>
    <xf numFmtId="0" fontId="25" fillId="0" borderId="89" xfId="0" applyFont="1" applyFill="1" applyBorder="1" applyProtection="1"/>
    <xf numFmtId="166" fontId="37" fillId="0" borderId="89" xfId="0" applyNumberFormat="1" applyFont="1" applyFill="1" applyBorder="1" applyAlignment="1" applyProtection="1"/>
    <xf numFmtId="0" fontId="3" fillId="0" borderId="90" xfId="0" applyFont="1" applyFill="1" applyBorder="1" applyProtection="1"/>
    <xf numFmtId="44" fontId="0" fillId="0" borderId="0" xfId="0" applyNumberFormat="1" applyProtection="1">
      <protection locked="0"/>
    </xf>
    <xf numFmtId="0" fontId="12" fillId="0" borderId="27" xfId="0" applyFont="1" applyBorder="1" applyProtection="1"/>
    <xf numFmtId="0" fontId="12" fillId="0" borderId="28" xfId="0" applyFont="1" applyBorder="1" applyProtection="1"/>
    <xf numFmtId="0" fontId="12" fillId="0" borderId="29" xfId="0" applyFont="1" applyBorder="1" applyProtection="1"/>
    <xf numFmtId="0" fontId="12" fillId="0" borderId="30" xfId="0" applyFont="1" applyBorder="1" applyProtection="1"/>
    <xf numFmtId="0" fontId="12" fillId="0" borderId="31"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0" xfId="0" applyFont="1" applyFill="1" applyBorder="1" applyProtection="1"/>
    <xf numFmtId="0" fontId="12" fillId="0" borderId="0" xfId="0" applyFont="1" applyFill="1" applyBorder="1" applyProtection="1"/>
    <xf numFmtId="0" fontId="12" fillId="0" borderId="0" xfId="0" applyFont="1" applyProtection="1"/>
    <xf numFmtId="0" fontId="12" fillId="0" borderId="32" xfId="0" applyFont="1" applyFill="1" applyBorder="1" applyProtection="1"/>
    <xf numFmtId="0" fontId="12" fillId="0" borderId="33" xfId="0" applyFont="1" applyBorder="1" applyProtection="1"/>
    <xf numFmtId="0" fontId="12" fillId="0" borderId="34" xfId="0" applyFont="1" applyBorder="1" applyProtection="1"/>
    <xf numFmtId="0" fontId="12" fillId="0" borderId="31" xfId="0" applyFont="1" applyBorder="1" applyAlignment="1" applyProtection="1"/>
    <xf numFmtId="0" fontId="12" fillId="0" borderId="31" xfId="0" applyFont="1" applyFill="1" applyBorder="1" applyProtection="1"/>
    <xf numFmtId="0" fontId="12" fillId="0" borderId="0" xfId="0" applyFont="1" applyFill="1" applyProtection="1"/>
    <xf numFmtId="5" fontId="9" fillId="0" borderId="33" xfId="0" applyNumberFormat="1" applyFont="1" applyFill="1" applyBorder="1" applyAlignment="1" applyProtection="1">
      <alignment vertical="center"/>
    </xf>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30" xfId="0" applyFont="1" applyBorder="1" applyProtection="1"/>
    <xf numFmtId="0" fontId="3" fillId="0" borderId="31"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2" xfId="0" applyFont="1" applyFill="1" applyBorder="1" applyProtection="1"/>
    <xf numFmtId="0" fontId="3" fillId="0" borderId="34" xfId="0" applyFont="1" applyBorder="1" applyProtection="1"/>
    <xf numFmtId="0" fontId="3" fillId="0" borderId="32" xfId="0" applyFont="1" applyBorder="1" applyProtection="1"/>
    <xf numFmtId="0" fontId="3" fillId="0" borderId="33" xfId="0" applyFont="1" applyBorder="1" applyProtection="1"/>
    <xf numFmtId="0" fontId="53" fillId="0" borderId="36" xfId="0" applyFont="1" applyBorder="1" applyProtection="1"/>
    <xf numFmtId="0" fontId="53" fillId="0" borderId="37" xfId="0" applyFont="1" applyBorder="1" applyProtection="1"/>
    <xf numFmtId="0" fontId="53" fillId="0" borderId="37" xfId="0" applyFont="1" applyFill="1" applyBorder="1" applyAlignment="1" applyProtection="1">
      <alignment wrapText="1"/>
    </xf>
    <xf numFmtId="0" fontId="53" fillId="0" borderId="38" xfId="0" applyFont="1" applyFill="1" applyBorder="1" applyAlignment="1" applyProtection="1">
      <alignment wrapText="1"/>
    </xf>
    <xf numFmtId="0" fontId="53" fillId="0" borderId="39" xfId="0" applyFont="1" applyBorder="1" applyProtection="1"/>
    <xf numFmtId="0" fontId="53" fillId="0" borderId="40"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0" xfId="0" applyFont="1" applyBorder="1" applyAlignment="1" applyProtection="1"/>
    <xf numFmtId="0" fontId="54" fillId="0" borderId="40" xfId="0" applyFont="1" applyBorder="1" applyProtection="1"/>
    <xf numFmtId="0" fontId="0" fillId="0" borderId="0" xfId="0" applyFont="1" applyProtection="1"/>
    <xf numFmtId="0" fontId="53" fillId="0" borderId="12" xfId="0" applyFont="1" applyBorder="1" applyProtection="1"/>
    <xf numFmtId="0" fontId="0" fillId="0" borderId="26" xfId="0" applyFont="1" applyBorder="1" applyProtection="1"/>
    <xf numFmtId="0" fontId="0" fillId="0" borderId="6" xfId="0" applyFont="1" applyBorder="1" applyProtection="1"/>
    <xf numFmtId="0" fontId="53" fillId="0" borderId="41" xfId="0" applyFont="1" applyBorder="1" applyProtection="1"/>
    <xf numFmtId="0" fontId="53" fillId="0" borderId="42" xfId="0" applyFont="1" applyBorder="1" applyProtection="1"/>
    <xf numFmtId="0" fontId="54" fillId="0" borderId="43" xfId="0" applyFont="1" applyBorder="1" applyProtection="1"/>
    <xf numFmtId="0" fontId="3" fillId="0" borderId="116" xfId="0" applyFont="1" applyFill="1" applyBorder="1" applyProtection="1">
      <protection locked="0"/>
    </xf>
    <xf numFmtId="0" fontId="3" fillId="0" borderId="101" xfId="0" applyFont="1" applyFill="1" applyBorder="1" applyProtection="1">
      <protection locked="0"/>
    </xf>
    <xf numFmtId="0" fontId="3" fillId="0" borderId="91" xfId="0" applyFont="1" applyFill="1" applyBorder="1" applyProtection="1"/>
    <xf numFmtId="0" fontId="3" fillId="0" borderId="93" xfId="0" applyFont="1" applyFill="1" applyBorder="1" applyProtection="1"/>
    <xf numFmtId="0" fontId="3" fillId="0" borderId="94" xfId="0" applyFont="1" applyFill="1" applyBorder="1" applyProtection="1"/>
    <xf numFmtId="0" fontId="3" fillId="0" borderId="95" xfId="0" applyFont="1" applyFill="1" applyBorder="1" applyProtection="1"/>
    <xf numFmtId="0" fontId="28" fillId="0" borderId="0" xfId="0" applyFont="1" applyFill="1" applyBorder="1" applyProtection="1"/>
    <xf numFmtId="0" fontId="30" fillId="0" borderId="73" xfId="0" applyFont="1" applyFill="1" applyBorder="1" applyProtection="1"/>
    <xf numFmtId="0" fontId="3" fillId="0" borderId="147" xfId="0" applyFont="1" applyFill="1" applyBorder="1" applyProtection="1"/>
    <xf numFmtId="0" fontId="3" fillId="0" borderId="148" xfId="0" applyFont="1" applyFill="1" applyBorder="1" applyProtection="1"/>
    <xf numFmtId="0" fontId="27" fillId="0" borderId="148" xfId="0" applyFont="1" applyFill="1" applyBorder="1" applyAlignment="1" applyProtection="1">
      <alignment horizontal="right"/>
    </xf>
    <xf numFmtId="0" fontId="3" fillId="0" borderId="73" xfId="0" applyFont="1" applyFill="1" applyBorder="1" applyProtection="1"/>
    <xf numFmtId="0" fontId="3" fillId="5" borderId="94" xfId="0" applyFont="1" applyFill="1" applyBorder="1" applyProtection="1"/>
    <xf numFmtId="0" fontId="32" fillId="16" borderId="137" xfId="0" applyFont="1" applyFill="1" applyBorder="1" applyProtection="1"/>
    <xf numFmtId="0" fontId="25" fillId="16" borderId="137" xfId="0" applyFont="1" applyFill="1" applyBorder="1" applyProtection="1"/>
    <xf numFmtId="0" fontId="3" fillId="16" borderId="137" xfId="0" applyFont="1" applyFill="1" applyBorder="1" applyProtection="1"/>
    <xf numFmtId="0" fontId="3" fillId="16" borderId="138" xfId="0" applyFont="1" applyFill="1" applyBorder="1" applyProtection="1"/>
    <xf numFmtId="44" fontId="3" fillId="6" borderId="143" xfId="0" applyNumberFormat="1" applyFont="1" applyFill="1" applyBorder="1" applyProtection="1"/>
    <xf numFmtId="0" fontId="22" fillId="0" borderId="0" xfId="0" applyFont="1" applyFill="1" applyBorder="1" applyProtection="1"/>
    <xf numFmtId="0" fontId="3" fillId="0" borderId="88" xfId="0" applyFont="1" applyFill="1" applyBorder="1" applyProtection="1"/>
    <xf numFmtId="0" fontId="3" fillId="0" borderId="89" xfId="0" applyFont="1" applyFill="1" applyBorder="1" applyProtection="1"/>
    <xf numFmtId="0" fontId="22" fillId="0" borderId="89" xfId="0" applyFont="1" applyFill="1" applyBorder="1" applyProtection="1"/>
    <xf numFmtId="0" fontId="49" fillId="0" borderId="0" xfId="0" applyFont="1" applyFill="1" applyProtection="1">
      <protection locked="0"/>
    </xf>
    <xf numFmtId="0" fontId="16" fillId="0" borderId="27" xfId="0" applyFont="1" applyFill="1" applyBorder="1" applyAlignment="1" applyProtection="1"/>
    <xf numFmtId="0" fontId="16" fillId="0" borderId="28" xfId="0" applyFont="1" applyFill="1" applyBorder="1" applyAlignment="1" applyProtection="1"/>
    <xf numFmtId="0" fontId="16" fillId="0" borderId="28" xfId="0" applyFont="1" applyFill="1" applyBorder="1" applyAlignment="1" applyProtection="1">
      <alignment horizontal="left"/>
    </xf>
    <xf numFmtId="0" fontId="16" fillId="0" borderId="29" xfId="0" applyFont="1" applyFill="1" applyBorder="1" applyAlignment="1" applyProtection="1"/>
    <xf numFmtId="0" fontId="16" fillId="0" borderId="30" xfId="0" applyFont="1" applyFill="1" applyBorder="1" applyAlignment="1" applyProtection="1"/>
    <xf numFmtId="0" fontId="16" fillId="0" borderId="31" xfId="0" applyFont="1" applyFill="1" applyBorder="1" applyAlignment="1" applyProtection="1"/>
    <xf numFmtId="0" fontId="15" fillId="0" borderId="31" xfId="0" applyFont="1" applyFill="1" applyBorder="1" applyAlignment="1" applyProtection="1"/>
    <xf numFmtId="0" fontId="20" fillId="0" borderId="30" xfId="0" applyFont="1" applyFill="1" applyBorder="1" applyAlignment="1" applyProtection="1">
      <alignment horizontal="center"/>
    </xf>
    <xf numFmtId="0" fontId="20" fillId="16" borderId="140" xfId="0" applyFont="1" applyFill="1" applyBorder="1" applyAlignment="1" applyProtection="1"/>
    <xf numFmtId="0" fontId="20" fillId="16" borderId="140" xfId="0" applyFont="1" applyFill="1" applyBorder="1" applyAlignment="1" applyProtection="1">
      <alignment horizontal="center" wrapText="1"/>
    </xf>
    <xf numFmtId="0" fontId="43" fillId="16" borderId="140"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1" xfId="0" applyFont="1" applyFill="1" applyBorder="1" applyAlignment="1" applyProtection="1">
      <alignment horizontal="center"/>
    </xf>
    <xf numFmtId="44" fontId="16" fillId="6" borderId="11" xfId="0" applyNumberFormat="1" applyFont="1" applyFill="1" applyBorder="1" applyAlignment="1" applyProtection="1"/>
    <xf numFmtId="44" fontId="16" fillId="6" borderId="219"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46" xfId="0" applyNumberFormat="1" applyFont="1" applyFill="1" applyBorder="1" applyAlignment="1" applyProtection="1">
      <alignment horizontal="left"/>
    </xf>
    <xf numFmtId="166" fontId="16" fillId="0" borderId="48" xfId="0" applyNumberFormat="1" applyFont="1" applyFill="1" applyBorder="1" applyAlignment="1" applyProtection="1"/>
    <xf numFmtId="0" fontId="43" fillId="0" borderId="31"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55" xfId="0" applyNumberFormat="1" applyFont="1" applyFill="1" applyBorder="1" applyAlignment="1" applyProtection="1"/>
    <xf numFmtId="44" fontId="20" fillId="6" borderId="145" xfId="0" applyNumberFormat="1" applyFont="1" applyFill="1" applyBorder="1" applyAlignment="1" applyProtection="1"/>
    <xf numFmtId="166" fontId="62" fillId="0" borderId="0" xfId="0" applyNumberFormat="1" applyFont="1" applyFill="1" applyBorder="1" applyAlignment="1" applyProtection="1"/>
    <xf numFmtId="5" fontId="19" fillId="0" borderId="32" xfId="0" applyNumberFormat="1" applyFont="1" applyFill="1" applyBorder="1" applyAlignment="1" applyProtection="1"/>
    <xf numFmtId="5" fontId="16" fillId="0" borderId="33" xfId="0" applyNumberFormat="1" applyFont="1" applyFill="1" applyBorder="1" applyAlignment="1" applyProtection="1"/>
    <xf numFmtId="0" fontId="16" fillId="0" borderId="33" xfId="0" applyFont="1" applyFill="1" applyBorder="1" applyAlignment="1" applyProtection="1"/>
    <xf numFmtId="5" fontId="16" fillId="0" borderId="33" xfId="0" applyNumberFormat="1" applyFont="1" applyFill="1" applyBorder="1" applyAlignment="1" applyProtection="1">
      <alignment horizontal="left"/>
    </xf>
    <xf numFmtId="164" fontId="16" fillId="0" borderId="33" xfId="0" applyNumberFormat="1" applyFont="1" applyFill="1" applyBorder="1" applyAlignment="1" applyProtection="1">
      <alignment horizontal="left"/>
    </xf>
    <xf numFmtId="5" fontId="41" fillId="0" borderId="33" xfId="0" applyNumberFormat="1" applyFont="1" applyFill="1" applyBorder="1" applyAlignment="1" applyProtection="1"/>
    <xf numFmtId="5" fontId="41" fillId="0" borderId="34" xfId="0" applyNumberFormat="1" applyFont="1" applyFill="1" applyBorder="1" applyAlignment="1" applyProtection="1"/>
    <xf numFmtId="0" fontId="14" fillId="0" borderId="91" xfId="0" applyFont="1" applyFill="1" applyBorder="1" applyAlignment="1" applyProtection="1">
      <alignment horizontal="left"/>
    </xf>
    <xf numFmtId="0" fontId="14" fillId="0" borderId="94" xfId="0" applyFont="1" applyFill="1" applyBorder="1" applyAlignment="1" applyProtection="1">
      <alignment horizontal="left"/>
    </xf>
    <xf numFmtId="0" fontId="3" fillId="0" borderId="94" xfId="0" applyFont="1" applyFill="1" applyBorder="1" applyAlignment="1" applyProtection="1"/>
    <xf numFmtId="0" fontId="16" fillId="0" borderId="0" xfId="0" applyNumberFormat="1" applyFont="1" applyBorder="1" applyProtection="1"/>
    <xf numFmtId="5" fontId="45" fillId="0" borderId="63" xfId="0" applyNumberFormat="1" applyFont="1" applyFill="1" applyBorder="1" applyProtection="1"/>
    <xf numFmtId="0" fontId="36" fillId="0" borderId="94" xfId="0" applyFont="1" applyFill="1" applyBorder="1" applyAlignment="1" applyProtection="1"/>
    <xf numFmtId="5" fontId="16" fillId="0" borderId="0" xfId="0" applyNumberFormat="1" applyFont="1" applyBorder="1" applyProtection="1"/>
    <xf numFmtId="0" fontId="3" fillId="0" borderId="88" xfId="0" applyFont="1" applyFill="1" applyBorder="1" applyAlignment="1" applyProtection="1"/>
    <xf numFmtId="0" fontId="21" fillId="0" borderId="91" xfId="0" applyFont="1" applyFill="1" applyBorder="1" applyAlignment="1" applyProtection="1">
      <alignment horizontal="left"/>
    </xf>
    <xf numFmtId="0" fontId="16" fillId="0" borderId="92" xfId="0" applyFont="1" applyFill="1" applyBorder="1" applyAlignment="1" applyProtection="1"/>
    <xf numFmtId="0" fontId="16" fillId="0" borderId="107" xfId="0" applyFont="1" applyFill="1" applyBorder="1" applyAlignment="1" applyProtection="1"/>
    <xf numFmtId="0" fontId="21" fillId="0" borderId="94"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28" xfId="0" applyFont="1" applyFill="1" applyBorder="1" applyAlignment="1" applyProtection="1">
      <alignment wrapText="1"/>
    </xf>
    <xf numFmtId="166" fontId="16" fillId="16" borderId="228" xfId="0" applyNumberFormat="1" applyFont="1" applyFill="1" applyBorder="1" applyAlignment="1" applyProtection="1">
      <alignment wrapText="1"/>
    </xf>
    <xf numFmtId="9" fontId="16" fillId="16" borderId="228" xfId="0" applyNumberFormat="1" applyFont="1" applyFill="1" applyBorder="1" applyAlignment="1" applyProtection="1">
      <alignment wrapText="1"/>
    </xf>
    <xf numFmtId="166" fontId="16" fillId="16" borderId="229" xfId="0" applyNumberFormat="1" applyFont="1" applyFill="1" applyBorder="1" applyAlignment="1" applyProtection="1">
      <alignment wrapText="1"/>
    </xf>
    <xf numFmtId="0" fontId="16" fillId="0" borderId="32" xfId="0" applyFont="1" applyFill="1" applyBorder="1" applyProtection="1"/>
    <xf numFmtId="0" fontId="43" fillId="6" borderId="112" xfId="0" applyNumberFormat="1" applyFont="1" applyFill="1" applyBorder="1" applyAlignment="1" applyProtection="1">
      <alignment horizontal="center" vertical="center" wrapText="1"/>
    </xf>
    <xf numFmtId="0" fontId="43" fillId="6" borderId="230" xfId="0" applyNumberFormat="1" applyFont="1" applyFill="1" applyBorder="1" applyAlignment="1" applyProtection="1">
      <alignment horizontal="center" vertical="center" wrapText="1"/>
    </xf>
    <xf numFmtId="0" fontId="16" fillId="0" borderId="33" xfId="0" applyFont="1" applyFill="1" applyBorder="1" applyAlignment="1" applyProtection="1">
      <alignment horizontal="center"/>
    </xf>
    <xf numFmtId="166" fontId="16" fillId="0" borderId="33" xfId="0" applyNumberFormat="1" applyFont="1" applyFill="1" applyBorder="1" applyProtection="1"/>
    <xf numFmtId="9" fontId="16" fillId="0" borderId="33" xfId="0" applyNumberFormat="1" applyFont="1" applyFill="1" applyBorder="1" applyAlignment="1" applyProtection="1">
      <alignment horizontal="center"/>
    </xf>
    <xf numFmtId="166" fontId="16" fillId="0" borderId="33" xfId="0" applyNumberFormat="1" applyFont="1" applyFill="1" applyBorder="1" applyAlignment="1" applyProtection="1">
      <alignment horizontal="center"/>
    </xf>
    <xf numFmtId="3" fontId="16" fillId="0" borderId="33" xfId="0" applyNumberFormat="1" applyFont="1" applyFill="1" applyBorder="1" applyProtection="1"/>
    <xf numFmtId="0" fontId="16" fillId="0" borderId="191" xfId="0" applyFont="1" applyFill="1" applyBorder="1" applyProtection="1"/>
    <xf numFmtId="0" fontId="16" fillId="0" borderId="192" xfId="0" applyFont="1" applyFill="1" applyBorder="1" applyProtection="1"/>
    <xf numFmtId="9" fontId="16" fillId="0" borderId="0" xfId="0" applyNumberFormat="1" applyFont="1" applyFill="1" applyBorder="1" applyProtection="1"/>
    <xf numFmtId="0" fontId="16" fillId="0" borderId="169" xfId="0" applyFont="1" applyFill="1" applyBorder="1" applyProtection="1"/>
    <xf numFmtId="9" fontId="16" fillId="0" borderId="169" xfId="0" applyNumberFormat="1" applyFont="1" applyFill="1" applyBorder="1" applyProtection="1"/>
    <xf numFmtId="0" fontId="16" fillId="0" borderId="200" xfId="0" applyFont="1" applyFill="1" applyBorder="1" applyProtection="1"/>
    <xf numFmtId="165" fontId="41" fillId="0" borderId="169"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88" xfId="0" applyFont="1" applyFill="1" applyBorder="1" applyProtection="1"/>
    <xf numFmtId="0" fontId="16" fillId="0" borderId="90" xfId="0" applyFont="1" applyFill="1" applyBorder="1" applyProtection="1"/>
    <xf numFmtId="0" fontId="16" fillId="0" borderId="163" xfId="0" applyFont="1" applyFill="1" applyBorder="1" applyAlignment="1" applyProtection="1"/>
    <xf numFmtId="0" fontId="16" fillId="0" borderId="164" xfId="0" applyFont="1" applyBorder="1" applyAlignment="1" applyProtection="1"/>
    <xf numFmtId="166" fontId="20" fillId="0" borderId="164" xfId="0" applyNumberFormat="1" applyFont="1" applyBorder="1" applyProtection="1"/>
    <xf numFmtId="0" fontId="20" fillId="0" borderId="165" xfId="0" applyFont="1" applyBorder="1" applyProtection="1"/>
    <xf numFmtId="0" fontId="16" fillId="0" borderId="160" xfId="0" applyFont="1" applyFill="1" applyBorder="1" applyAlignment="1" applyProtection="1"/>
    <xf numFmtId="0" fontId="20" fillId="0" borderId="162"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62" xfId="0" applyFont="1" applyFill="1" applyBorder="1" applyProtection="1"/>
    <xf numFmtId="0" fontId="19" fillId="0" borderId="0" xfId="0" applyFont="1" applyFill="1" applyBorder="1" applyProtection="1"/>
    <xf numFmtId="0" fontId="16" fillId="0" borderId="161" xfId="0" applyFont="1" applyFill="1" applyBorder="1" applyAlignment="1" applyProtection="1"/>
    <xf numFmtId="0" fontId="55" fillId="0" borderId="166" xfId="0" applyFont="1" applyFill="1" applyBorder="1" applyAlignment="1" applyProtection="1"/>
    <xf numFmtId="0" fontId="16" fillId="0" borderId="166" xfId="0" applyFont="1" applyFill="1" applyBorder="1" applyAlignment="1" applyProtection="1">
      <alignment vertical="top"/>
    </xf>
    <xf numFmtId="0" fontId="20" fillId="0" borderId="167" xfId="0" applyFont="1" applyFill="1" applyBorder="1" applyProtection="1"/>
    <xf numFmtId="0" fontId="16" fillId="0" borderId="91" xfId="0" applyFont="1" applyFill="1" applyBorder="1" applyProtection="1"/>
    <xf numFmtId="0" fontId="16" fillId="0" borderId="92" xfId="0" applyFont="1" applyFill="1" applyBorder="1" applyProtection="1"/>
    <xf numFmtId="0" fontId="16" fillId="0" borderId="93" xfId="0" applyFont="1" applyFill="1" applyBorder="1" applyProtection="1"/>
    <xf numFmtId="0" fontId="16" fillId="0" borderId="94" xfId="0" applyFont="1" applyFill="1" applyBorder="1" applyProtection="1"/>
    <xf numFmtId="0" fontId="16" fillId="0" borderId="95" xfId="0" applyFont="1" applyFill="1" applyBorder="1" applyProtection="1"/>
    <xf numFmtId="0" fontId="16" fillId="0" borderId="94" xfId="0" applyFont="1" applyFill="1" applyBorder="1" applyAlignment="1" applyProtection="1"/>
    <xf numFmtId="5" fontId="23" fillId="0" borderId="95" xfId="0" applyNumberFormat="1" applyFont="1" applyFill="1" applyBorder="1" applyAlignment="1" applyProtection="1"/>
    <xf numFmtId="0" fontId="16" fillId="3" borderId="94" xfId="0" applyFont="1" applyFill="1" applyBorder="1" applyProtection="1"/>
    <xf numFmtId="0" fontId="16" fillId="3" borderId="95"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5"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28" xfId="0" applyFont="1" applyFill="1" applyBorder="1" applyAlignment="1" applyProtection="1">
      <alignment vertical="center"/>
    </xf>
    <xf numFmtId="0" fontId="3" fillId="0" borderId="28" xfId="0" applyFont="1" applyFill="1" applyBorder="1" applyProtection="1"/>
    <xf numFmtId="0" fontId="3" fillId="0" borderId="29" xfId="0" applyFont="1" applyFill="1" applyBorder="1" applyAlignment="1" applyProtection="1">
      <alignment vertical="center"/>
    </xf>
    <xf numFmtId="0" fontId="3" fillId="0" borderId="31" xfId="0" applyFont="1" applyFill="1" applyBorder="1" applyAlignment="1" applyProtection="1">
      <alignment vertical="center"/>
    </xf>
    <xf numFmtId="0" fontId="7" fillId="16" borderId="218" xfId="0" applyFont="1" applyFill="1" applyBorder="1" applyAlignment="1" applyProtection="1">
      <alignment horizontal="center" vertical="center" wrapText="1"/>
    </xf>
    <xf numFmtId="0" fontId="7" fillId="16" borderId="214" xfId="0" applyFont="1" applyFill="1" applyBorder="1" applyAlignment="1" applyProtection="1">
      <alignment horizontal="center" vertical="center" wrapText="1"/>
    </xf>
    <xf numFmtId="0" fontId="7" fillId="16" borderId="150" xfId="0" applyFont="1" applyFill="1" applyBorder="1" applyAlignment="1" applyProtection="1">
      <alignment horizontal="center" vertical="center" wrapText="1"/>
    </xf>
    <xf numFmtId="0" fontId="9" fillId="16" borderId="214" xfId="0" applyFont="1" applyFill="1" applyBorder="1" applyAlignment="1" applyProtection="1">
      <alignment horizontal="center" vertical="center" wrapText="1"/>
    </xf>
    <xf numFmtId="0" fontId="7" fillId="16" borderId="215"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42" fontId="5" fillId="24" borderId="70" xfId="0" applyNumberFormat="1" applyFont="1" applyFill="1" applyBorder="1" applyAlignment="1" applyProtection="1">
      <alignment vertical="center"/>
    </xf>
    <xf numFmtId="42" fontId="5" fillId="24" borderId="220" xfId="0" applyNumberFormat="1" applyFont="1" applyFill="1" applyBorder="1" applyAlignment="1" applyProtection="1">
      <alignment vertical="center"/>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0" fillId="27" borderId="150" xfId="0" applyFont="1" applyFill="1" applyBorder="1" applyAlignment="1" applyProtection="1"/>
    <xf numFmtId="3" fontId="20" fillId="6" borderId="220" xfId="0" applyNumberFormat="1" applyFont="1" applyFill="1" applyBorder="1" applyAlignment="1" applyProtection="1">
      <alignment vertical="center"/>
    </xf>
    <xf numFmtId="3" fontId="20" fillId="27" borderId="16" xfId="0" applyNumberFormat="1" applyFont="1" applyFill="1" applyBorder="1" applyAlignment="1" applyProtection="1">
      <alignment vertical="center"/>
    </xf>
    <xf numFmtId="3" fontId="16" fillId="26" borderId="220" xfId="0" applyNumberFormat="1" applyFont="1" applyFill="1" applyBorder="1" applyAlignment="1" applyProtection="1">
      <alignment vertical="center" wrapText="1"/>
    </xf>
    <xf numFmtId="3" fontId="20" fillId="6" borderId="16" xfId="0" applyNumberFormat="1" applyFont="1" applyFill="1" applyBorder="1" applyAlignment="1" applyProtection="1">
      <alignment vertical="center"/>
    </xf>
    <xf numFmtId="0" fontId="54" fillId="0" borderId="225" xfId="0" applyFont="1" applyFill="1" applyBorder="1" applyAlignment="1" applyProtection="1">
      <alignment horizontal="center"/>
      <protection locked="0"/>
    </xf>
    <xf numFmtId="6" fontId="54" fillId="0" borderId="225" xfId="0" applyNumberFormat="1" applyFont="1" applyFill="1" applyBorder="1" applyAlignment="1" applyProtection="1">
      <alignment horizontal="center"/>
      <protection locked="0"/>
    </xf>
    <xf numFmtId="44" fontId="16" fillId="6" borderId="157" xfId="0" applyNumberFormat="1" applyFont="1" applyFill="1" applyBorder="1" applyProtection="1"/>
    <xf numFmtId="0" fontId="16" fillId="0" borderId="158" xfId="0" applyFont="1" applyFill="1" applyBorder="1" applyProtection="1">
      <protection locked="0"/>
    </xf>
    <xf numFmtId="44" fontId="16" fillId="6" borderId="112" xfId="0" applyNumberFormat="1" applyFont="1" applyFill="1" applyBorder="1" applyProtection="1"/>
    <xf numFmtId="0" fontId="16" fillId="0" borderId="111" xfId="0" applyFont="1" applyFill="1" applyBorder="1" applyProtection="1">
      <protection locked="0"/>
    </xf>
    <xf numFmtId="44" fontId="16" fillId="6" borderId="69" xfId="0" applyNumberFormat="1" applyFont="1" applyFill="1" applyBorder="1" applyProtection="1"/>
    <xf numFmtId="0" fontId="16" fillId="0" borderId="22" xfId="0" applyFont="1" applyFill="1" applyBorder="1" applyProtection="1">
      <protection locked="0"/>
    </xf>
    <xf numFmtId="44" fontId="16" fillId="0" borderId="73" xfId="0" applyNumberFormat="1" applyFont="1" applyFill="1" applyBorder="1" applyProtection="1"/>
    <xf numFmtId="44" fontId="16" fillId="6" borderId="59" xfId="0" applyNumberFormat="1" applyFont="1" applyFill="1" applyBorder="1" applyProtection="1"/>
    <xf numFmtId="0" fontId="15" fillId="6" borderId="141" xfId="0" applyFont="1" applyFill="1" applyBorder="1" applyProtection="1"/>
    <xf numFmtId="0" fontId="15" fillId="6" borderId="155" xfId="0" applyFont="1" applyFill="1" applyBorder="1" applyAlignment="1" applyProtection="1">
      <alignment horizontal="center"/>
    </xf>
    <xf numFmtId="0" fontId="15" fillId="6" borderId="142" xfId="0" applyFont="1" applyFill="1" applyBorder="1" applyAlignment="1" applyProtection="1">
      <alignment horizontal="center"/>
    </xf>
    <xf numFmtId="0" fontId="16" fillId="0" borderId="159" xfId="0" applyFont="1" applyFill="1" applyBorder="1" applyProtection="1">
      <protection locked="0"/>
    </xf>
    <xf numFmtId="0" fontId="23" fillId="0" borderId="0" xfId="0" applyFont="1" applyFill="1" applyBorder="1" applyProtection="1"/>
    <xf numFmtId="42" fontId="20" fillId="16" borderId="155" xfId="0" applyNumberFormat="1" applyFont="1" applyFill="1" applyBorder="1" applyAlignment="1" applyProtection="1">
      <alignment vertical="center"/>
    </xf>
    <xf numFmtId="0" fontId="20" fillId="16" borderId="11" xfId="0" applyFont="1" applyFill="1" applyBorder="1" applyAlignment="1" applyProtection="1">
      <alignment horizontal="center" wrapText="1"/>
    </xf>
    <xf numFmtId="166" fontId="43" fillId="16" borderId="144"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43" xfId="0" applyNumberFormat="1" applyFont="1" applyFill="1" applyBorder="1" applyAlignment="1" applyProtection="1">
      <alignment vertical="center"/>
      <protection locked="0"/>
    </xf>
    <xf numFmtId="165" fontId="41" fillId="0" borderId="201" xfId="0" applyNumberFormat="1" applyFont="1" applyFill="1" applyBorder="1" applyAlignment="1" applyProtection="1">
      <alignment vertical="center"/>
      <protection locked="0"/>
    </xf>
    <xf numFmtId="0" fontId="16" fillId="0" borderId="14" xfId="0" applyFont="1" applyFill="1" applyBorder="1" applyAlignment="1" applyProtection="1">
      <alignment textRotation="90" wrapText="1"/>
    </xf>
    <xf numFmtId="0" fontId="16" fillId="0" borderId="19" xfId="0" applyFont="1" applyFill="1" applyBorder="1" applyAlignment="1" applyProtection="1">
      <alignment horizontal="center" vertical="center" wrapText="1"/>
      <protection locked="0"/>
    </xf>
    <xf numFmtId="0" fontId="16" fillId="0" borderId="204" xfId="0" applyFont="1" applyFill="1" applyBorder="1" applyAlignment="1" applyProtection="1">
      <alignment horizontal="center" vertical="center" wrapText="1"/>
      <protection locked="0"/>
    </xf>
    <xf numFmtId="0" fontId="16" fillId="0" borderId="175" xfId="0" applyFont="1" applyFill="1" applyBorder="1" applyAlignment="1" applyProtection="1">
      <alignment horizontal="center" vertical="center" wrapText="1"/>
      <protection locked="0"/>
    </xf>
    <xf numFmtId="0" fontId="16" fillId="0" borderId="231" xfId="0" applyFont="1" applyFill="1" applyBorder="1" applyAlignment="1" applyProtection="1">
      <alignment vertical="top"/>
    </xf>
    <xf numFmtId="0" fontId="16" fillId="0" borderId="232" xfId="0" applyFont="1" applyFill="1" applyBorder="1" applyAlignment="1" applyProtection="1">
      <alignment vertical="top" wrapText="1"/>
    </xf>
    <xf numFmtId="0" fontId="16" fillId="0" borderId="72" xfId="0" applyFont="1" applyFill="1" applyBorder="1" applyAlignment="1" applyProtection="1">
      <alignment vertical="top"/>
    </xf>
    <xf numFmtId="0" fontId="16" fillId="0" borderId="233" xfId="0" applyFont="1" applyFill="1" applyBorder="1" applyAlignment="1" applyProtection="1">
      <alignment vertical="top" wrapText="1"/>
    </xf>
    <xf numFmtId="0" fontId="16" fillId="0" borderId="71" xfId="0" applyFont="1" applyFill="1" applyBorder="1" applyAlignment="1" applyProtection="1">
      <alignment vertical="top"/>
    </xf>
    <xf numFmtId="0" fontId="16" fillId="0" borderId="234" xfId="0" applyFont="1" applyFill="1" applyBorder="1" applyAlignment="1" applyProtection="1">
      <alignment vertical="top" wrapText="1"/>
    </xf>
    <xf numFmtId="0" fontId="16" fillId="0" borderId="50"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17" xfId="0" applyNumberFormat="1" applyFont="1" applyBorder="1" applyProtection="1"/>
    <xf numFmtId="3" fontId="3" fillId="26" borderId="235" xfId="0" applyNumberFormat="1" applyFont="1" applyFill="1" applyBorder="1" applyAlignment="1" applyProtection="1">
      <alignment vertical="center" wrapText="1"/>
    </xf>
    <xf numFmtId="3" fontId="3" fillId="26" borderId="54" xfId="0" applyNumberFormat="1" applyFont="1" applyFill="1" applyBorder="1" applyAlignment="1" applyProtection="1">
      <alignment vertical="center" wrapText="1"/>
    </xf>
    <xf numFmtId="0" fontId="2" fillId="16" borderId="55" xfId="0" applyFont="1" applyFill="1" applyBorder="1" applyAlignment="1" applyProtection="1"/>
    <xf numFmtId="3" fontId="3" fillId="26" borderId="55" xfId="0" applyNumberFormat="1" applyFont="1" applyFill="1" applyBorder="1" applyAlignment="1" applyProtection="1">
      <alignment vertical="center" wrapText="1"/>
    </xf>
    <xf numFmtId="3" fontId="3" fillId="26" borderId="102" xfId="0" applyNumberFormat="1" applyFont="1" applyFill="1" applyBorder="1" applyAlignment="1" applyProtection="1">
      <alignment vertical="center" wrapText="1"/>
    </xf>
    <xf numFmtId="0" fontId="20" fillId="0" borderId="155" xfId="0" applyFont="1" applyFill="1" applyBorder="1" applyAlignment="1" applyProtection="1"/>
    <xf numFmtId="0" fontId="43" fillId="0" borderId="0" xfId="0" applyFont="1" applyFill="1" applyBorder="1" applyAlignment="1" applyProtection="1"/>
    <xf numFmtId="0" fontId="43" fillId="16" borderId="69" xfId="0" applyFont="1" applyFill="1" applyBorder="1" applyAlignment="1" applyProtection="1">
      <alignment vertical="center"/>
    </xf>
    <xf numFmtId="0" fontId="43" fillId="16" borderId="155"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36" xfId="0" applyFont="1" applyFill="1" applyBorder="1" applyProtection="1"/>
    <xf numFmtId="0" fontId="41" fillId="0" borderId="207" xfId="0" applyFont="1" applyFill="1" applyBorder="1" applyAlignment="1" applyProtection="1">
      <alignment vertical="center"/>
    </xf>
    <xf numFmtId="14" fontId="55" fillId="0" borderId="225" xfId="0" applyNumberFormat="1" applyFont="1" applyFill="1" applyBorder="1" applyAlignment="1" applyProtection="1">
      <alignment horizontal="left" vertical="center"/>
      <protection locked="0"/>
    </xf>
    <xf numFmtId="0" fontId="16" fillId="0" borderId="160" xfId="0" applyFont="1" applyFill="1" applyBorder="1" applyProtection="1"/>
    <xf numFmtId="0" fontId="43" fillId="16" borderId="228" xfId="0" applyFont="1" applyFill="1" applyBorder="1" applyAlignment="1" applyProtection="1">
      <alignment horizontal="center" vertical="center"/>
    </xf>
    <xf numFmtId="0" fontId="43" fillId="16" borderId="229" xfId="0" applyFont="1" applyFill="1" applyBorder="1" applyAlignment="1" applyProtection="1">
      <alignment horizontal="center" vertical="center"/>
    </xf>
    <xf numFmtId="0" fontId="38" fillId="0" borderId="220" xfId="0" applyFont="1" applyFill="1" applyBorder="1" applyAlignment="1" applyProtection="1">
      <alignment horizontal="center" vertical="center"/>
    </xf>
    <xf numFmtId="0" fontId="43" fillId="8" borderId="209" xfId="0" applyFont="1" applyFill="1" applyBorder="1" applyAlignment="1" applyProtection="1">
      <alignment horizontal="center" vertical="center"/>
    </xf>
    <xf numFmtId="0" fontId="43" fillId="8" borderId="212" xfId="0" applyFont="1" applyFill="1" applyBorder="1" applyAlignment="1" applyProtection="1">
      <alignment horizontal="center" vertical="center"/>
    </xf>
    <xf numFmtId="0" fontId="43" fillId="16" borderId="215" xfId="0" applyFont="1" applyFill="1" applyBorder="1" applyAlignment="1" applyProtection="1">
      <alignment horizontal="center" vertical="center"/>
    </xf>
    <xf numFmtId="14" fontId="55" fillId="6" borderId="225" xfId="0" applyNumberFormat="1" applyFont="1" applyFill="1" applyBorder="1" applyAlignment="1" applyProtection="1">
      <alignment horizontal="left" vertical="center"/>
    </xf>
    <xf numFmtId="0" fontId="16" fillId="0" borderId="162" xfId="0" applyFont="1" applyFill="1" applyBorder="1" applyProtection="1"/>
    <xf numFmtId="0" fontId="38" fillId="0" borderId="220" xfId="0" applyFont="1" applyFill="1" applyBorder="1" applyAlignment="1" applyProtection="1">
      <alignment horizontal="center"/>
    </xf>
    <xf numFmtId="6" fontId="43" fillId="0" borderId="217" xfId="0" applyNumberFormat="1" applyFont="1" applyFill="1" applyBorder="1" applyAlignment="1" applyProtection="1">
      <alignment vertical="center"/>
    </xf>
    <xf numFmtId="0" fontId="0" fillId="0" borderId="0" xfId="0" applyBorder="1"/>
    <xf numFmtId="0" fontId="16" fillId="0" borderId="161" xfId="0" applyFont="1" applyFill="1" applyBorder="1" applyProtection="1"/>
    <xf numFmtId="0" fontId="16" fillId="0" borderId="166" xfId="0" applyFont="1" applyFill="1" applyBorder="1" applyProtection="1"/>
    <xf numFmtId="0" fontId="38" fillId="0" borderId="166" xfId="0" applyFont="1" applyFill="1" applyBorder="1" applyAlignment="1" applyProtection="1">
      <alignment vertical="center"/>
    </xf>
    <xf numFmtId="0" fontId="16" fillId="0" borderId="167" xfId="0" applyFont="1" applyFill="1" applyBorder="1" applyProtection="1"/>
    <xf numFmtId="0" fontId="20" fillId="16" borderId="228" xfId="0" applyFont="1" applyFill="1" applyBorder="1" applyAlignment="1" applyProtection="1">
      <alignment wrapText="1"/>
    </xf>
    <xf numFmtId="44" fontId="16" fillId="0" borderId="237" xfId="0" applyNumberFormat="1" applyFont="1" applyFill="1" applyBorder="1" applyAlignment="1" applyProtection="1">
      <alignment vertical="center"/>
      <protection locked="0"/>
    </xf>
    <xf numFmtId="44" fontId="16" fillId="0" borderId="238" xfId="0" applyNumberFormat="1" applyFont="1" applyFill="1" applyBorder="1" applyAlignment="1" applyProtection="1">
      <protection locked="0"/>
    </xf>
    <xf numFmtId="1" fontId="16" fillId="0" borderId="238" xfId="0" applyNumberFormat="1" applyFont="1" applyFill="1" applyBorder="1" applyAlignment="1" applyProtection="1">
      <protection locked="0"/>
    </xf>
    <xf numFmtId="0" fontId="16" fillId="0" borderId="238" xfId="0" applyFont="1" applyFill="1" applyBorder="1" applyAlignment="1" applyProtection="1">
      <protection locked="0"/>
    </xf>
    <xf numFmtId="0" fontId="16" fillId="0" borderId="242" xfId="0" applyFont="1" applyFill="1" applyBorder="1" applyAlignment="1" applyProtection="1">
      <alignment vertical="center"/>
      <protection locked="0"/>
    </xf>
    <xf numFmtId="44" fontId="16" fillId="0" borderId="242" xfId="0" applyNumberFormat="1" applyFont="1" applyFill="1" applyBorder="1" applyAlignment="1" applyProtection="1">
      <alignment vertical="center"/>
      <protection locked="0"/>
    </xf>
    <xf numFmtId="44" fontId="16" fillId="0" borderId="243" xfId="0" applyNumberFormat="1" applyFont="1" applyFill="1" applyBorder="1" applyAlignment="1" applyProtection="1">
      <protection locked="0"/>
    </xf>
    <xf numFmtId="1" fontId="16" fillId="0" borderId="243" xfId="0" applyNumberFormat="1" applyFont="1" applyFill="1" applyBorder="1" applyAlignment="1" applyProtection="1">
      <protection locked="0"/>
    </xf>
    <xf numFmtId="0" fontId="16" fillId="0" borderId="243" xfId="0" applyFont="1" applyFill="1" applyBorder="1" applyAlignment="1" applyProtection="1">
      <protection locked="0"/>
    </xf>
    <xf numFmtId="0" fontId="16" fillId="0" borderId="237" xfId="0" applyFont="1" applyFill="1" applyBorder="1" applyAlignment="1" applyProtection="1">
      <protection locked="0"/>
    </xf>
    <xf numFmtId="44" fontId="16" fillId="0" borderId="237" xfId="0" applyNumberFormat="1" applyFont="1" applyFill="1" applyBorder="1" applyAlignment="1" applyProtection="1">
      <protection locked="0"/>
    </xf>
    <xf numFmtId="166" fontId="16" fillId="0" borderId="237" xfId="0" applyNumberFormat="1" applyFont="1" applyFill="1" applyBorder="1" applyAlignment="1" applyProtection="1">
      <protection locked="0"/>
    </xf>
    <xf numFmtId="0" fontId="16" fillId="0" borderId="259" xfId="0" applyFont="1" applyFill="1" applyBorder="1" applyAlignment="1" applyProtection="1">
      <protection locked="0"/>
    </xf>
    <xf numFmtId="0" fontId="16" fillId="0" borderId="261" xfId="0" applyFont="1" applyFill="1" applyBorder="1" applyAlignment="1" applyProtection="1">
      <protection locked="0"/>
    </xf>
    <xf numFmtId="0" fontId="16" fillId="0" borderId="242" xfId="0" applyFont="1" applyFill="1" applyBorder="1" applyAlignment="1" applyProtection="1">
      <protection locked="0"/>
    </xf>
    <xf numFmtId="44" fontId="16" fillId="0" borderId="242" xfId="0" applyNumberFormat="1" applyFont="1" applyFill="1" applyBorder="1" applyAlignment="1" applyProtection="1">
      <protection locked="0"/>
    </xf>
    <xf numFmtId="166" fontId="16" fillId="0" borderId="242" xfId="0" applyNumberFormat="1" applyFont="1" applyFill="1" applyBorder="1" applyAlignment="1" applyProtection="1">
      <protection locked="0"/>
    </xf>
    <xf numFmtId="0" fontId="16" fillId="0" borderId="262" xfId="0" applyFont="1" applyFill="1" applyBorder="1" applyAlignment="1" applyProtection="1">
      <protection locked="0"/>
    </xf>
    <xf numFmtId="0" fontId="16" fillId="0" borderId="264" xfId="0" applyFont="1" applyFill="1" applyBorder="1" applyAlignment="1" applyProtection="1">
      <protection locked="0"/>
    </xf>
    <xf numFmtId="0" fontId="16" fillId="0" borderId="266" xfId="0" applyFont="1" applyFill="1" applyBorder="1" applyAlignment="1" applyProtection="1">
      <protection locked="0"/>
    </xf>
    <xf numFmtId="0" fontId="16" fillId="0" borderId="269" xfId="0" applyFont="1" applyFill="1" applyBorder="1" applyAlignment="1" applyProtection="1">
      <protection locked="0"/>
    </xf>
    <xf numFmtId="0" fontId="16" fillId="0" borderId="270" xfId="0" applyFont="1" applyFill="1" applyBorder="1" applyAlignment="1" applyProtection="1">
      <protection locked="0"/>
    </xf>
    <xf numFmtId="0" fontId="16" fillId="0" borderId="271" xfId="0" applyFont="1" applyFill="1" applyBorder="1" applyAlignment="1" applyProtection="1">
      <protection locked="0"/>
    </xf>
    <xf numFmtId="0" fontId="16" fillId="0" borderId="272" xfId="0" applyFont="1" applyFill="1" applyBorder="1" applyAlignment="1" applyProtection="1">
      <protection locked="0"/>
    </xf>
    <xf numFmtId="0" fontId="16" fillId="0" borderId="273" xfId="0" applyFont="1" applyFill="1" applyBorder="1" applyAlignment="1" applyProtection="1">
      <protection locked="0"/>
    </xf>
    <xf numFmtId="0" fontId="16" fillId="0" borderId="274" xfId="0" applyFont="1" applyFill="1" applyBorder="1" applyAlignment="1" applyProtection="1">
      <protection locked="0"/>
    </xf>
    <xf numFmtId="0" fontId="0" fillId="0" borderId="74" xfId="0" applyFill="1" applyBorder="1"/>
    <xf numFmtId="0" fontId="16" fillId="0" borderId="75"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5" xfId="0" applyBorder="1"/>
    <xf numFmtId="9" fontId="0" fillId="0" borderId="75" xfId="0" applyNumberFormat="1" applyBorder="1"/>
    <xf numFmtId="9" fontId="0" fillId="0" borderId="4" xfId="0" applyNumberFormat="1" applyBorder="1"/>
    <xf numFmtId="0" fontId="0" fillId="0" borderId="75" xfId="0" applyFill="1" applyBorder="1"/>
    <xf numFmtId="1" fontId="8" fillId="0" borderId="307" xfId="0" applyNumberFormat="1" applyFont="1" applyFill="1" applyBorder="1" applyAlignment="1" applyProtection="1">
      <protection locked="0"/>
    </xf>
    <xf numFmtId="165" fontId="16" fillId="0" borderId="0" xfId="0" applyNumberFormat="1" applyFont="1" applyFill="1" applyBorder="1" applyProtection="1"/>
    <xf numFmtId="0" fontId="16" fillId="0" borderId="63" xfId="0" applyFont="1" applyFill="1" applyBorder="1" applyProtection="1"/>
    <xf numFmtId="0" fontId="66" fillId="23" borderId="0" xfId="0" applyFont="1" applyFill="1" applyBorder="1" applyAlignment="1" applyProtection="1">
      <alignment vertical="center"/>
    </xf>
    <xf numFmtId="165" fontId="16" fillId="0" borderId="191" xfId="0" applyNumberFormat="1" applyFont="1" applyFill="1" applyBorder="1" applyProtection="1"/>
    <xf numFmtId="165" fontId="41" fillId="0" borderId="190" xfId="0" applyNumberFormat="1" applyFont="1" applyFill="1" applyBorder="1" applyAlignment="1" applyProtection="1">
      <alignment vertical="center"/>
    </xf>
    <xf numFmtId="165" fontId="41" fillId="0" borderId="191"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5" xfId="0" applyNumberFormat="1" applyFont="1" applyFill="1" applyBorder="1" applyAlignment="1" applyProtection="1">
      <alignment horizontal="right" vertical="center"/>
    </xf>
    <xf numFmtId="165" fontId="16" fillId="0" borderId="253" xfId="0" applyNumberFormat="1" applyFont="1" applyFill="1" applyBorder="1" applyProtection="1">
      <protection locked="0"/>
    </xf>
    <xf numFmtId="165" fontId="41" fillId="0" borderId="250" xfId="0" applyNumberFormat="1" applyFont="1" applyFill="1" applyBorder="1" applyAlignment="1" applyProtection="1">
      <alignment vertical="center"/>
      <protection locked="0"/>
    </xf>
    <xf numFmtId="165" fontId="41" fillId="0" borderId="370" xfId="0" applyNumberFormat="1" applyFont="1" applyFill="1" applyBorder="1" applyAlignment="1" applyProtection="1">
      <alignment vertical="center"/>
      <protection locked="0"/>
    </xf>
    <xf numFmtId="165" fontId="16" fillId="0" borderId="370" xfId="0" applyNumberFormat="1" applyFont="1" applyFill="1" applyBorder="1" applyProtection="1">
      <protection locked="0"/>
    </xf>
    <xf numFmtId="0" fontId="16" fillId="0" borderId="377" xfId="0" applyFont="1" applyFill="1" applyBorder="1" applyAlignment="1" applyProtection="1">
      <alignment horizontal="center" wrapText="1"/>
      <protection locked="0"/>
    </xf>
    <xf numFmtId="9" fontId="16" fillId="0" borderId="377" xfId="0" applyNumberFormat="1" applyFont="1" applyFill="1" applyBorder="1" applyAlignment="1" applyProtection="1">
      <alignment horizontal="right" wrapText="1"/>
      <protection locked="0"/>
    </xf>
    <xf numFmtId="0" fontId="16" fillId="0" borderId="322" xfId="0" applyFont="1" applyFill="1" applyBorder="1" applyAlignment="1" applyProtection="1">
      <alignment horizontal="center"/>
      <protection locked="0"/>
    </xf>
    <xf numFmtId="9" fontId="16" fillId="0" borderId="322" xfId="0" applyNumberFormat="1" applyFont="1" applyFill="1" applyBorder="1" applyAlignment="1" applyProtection="1">
      <alignment horizontal="right" wrapText="1"/>
      <protection locked="0"/>
    </xf>
    <xf numFmtId="0" fontId="41" fillId="0" borderId="272" xfId="0" applyFont="1" applyFill="1" applyBorder="1" applyAlignment="1" applyProtection="1">
      <alignment wrapText="1"/>
      <protection locked="0"/>
    </xf>
    <xf numFmtId="0" fontId="41" fillId="0" borderId="281"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16" fillId="0" borderId="272" xfId="0" applyFont="1" applyFill="1" applyBorder="1" applyAlignment="1" applyProtection="1">
      <alignment horizontal="center"/>
      <protection locked="0"/>
    </xf>
    <xf numFmtId="0" fontId="3" fillId="6" borderId="387" xfId="0" applyFont="1" applyFill="1" applyBorder="1" applyAlignment="1" applyProtection="1">
      <alignment horizontal="center"/>
    </xf>
    <xf numFmtId="0" fontId="42" fillId="0" borderId="281"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0" fillId="0" borderId="272" xfId="0" applyFont="1" applyFill="1" applyBorder="1" applyAlignment="1" applyProtection="1">
      <alignment horizontal="center"/>
      <protection locked="0"/>
    </xf>
    <xf numFmtId="0" fontId="41" fillId="0" borderId="289" xfId="0" applyFont="1" applyFill="1" applyBorder="1" applyAlignment="1" applyProtection="1">
      <alignment wrapText="1"/>
      <protection locked="0"/>
    </xf>
    <xf numFmtId="0" fontId="1" fillId="6" borderId="394" xfId="0" applyFont="1" applyFill="1" applyBorder="1" applyAlignment="1" applyProtection="1">
      <alignment horizontal="center"/>
    </xf>
    <xf numFmtId="0" fontId="24" fillId="5" borderId="284" xfId="0" applyFont="1" applyFill="1" applyBorder="1" applyAlignment="1" applyProtection="1">
      <protection locked="0"/>
    </xf>
    <xf numFmtId="0" fontId="16" fillId="0" borderId="285" xfId="0" applyFont="1" applyBorder="1" applyAlignment="1" applyProtection="1">
      <protection locked="0"/>
    </xf>
    <xf numFmtId="44" fontId="3" fillId="3" borderId="398" xfId="0" applyNumberFormat="1" applyFont="1" applyFill="1" applyBorder="1" applyAlignment="1" applyProtection="1">
      <protection locked="0"/>
    </xf>
    <xf numFmtId="0" fontId="3" fillId="3" borderId="399" xfId="0" applyFont="1" applyFill="1" applyBorder="1" applyAlignment="1" applyProtection="1">
      <protection locked="0"/>
    </xf>
    <xf numFmtId="44" fontId="3" fillId="2" borderId="320" xfId="0" applyNumberFormat="1" applyFont="1" applyFill="1" applyBorder="1" applyAlignment="1" applyProtection="1"/>
    <xf numFmtId="0" fontId="16" fillId="3" borderId="242" xfId="0" applyFont="1" applyFill="1" applyBorder="1" applyAlignment="1" applyProtection="1"/>
    <xf numFmtId="44" fontId="3" fillId="3" borderId="242" xfId="0" applyNumberFormat="1" applyFont="1" applyFill="1" applyBorder="1" applyAlignment="1" applyProtection="1">
      <protection locked="0"/>
    </xf>
    <xf numFmtId="0" fontId="3" fillId="3" borderId="243" xfId="0" applyFont="1" applyFill="1" applyBorder="1" applyAlignment="1" applyProtection="1">
      <protection locked="0"/>
    </xf>
    <xf numFmtId="44" fontId="3" fillId="2" borderId="323" xfId="0" applyNumberFormat="1" applyFont="1" applyFill="1" applyBorder="1" applyAlignment="1" applyProtection="1"/>
    <xf numFmtId="0" fontId="3" fillId="3" borderId="400" xfId="0" applyFont="1" applyFill="1" applyBorder="1" applyAlignment="1" applyProtection="1">
      <protection locked="0"/>
    </xf>
    <xf numFmtId="44" fontId="3" fillId="2" borderId="401" xfId="0" applyNumberFormat="1" applyFont="1" applyFill="1" applyBorder="1" applyAlignment="1" applyProtection="1"/>
    <xf numFmtId="0" fontId="16" fillId="3" borderId="402" xfId="0" applyFont="1" applyFill="1" applyBorder="1" applyAlignment="1" applyProtection="1"/>
    <xf numFmtId="44" fontId="3" fillId="3" borderId="329" xfId="0" applyNumberFormat="1" applyFont="1" applyFill="1" applyBorder="1" applyAlignment="1" applyProtection="1">
      <protection locked="0"/>
    </xf>
    <xf numFmtId="0" fontId="3" fillId="0" borderId="278" xfId="0" applyFont="1" applyBorder="1" applyAlignment="1" applyProtection="1">
      <alignment vertical="center"/>
      <protection locked="0"/>
    </xf>
    <xf numFmtId="0" fontId="4" fillId="0" borderId="271" xfId="0" applyFont="1" applyBorder="1" applyAlignment="1" applyProtection="1">
      <alignment vertical="center" wrapText="1"/>
      <protection locked="0"/>
    </xf>
    <xf numFmtId="0" fontId="3" fillId="0" borderId="281" xfId="0" applyFont="1" applyBorder="1" applyAlignment="1" applyProtection="1">
      <alignment vertical="center"/>
      <protection locked="0"/>
    </xf>
    <xf numFmtId="0" fontId="4" fillId="0" borderId="274" xfId="0" applyFont="1" applyBorder="1" applyAlignment="1" applyProtection="1">
      <alignment vertical="center" wrapText="1"/>
      <protection locked="0"/>
    </xf>
    <xf numFmtId="0" fontId="3" fillId="0" borderId="274" xfId="0" applyFont="1" applyBorder="1" applyAlignment="1" applyProtection="1">
      <alignment vertical="center"/>
      <protection locked="0"/>
    </xf>
    <xf numFmtId="14" fontId="3" fillId="0" borderId="281" xfId="0" applyNumberFormat="1" applyFont="1" applyBorder="1" applyAlignment="1" applyProtection="1">
      <alignment vertical="center"/>
      <protection locked="0"/>
    </xf>
    <xf numFmtId="0" fontId="3" fillId="0" borderId="274" xfId="0" applyFont="1" applyBorder="1" applyAlignment="1" applyProtection="1">
      <alignment vertical="center" wrapText="1"/>
      <protection locked="0"/>
    </xf>
    <xf numFmtId="0" fontId="3" fillId="0" borderId="281" xfId="0" applyFont="1" applyFill="1" applyBorder="1" applyAlignment="1" applyProtection="1">
      <alignment vertical="center"/>
      <protection locked="0"/>
    </xf>
    <xf numFmtId="0" fontId="3" fillId="0" borderId="274" xfId="0" applyFont="1" applyFill="1" applyBorder="1" applyAlignment="1" applyProtection="1">
      <alignment vertical="center"/>
      <protection locked="0"/>
    </xf>
    <xf numFmtId="0" fontId="3" fillId="0" borderId="274" xfId="0" applyFont="1" applyFill="1" applyBorder="1" applyAlignment="1" applyProtection="1">
      <alignment vertical="center" wrapText="1"/>
      <protection locked="0"/>
    </xf>
    <xf numFmtId="9" fontId="23" fillId="17" borderId="403" xfId="0" applyNumberFormat="1" applyFont="1" applyFill="1" applyBorder="1" applyAlignment="1" applyProtection="1">
      <alignment vertical="center"/>
    </xf>
    <xf numFmtId="42" fontId="23" fillId="6" borderId="380" xfId="0" applyNumberFormat="1" applyFont="1" applyFill="1" applyBorder="1" applyAlignment="1" applyProtection="1">
      <alignment vertical="center"/>
    </xf>
    <xf numFmtId="42" fontId="23" fillId="0" borderId="404" xfId="0" applyNumberFormat="1" applyFont="1" applyFill="1" applyBorder="1" applyAlignment="1" applyProtection="1">
      <alignment vertical="center"/>
      <protection locked="0"/>
    </xf>
    <xf numFmtId="42" fontId="23" fillId="0" borderId="238" xfId="0" applyNumberFormat="1" applyFont="1" applyFill="1" applyBorder="1" applyAlignment="1" applyProtection="1">
      <alignment vertical="center"/>
      <protection locked="0"/>
    </xf>
    <xf numFmtId="9" fontId="23" fillId="17" borderId="396" xfId="0" applyNumberFormat="1" applyFont="1" applyFill="1" applyBorder="1" applyAlignment="1" applyProtection="1">
      <alignment vertical="center"/>
    </xf>
    <xf numFmtId="42" fontId="23" fillId="6" borderId="382" xfId="0" applyNumberFormat="1" applyFont="1" applyFill="1" applyBorder="1" applyAlignment="1" applyProtection="1">
      <alignment vertical="center"/>
    </xf>
    <xf numFmtId="42" fontId="23" fillId="0" borderId="390" xfId="0" applyNumberFormat="1" applyFont="1" applyFill="1" applyBorder="1" applyAlignment="1" applyProtection="1">
      <alignment vertical="center"/>
      <protection locked="0"/>
    </xf>
    <xf numFmtId="42" fontId="23" fillId="0" borderId="243" xfId="0" applyNumberFormat="1" applyFont="1" applyFill="1" applyBorder="1" applyAlignment="1" applyProtection="1">
      <alignment vertical="center"/>
      <protection locked="0"/>
    </xf>
    <xf numFmtId="9" fontId="23" fillId="17" borderId="405" xfId="0" applyNumberFormat="1" applyFont="1" applyFill="1" applyBorder="1" applyAlignment="1" applyProtection="1">
      <alignment vertical="center"/>
    </xf>
    <xf numFmtId="42" fontId="23" fillId="6" borderId="406" xfId="0" applyNumberFormat="1" applyFont="1" applyFill="1" applyBorder="1" applyAlignment="1" applyProtection="1">
      <alignment vertical="center"/>
    </xf>
    <xf numFmtId="42" fontId="23" fillId="0" borderId="315" xfId="0" applyNumberFormat="1" applyFont="1" applyFill="1" applyBorder="1" applyAlignment="1" applyProtection="1">
      <alignment vertical="center" wrapText="1"/>
      <protection locked="0"/>
    </xf>
    <xf numFmtId="42" fontId="23" fillId="0" borderId="407" xfId="0" applyNumberFormat="1" applyFont="1" applyFill="1" applyBorder="1" applyAlignment="1" applyProtection="1">
      <alignment vertical="center" wrapText="1"/>
      <protection locked="0"/>
    </xf>
    <xf numFmtId="42" fontId="23" fillId="6" borderId="240" xfId="0" applyNumberFormat="1" applyFont="1" applyFill="1" applyBorder="1" applyAlignment="1" applyProtection="1">
      <alignment vertical="center"/>
    </xf>
    <xf numFmtId="42" fontId="23" fillId="0" borderId="271" xfId="0" applyNumberFormat="1" applyFont="1" applyFill="1" applyBorder="1" applyAlignment="1" applyProtection="1">
      <alignment vertical="center"/>
      <protection locked="0"/>
    </xf>
    <xf numFmtId="42" fontId="23" fillId="6" borderId="245" xfId="0" applyNumberFormat="1" applyFont="1" applyFill="1" applyBorder="1" applyAlignment="1" applyProtection="1">
      <alignment vertical="center"/>
    </xf>
    <xf numFmtId="42" fontId="23" fillId="0" borderId="274" xfId="0" applyNumberFormat="1" applyFont="1" applyFill="1" applyBorder="1" applyAlignment="1" applyProtection="1">
      <alignment vertical="center"/>
      <protection locked="0"/>
    </xf>
    <xf numFmtId="42" fontId="23" fillId="6" borderId="316" xfId="0" applyNumberFormat="1" applyFont="1" applyFill="1" applyBorder="1" applyAlignment="1" applyProtection="1">
      <alignment vertical="center" wrapText="1"/>
    </xf>
    <xf numFmtId="42" fontId="23" fillId="0" borderId="408" xfId="0" applyNumberFormat="1" applyFont="1" applyFill="1" applyBorder="1" applyAlignment="1" applyProtection="1">
      <alignment vertical="center" wrapText="1"/>
      <protection locked="0"/>
    </xf>
    <xf numFmtId="42" fontId="23" fillId="12" borderId="277" xfId="0" applyNumberFormat="1" applyFont="1" applyFill="1" applyBorder="1" applyAlignment="1" applyProtection="1">
      <alignment vertical="center"/>
    </xf>
    <xf numFmtId="42" fontId="23" fillId="0" borderId="269" xfId="0" applyNumberFormat="1" applyFont="1" applyFill="1" applyBorder="1" applyAlignment="1" applyProtection="1">
      <alignment vertical="center"/>
      <protection locked="0"/>
    </xf>
    <xf numFmtId="42" fontId="23" fillId="6" borderId="280" xfId="0" applyNumberFormat="1" applyFont="1" applyFill="1" applyBorder="1" applyAlignment="1" applyProtection="1">
      <alignment vertical="center"/>
    </xf>
    <xf numFmtId="42" fontId="23" fillId="0" borderId="272" xfId="0" applyNumberFormat="1" applyFont="1" applyFill="1" applyBorder="1" applyAlignment="1" applyProtection="1">
      <alignment vertical="center"/>
      <protection locked="0"/>
    </xf>
    <xf numFmtId="42" fontId="23" fillId="6" borderId="287" xfId="0" applyNumberFormat="1" applyFont="1" applyFill="1" applyBorder="1" applyAlignment="1" applyProtection="1">
      <alignment vertical="center"/>
    </xf>
    <xf numFmtId="42" fontId="23" fillId="0" borderId="315" xfId="0" applyNumberFormat="1" applyFont="1" applyFill="1" applyBorder="1" applyAlignment="1" applyProtection="1">
      <alignment vertical="center"/>
      <protection locked="0"/>
    </xf>
    <xf numFmtId="42" fontId="23" fillId="0" borderId="393" xfId="0" applyNumberFormat="1" applyFont="1" applyFill="1" applyBorder="1" applyAlignment="1" applyProtection="1">
      <alignment vertical="center"/>
      <protection locked="0"/>
    </xf>
    <xf numFmtId="42" fontId="23" fillId="12" borderId="240" xfId="0" applyNumberFormat="1" applyFont="1" applyFill="1" applyBorder="1" applyAlignment="1" applyProtection="1">
      <alignment vertical="center"/>
    </xf>
    <xf numFmtId="42" fontId="23" fillId="6" borderId="316" xfId="0" applyNumberFormat="1" applyFont="1" applyFill="1" applyBorder="1" applyAlignment="1" applyProtection="1">
      <alignment vertical="center"/>
    </xf>
    <xf numFmtId="42" fontId="23" fillId="0" borderId="408" xfId="0" applyNumberFormat="1" applyFont="1" applyFill="1" applyBorder="1" applyAlignment="1" applyProtection="1">
      <alignment vertical="center"/>
      <protection locked="0"/>
    </xf>
    <xf numFmtId="42" fontId="23" fillId="0" borderId="390" xfId="0" applyNumberFormat="1" applyFont="1" applyFill="1" applyBorder="1" applyAlignment="1" applyProtection="1">
      <alignment vertical="center" wrapText="1"/>
      <protection locked="0"/>
    </xf>
    <xf numFmtId="42" fontId="23" fillId="0" borderId="272" xfId="0" applyNumberFormat="1" applyFont="1" applyFill="1" applyBorder="1" applyAlignment="1" applyProtection="1">
      <alignment vertical="center" wrapText="1"/>
      <protection locked="0"/>
    </xf>
    <xf numFmtId="42" fontId="23" fillId="0" borderId="393" xfId="0" applyNumberFormat="1" applyFont="1" applyFill="1" applyBorder="1" applyAlignment="1" applyProtection="1">
      <alignment vertical="center" wrapText="1"/>
      <protection locked="0"/>
    </xf>
    <xf numFmtId="42" fontId="23" fillId="0" borderId="274" xfId="0" applyNumberFormat="1" applyFont="1" applyFill="1" applyBorder="1" applyAlignment="1" applyProtection="1">
      <alignment vertical="center" wrapText="1"/>
      <protection locked="0"/>
    </xf>
    <xf numFmtId="42" fontId="23" fillId="6" borderId="297" xfId="0" applyNumberFormat="1" applyFont="1" applyFill="1" applyBorder="1" applyAlignment="1" applyProtection="1">
      <alignment vertical="center"/>
    </xf>
    <xf numFmtId="42" fontId="23" fillId="12" borderId="280" xfId="0" applyNumberFormat="1" applyFont="1" applyFill="1" applyBorder="1" applyAlignment="1" applyProtection="1">
      <alignment vertical="center"/>
    </xf>
    <xf numFmtId="9" fontId="23" fillId="17" borderId="397" xfId="0" applyNumberFormat="1" applyFont="1" applyFill="1" applyBorder="1" applyAlignment="1" applyProtection="1">
      <alignment vertical="center"/>
    </xf>
    <xf numFmtId="42" fontId="23" fillId="12" borderId="297" xfId="0" applyNumberFormat="1" applyFont="1" applyFill="1" applyBorder="1" applyAlignment="1" applyProtection="1">
      <alignment vertical="center"/>
    </xf>
    <xf numFmtId="42" fontId="23" fillId="12" borderId="245" xfId="0" applyNumberFormat="1" applyFont="1" applyFill="1" applyBorder="1" applyAlignment="1" applyProtection="1">
      <alignment vertical="center"/>
    </xf>
    <xf numFmtId="42" fontId="23" fillId="12" borderId="73" xfId="0" applyNumberFormat="1" applyFont="1" applyFill="1" applyBorder="1" applyAlignment="1" applyProtection="1">
      <alignment vertical="center"/>
    </xf>
    <xf numFmtId="42" fontId="23" fillId="12" borderId="316" xfId="0" applyNumberFormat="1" applyFont="1" applyFill="1" applyBorder="1" applyAlignment="1" applyProtection="1">
      <alignment vertical="center"/>
    </xf>
    <xf numFmtId="44" fontId="23" fillId="6" borderId="237" xfId="0" applyNumberFormat="1" applyFont="1" applyFill="1" applyBorder="1" applyAlignment="1" applyProtection="1">
      <alignment vertical="center"/>
    </xf>
    <xf numFmtId="44" fontId="23" fillId="6" borderId="242" xfId="0" applyNumberFormat="1" applyFont="1" applyFill="1" applyBorder="1" applyAlignment="1" applyProtection="1">
      <alignment vertical="center"/>
    </xf>
    <xf numFmtId="44" fontId="23" fillId="6" borderId="346" xfId="0" applyNumberFormat="1" applyFont="1" applyFill="1" applyBorder="1" applyAlignment="1" applyProtection="1">
      <alignment vertical="center"/>
    </xf>
    <xf numFmtId="42" fontId="16" fillId="0" borderId="410" xfId="0" applyNumberFormat="1" applyFont="1" applyFill="1" applyBorder="1" applyAlignment="1" applyProtection="1">
      <alignment vertical="center"/>
      <protection locked="0"/>
    </xf>
    <xf numFmtId="42" fontId="16" fillId="6" borderId="242" xfId="0" applyNumberFormat="1" applyFont="1" applyFill="1" applyBorder="1" applyAlignment="1" applyProtection="1">
      <alignment vertical="center"/>
    </xf>
    <xf numFmtId="42" fontId="16" fillId="0" borderId="390" xfId="0" applyNumberFormat="1" applyFont="1" applyFill="1" applyBorder="1" applyAlignment="1" applyProtection="1">
      <alignment vertical="center"/>
      <protection locked="0"/>
    </xf>
    <xf numFmtId="42" fontId="16" fillId="6" borderId="402" xfId="0" applyNumberFormat="1" applyFont="1" applyFill="1" applyBorder="1" applyAlignment="1" applyProtection="1">
      <alignment vertical="center"/>
    </xf>
    <xf numFmtId="42" fontId="16" fillId="0" borderId="315" xfId="0" applyNumberFormat="1" applyFont="1" applyFill="1" applyBorder="1" applyAlignment="1" applyProtection="1">
      <alignment vertical="center" wrapText="1"/>
      <protection locked="0"/>
    </xf>
    <xf numFmtId="42" fontId="16" fillId="6" borderId="237" xfId="0" applyNumberFormat="1" applyFont="1" applyFill="1" applyBorder="1" applyAlignment="1" applyProtection="1">
      <alignment vertical="center"/>
    </xf>
    <xf numFmtId="42" fontId="16" fillId="0" borderId="404" xfId="0" applyNumberFormat="1" applyFont="1" applyFill="1" applyBorder="1" applyAlignment="1" applyProtection="1">
      <alignment vertical="center"/>
      <protection locked="0"/>
    </xf>
    <xf numFmtId="42" fontId="16" fillId="0" borderId="341" xfId="0" applyNumberFormat="1" applyFont="1" applyFill="1" applyBorder="1" applyAlignment="1" applyProtection="1">
      <alignment vertical="center"/>
      <protection locked="0"/>
    </xf>
    <xf numFmtId="42" fontId="16" fillId="0" borderId="274" xfId="0" applyNumberFormat="1" applyFont="1" applyFill="1" applyBorder="1" applyAlignment="1" applyProtection="1">
      <alignment vertical="center"/>
      <protection locked="0"/>
    </xf>
    <xf numFmtId="42" fontId="16" fillId="0" borderId="411" xfId="0" applyNumberFormat="1" applyFont="1" applyFill="1" applyBorder="1" applyAlignment="1" applyProtection="1">
      <alignment vertical="center"/>
      <protection locked="0"/>
    </xf>
    <xf numFmtId="42" fontId="16" fillId="0" borderId="310" xfId="0" applyNumberFormat="1" applyFont="1" applyFill="1" applyBorder="1" applyAlignment="1" applyProtection="1">
      <alignment vertical="center"/>
      <protection locked="0"/>
    </xf>
    <xf numFmtId="42" fontId="16" fillId="0" borderId="308" xfId="0" applyNumberFormat="1" applyFont="1" applyFill="1" applyBorder="1" applyAlignment="1" applyProtection="1">
      <alignment vertical="center"/>
      <protection locked="0"/>
    </xf>
    <xf numFmtId="42" fontId="16" fillId="0" borderId="315" xfId="0" applyNumberFormat="1" applyFont="1" applyFill="1" applyBorder="1" applyAlignment="1" applyProtection="1">
      <alignment vertical="center"/>
      <protection locked="0"/>
    </xf>
    <xf numFmtId="42" fontId="16" fillId="0" borderId="408" xfId="0" applyNumberFormat="1" applyFont="1" applyBorder="1" applyAlignment="1" applyProtection="1">
      <alignment vertical="center" wrapText="1"/>
      <protection locked="0"/>
    </xf>
    <xf numFmtId="42" fontId="16" fillId="0" borderId="274" xfId="0" applyNumberFormat="1" applyFont="1" applyFill="1" applyBorder="1" applyAlignment="1" applyProtection="1">
      <alignment vertical="center" wrapText="1"/>
      <protection locked="0"/>
    </xf>
    <xf numFmtId="42" fontId="16" fillId="0" borderId="408" xfId="0" applyNumberFormat="1" applyFont="1" applyFill="1" applyBorder="1" applyAlignment="1" applyProtection="1">
      <alignment vertical="center" wrapText="1"/>
      <protection locked="0"/>
    </xf>
    <xf numFmtId="42" fontId="16" fillId="0" borderId="271" xfId="0" applyNumberFormat="1" applyFont="1" applyFill="1" applyBorder="1" applyAlignment="1" applyProtection="1">
      <alignment vertical="center"/>
      <protection locked="0"/>
    </xf>
    <xf numFmtId="42" fontId="16" fillId="6" borderId="396" xfId="0" applyNumberFormat="1" applyFont="1" applyFill="1" applyBorder="1" applyAlignment="1" applyProtection="1">
      <alignment vertical="center"/>
    </xf>
    <xf numFmtId="42" fontId="16" fillId="6" borderId="397" xfId="0" applyNumberFormat="1" applyFont="1" applyFill="1" applyBorder="1" applyAlignment="1" applyProtection="1">
      <alignment vertical="center"/>
    </xf>
    <xf numFmtId="42" fontId="16" fillId="6" borderId="403" xfId="0" applyNumberFormat="1" applyFont="1" applyFill="1" applyBorder="1" applyAlignment="1" applyProtection="1">
      <alignment vertical="center"/>
    </xf>
    <xf numFmtId="42" fontId="54" fillId="18" borderId="308" xfId="0" applyNumberFormat="1" applyFont="1" applyFill="1" applyBorder="1" applyProtection="1"/>
    <xf numFmtId="42" fontId="54" fillId="0" borderId="391" xfId="0" applyNumberFormat="1" applyFont="1" applyFill="1" applyBorder="1" applyProtection="1">
      <protection locked="0"/>
    </xf>
    <xf numFmtId="42" fontId="54" fillId="0" borderId="274" xfId="0" applyNumberFormat="1" applyFont="1" applyFill="1" applyBorder="1" applyProtection="1">
      <protection locked="0"/>
    </xf>
    <xf numFmtId="42" fontId="54" fillId="0" borderId="412" xfId="0" applyNumberFormat="1" applyFont="1" applyFill="1" applyBorder="1" applyProtection="1">
      <protection locked="0"/>
    </xf>
    <xf numFmtId="42" fontId="54" fillId="0" borderId="408" xfId="0" applyNumberFormat="1" applyFont="1" applyFill="1" applyBorder="1" applyProtection="1">
      <protection locked="0"/>
    </xf>
    <xf numFmtId="42" fontId="54" fillId="6" borderId="361" xfId="0" applyNumberFormat="1" applyFont="1" applyFill="1" applyBorder="1" applyProtection="1"/>
    <xf numFmtId="42" fontId="54" fillId="6" borderId="271" xfId="0" applyNumberFormat="1" applyFont="1" applyFill="1" applyBorder="1" applyProtection="1"/>
    <xf numFmtId="9" fontId="54" fillId="6" borderId="391" xfId="0" applyNumberFormat="1" applyFont="1" applyFill="1" applyBorder="1" applyProtection="1"/>
    <xf numFmtId="9" fontId="54" fillId="6" borderId="274" xfId="0" applyNumberFormat="1" applyFont="1" applyFill="1" applyBorder="1" applyProtection="1"/>
    <xf numFmtId="42" fontId="54" fillId="6" borderId="253" xfId="0" applyNumberFormat="1" applyFont="1" applyFill="1" applyBorder="1" applyProtection="1"/>
    <xf numFmtId="42" fontId="54" fillId="6" borderId="413" xfId="0" applyNumberFormat="1" applyFont="1" applyFill="1" applyBorder="1" applyProtection="1"/>
    <xf numFmtId="167" fontId="54" fillId="0" borderId="370" xfId="0" applyNumberFormat="1" applyFont="1" applyFill="1" applyBorder="1" applyProtection="1">
      <protection locked="0"/>
    </xf>
    <xf numFmtId="0" fontId="16" fillId="0" borderId="361" xfId="0" applyFont="1" applyFill="1" applyBorder="1" applyProtection="1">
      <protection locked="0"/>
    </xf>
    <xf numFmtId="44" fontId="16" fillId="6" borderId="269" xfId="0" applyNumberFormat="1" applyFont="1" applyFill="1" applyBorder="1" applyProtection="1"/>
    <xf numFmtId="0" fontId="16" fillId="0" borderId="279" xfId="0" applyFont="1" applyFill="1" applyBorder="1" applyProtection="1">
      <protection locked="0"/>
    </xf>
    <xf numFmtId="0" fontId="16" fillId="0" borderId="391" xfId="0" applyFont="1" applyFill="1" applyBorder="1" applyProtection="1">
      <protection locked="0"/>
    </xf>
    <xf numFmtId="44" fontId="16" fillId="6" borderId="272" xfId="0" applyNumberFormat="1" applyFont="1" applyFill="1" applyBorder="1" applyProtection="1"/>
    <xf numFmtId="0" fontId="16" fillId="0" borderId="282" xfId="0" applyFont="1" applyFill="1" applyBorder="1" applyProtection="1">
      <protection locked="0"/>
    </xf>
    <xf numFmtId="0" fontId="16" fillId="0" borderId="412" xfId="0" applyFont="1" applyFill="1" applyBorder="1" applyProtection="1">
      <protection locked="0"/>
    </xf>
    <xf numFmtId="44" fontId="16" fillId="6" borderId="393" xfId="0" applyNumberFormat="1" applyFont="1" applyFill="1" applyBorder="1" applyProtection="1"/>
    <xf numFmtId="0" fontId="16" fillId="0" borderId="414" xfId="0" applyFont="1" applyFill="1" applyBorder="1" applyProtection="1">
      <protection locked="0"/>
    </xf>
    <xf numFmtId="0" fontId="16" fillId="0" borderId="296" xfId="0" applyFont="1" applyFill="1" applyBorder="1" applyProtection="1">
      <protection locked="0"/>
    </xf>
    <xf numFmtId="0" fontId="16" fillId="0" borderId="415" xfId="0" applyFont="1" applyFill="1" applyBorder="1" applyProtection="1">
      <protection locked="0"/>
    </xf>
    <xf numFmtId="44" fontId="16" fillId="6" borderId="309" xfId="0" applyNumberFormat="1" applyFont="1" applyFill="1" applyBorder="1" applyProtection="1"/>
    <xf numFmtId="0" fontId="16" fillId="0" borderId="306" xfId="0" applyFont="1" applyFill="1" applyBorder="1" applyProtection="1">
      <protection locked="0"/>
    </xf>
    <xf numFmtId="44" fontId="16" fillId="6" borderId="294" xfId="0" applyNumberFormat="1" applyFont="1" applyFill="1" applyBorder="1" applyProtection="1"/>
    <xf numFmtId="42" fontId="16" fillId="0" borderId="282" xfId="0" applyNumberFormat="1" applyFont="1" applyFill="1" applyBorder="1" applyAlignment="1" applyProtection="1">
      <alignment vertical="center"/>
      <protection locked="0"/>
    </xf>
    <xf numFmtId="165" fontId="16" fillId="0" borderId="63" xfId="0" applyNumberFormat="1" applyFont="1" applyFill="1" applyBorder="1" applyProtection="1"/>
    <xf numFmtId="0" fontId="16" fillId="0" borderId="253" xfId="0" applyFont="1" applyFill="1" applyBorder="1" applyProtection="1">
      <protection locked="0"/>
    </xf>
    <xf numFmtId="0" fontId="16" fillId="0" borderId="250" xfId="0" applyFont="1" applyFill="1" applyBorder="1" applyProtection="1">
      <protection locked="0"/>
    </xf>
    <xf numFmtId="0" fontId="16" fillId="0" borderId="370" xfId="0" applyFont="1" applyFill="1" applyBorder="1" applyProtection="1">
      <protection locked="0"/>
    </xf>
    <xf numFmtId="0" fontId="16" fillId="5" borderId="277" xfId="0" applyFont="1" applyFill="1" applyBorder="1" applyAlignment="1" applyProtection="1">
      <alignment horizontal="center" wrapText="1"/>
      <protection locked="0"/>
    </xf>
    <xf numFmtId="0" fontId="16" fillId="5" borderId="421" xfId="0" applyFont="1" applyFill="1" applyBorder="1" applyAlignment="1" applyProtection="1">
      <alignment horizontal="center" wrapText="1"/>
      <protection locked="0"/>
    </xf>
    <xf numFmtId="0" fontId="16" fillId="0" borderId="377" xfId="0" applyFont="1" applyBorder="1" applyAlignment="1" applyProtection="1">
      <alignment horizontal="left" wrapText="1"/>
      <protection locked="0"/>
    </xf>
    <xf numFmtId="49" fontId="16" fillId="0" borderId="377" xfId="0" applyNumberFormat="1" applyFont="1" applyFill="1" applyBorder="1" applyAlignment="1" applyProtection="1">
      <alignment horizontal="center" wrapText="1"/>
      <protection locked="0"/>
    </xf>
    <xf numFmtId="49" fontId="16" fillId="0" borderId="341" xfId="0" applyNumberFormat="1" applyFont="1" applyFill="1" applyBorder="1" applyAlignment="1" applyProtection="1">
      <alignment horizontal="center" wrapText="1"/>
      <protection locked="0"/>
    </xf>
    <xf numFmtId="0" fontId="16" fillId="5" borderId="280" xfId="0" applyFont="1" applyFill="1" applyBorder="1" applyAlignment="1" applyProtection="1">
      <alignment horizontal="center" wrapText="1"/>
      <protection locked="0"/>
    </xf>
    <xf numFmtId="0" fontId="16" fillId="5" borderId="422" xfId="0" applyFont="1" applyFill="1" applyBorder="1" applyAlignment="1" applyProtection="1">
      <alignment horizontal="center" wrapText="1"/>
      <protection locked="0"/>
    </xf>
    <xf numFmtId="0" fontId="16" fillId="0" borderId="322" xfId="0" applyFont="1" applyBorder="1" applyAlignment="1" applyProtection="1">
      <alignment horizontal="left" wrapText="1"/>
      <protection locked="0"/>
    </xf>
    <xf numFmtId="49" fontId="16" fillId="0" borderId="322" xfId="0" applyNumberFormat="1" applyFont="1" applyFill="1" applyBorder="1" applyAlignment="1" applyProtection="1">
      <alignment horizontal="center" wrapText="1"/>
      <protection locked="0"/>
    </xf>
    <xf numFmtId="49" fontId="16" fillId="0" borderId="323" xfId="0" applyNumberFormat="1" applyFont="1" applyFill="1" applyBorder="1" applyAlignment="1" applyProtection="1">
      <alignment horizontal="center" wrapText="1"/>
      <protection locked="0"/>
    </xf>
    <xf numFmtId="0" fontId="16" fillId="0" borderId="322" xfId="0" applyFont="1" applyFill="1" applyBorder="1" applyAlignment="1" applyProtection="1">
      <alignment horizontal="center" wrapText="1"/>
      <protection locked="0"/>
    </xf>
    <xf numFmtId="0" fontId="16" fillId="0" borderId="377" xfId="0" applyFont="1" applyBorder="1" applyAlignment="1" applyProtection="1">
      <alignment wrapText="1"/>
      <protection locked="0"/>
    </xf>
    <xf numFmtId="0" fontId="16" fillId="0" borderId="322" xfId="0" applyFont="1" applyBorder="1" applyAlignment="1" applyProtection="1">
      <alignment wrapText="1"/>
      <protection locked="0"/>
    </xf>
    <xf numFmtId="0" fontId="16" fillId="0" borderId="322" xfId="0" applyFont="1" applyFill="1" applyBorder="1" applyAlignment="1" applyProtection="1">
      <alignment wrapText="1"/>
      <protection locked="0"/>
    </xf>
    <xf numFmtId="0" fontId="16" fillId="5" borderId="237" xfId="0" applyFont="1" applyFill="1" applyBorder="1" applyAlignment="1" applyProtection="1">
      <alignment wrapText="1"/>
      <protection locked="0"/>
    </xf>
    <xf numFmtId="0" fontId="16" fillId="5" borderId="242" xfId="0" applyFont="1" applyFill="1" applyBorder="1" applyAlignment="1" applyProtection="1">
      <alignment wrapText="1"/>
      <protection locked="0"/>
    </xf>
    <xf numFmtId="0" fontId="16" fillId="5" borderId="237" xfId="0" applyFont="1" applyFill="1" applyBorder="1" applyAlignment="1" applyProtection="1">
      <alignment horizontal="left"/>
      <protection locked="0"/>
    </xf>
    <xf numFmtId="0" fontId="16" fillId="5" borderId="242" xfId="0" applyFont="1" applyFill="1" applyBorder="1" applyAlignment="1" applyProtection="1">
      <alignment horizontal="left"/>
      <protection locked="0"/>
    </xf>
    <xf numFmtId="0" fontId="43" fillId="16" borderId="228" xfId="0" applyFont="1" applyFill="1" applyBorder="1" applyAlignment="1" applyProtection="1">
      <alignment horizontal="center" vertical="center" wrapText="1"/>
    </xf>
    <xf numFmtId="0" fontId="0" fillId="0" borderId="377" xfId="0" applyFont="1" applyBorder="1" applyProtection="1">
      <protection locked="0"/>
    </xf>
    <xf numFmtId="0" fontId="0" fillId="0" borderId="322" xfId="0" applyFont="1" applyBorder="1" applyProtection="1">
      <protection locked="0"/>
    </xf>
    <xf numFmtId="0" fontId="16" fillId="0" borderId="237" xfId="0" applyFont="1" applyBorder="1" applyAlignment="1" applyProtection="1">
      <protection locked="0"/>
    </xf>
    <xf numFmtId="0" fontId="16" fillId="0" borderId="242" xfId="0" applyFont="1" applyBorder="1" applyAlignment="1" applyProtection="1">
      <protection locked="0"/>
    </xf>
    <xf numFmtId="0" fontId="16" fillId="0" borderId="277" xfId="0" applyFont="1" applyFill="1" applyBorder="1" applyAlignment="1" applyProtection="1">
      <alignment horizontal="center" wrapText="1"/>
      <protection locked="0"/>
    </xf>
    <xf numFmtId="0" fontId="16" fillId="0" borderId="278" xfId="0" applyFont="1" applyFill="1" applyBorder="1" applyAlignment="1" applyProtection="1">
      <alignment horizontal="center" wrapText="1"/>
      <protection locked="0"/>
    </xf>
    <xf numFmtId="0" fontId="16" fillId="0" borderId="280" xfId="0" applyFont="1" applyFill="1" applyBorder="1" applyAlignment="1" applyProtection="1">
      <protection locked="0"/>
    </xf>
    <xf numFmtId="0" fontId="16" fillId="0" borderId="281" xfId="0" applyFont="1" applyFill="1" applyBorder="1" applyAlignment="1" applyProtection="1">
      <alignment horizontal="center" wrapText="1"/>
      <protection locked="0"/>
    </xf>
    <xf numFmtId="0" fontId="16" fillId="0" borderId="424" xfId="0" applyFont="1" applyBorder="1" applyAlignment="1" applyProtection="1">
      <alignment horizontal="center" wrapText="1"/>
      <protection locked="0"/>
    </xf>
    <xf numFmtId="49" fontId="16" fillId="0" borderId="340" xfId="0" applyNumberFormat="1" applyFont="1" applyFill="1" applyBorder="1" applyAlignment="1" applyProtection="1">
      <alignment horizontal="center" wrapText="1"/>
      <protection locked="0"/>
    </xf>
    <xf numFmtId="0" fontId="16" fillId="0" borderId="425" xfId="0" applyFont="1" applyBorder="1" applyAlignment="1" applyProtection="1">
      <alignment horizontal="center" wrapText="1"/>
      <protection locked="0"/>
    </xf>
    <xf numFmtId="49" fontId="16" fillId="0" borderId="345" xfId="0" applyNumberFormat="1" applyFont="1" applyFill="1" applyBorder="1" applyAlignment="1" applyProtection="1">
      <alignment horizontal="center" wrapText="1"/>
      <protection locked="0"/>
    </xf>
    <xf numFmtId="0" fontId="16" fillId="0" borderId="426" xfId="0" applyFont="1" applyBorder="1" applyAlignment="1" applyProtection="1">
      <alignment horizontal="center" wrapText="1"/>
      <protection locked="0"/>
    </xf>
    <xf numFmtId="49" fontId="16" fillId="0" borderId="352" xfId="0" applyNumberFormat="1" applyFont="1" applyFill="1" applyBorder="1" applyAlignment="1" applyProtection="1">
      <alignment horizontal="center" wrapText="1"/>
      <protection locked="0"/>
    </xf>
    <xf numFmtId="49" fontId="16" fillId="0" borderId="377" xfId="0" applyNumberFormat="1" applyFont="1" applyFill="1" applyBorder="1" applyAlignment="1" applyProtection="1">
      <alignment horizontal="left" wrapText="1"/>
      <protection locked="0"/>
    </xf>
    <xf numFmtId="49" fontId="16" fillId="0" borderId="322" xfId="0" applyNumberFormat="1" applyFont="1" applyFill="1" applyBorder="1" applyAlignment="1" applyProtection="1">
      <alignment horizontal="left" wrapText="1"/>
      <protection locked="0"/>
    </xf>
    <xf numFmtId="49" fontId="16" fillId="0" borderId="238" xfId="0" applyNumberFormat="1" applyFont="1" applyFill="1" applyBorder="1" applyAlignment="1" applyProtection="1">
      <alignment horizontal="center" wrapText="1"/>
      <protection locked="0"/>
    </xf>
    <xf numFmtId="49" fontId="16" fillId="0" borderId="243" xfId="0" applyNumberFormat="1" applyFont="1" applyFill="1" applyBorder="1" applyAlignment="1" applyProtection="1">
      <alignment horizontal="center" wrapText="1"/>
      <protection locked="0"/>
    </xf>
    <xf numFmtId="0" fontId="0" fillId="0" borderId="18" xfId="0" applyBorder="1"/>
    <xf numFmtId="0" fontId="16" fillId="5" borderId="277" xfId="0" applyFont="1" applyFill="1" applyBorder="1" applyAlignment="1" applyProtection="1">
      <alignment horizontal="left" wrapText="1"/>
      <protection locked="0"/>
    </xf>
    <xf numFmtId="0" fontId="16" fillId="5" borderId="421" xfId="0" applyFont="1" applyFill="1" applyBorder="1" applyAlignment="1" applyProtection="1">
      <alignment horizontal="left" wrapText="1"/>
      <protection locked="0"/>
    </xf>
    <xf numFmtId="0" fontId="16" fillId="5" borderId="280" xfId="0" applyFont="1" applyFill="1" applyBorder="1" applyAlignment="1" applyProtection="1">
      <alignment horizontal="left" wrapText="1"/>
      <protection locked="0"/>
    </xf>
    <xf numFmtId="0" fontId="16" fillId="5" borderId="422" xfId="0" applyFont="1" applyFill="1" applyBorder="1" applyAlignment="1" applyProtection="1">
      <alignment horizontal="left" wrapText="1"/>
      <protection locked="0"/>
    </xf>
    <xf numFmtId="0" fontId="16" fillId="5" borderId="247" xfId="0" applyFont="1" applyFill="1" applyBorder="1" applyAlignment="1" applyProtection="1">
      <alignment horizontal="left"/>
      <protection locked="0"/>
    </xf>
    <xf numFmtId="0" fontId="16" fillId="5" borderId="287" xfId="0" applyFont="1" applyFill="1" applyBorder="1" applyAlignment="1" applyProtection="1">
      <alignment horizontal="center" wrapText="1"/>
      <protection locked="0"/>
    </xf>
    <xf numFmtId="0" fontId="16" fillId="5" borderId="427" xfId="0" applyFont="1" applyFill="1" applyBorder="1" applyAlignment="1" applyProtection="1">
      <alignment horizontal="center" wrapText="1"/>
      <protection locked="0"/>
    </xf>
    <xf numFmtId="0" fontId="16" fillId="0" borderId="428" xfId="0" applyFont="1" applyFill="1" applyBorder="1" applyAlignment="1" applyProtection="1">
      <alignment wrapText="1"/>
      <protection locked="0"/>
    </xf>
    <xf numFmtId="0" fontId="16" fillId="0" borderId="428" xfId="0" applyFont="1" applyBorder="1" applyAlignment="1" applyProtection="1">
      <alignment horizontal="left" wrapText="1"/>
      <protection locked="0"/>
    </xf>
    <xf numFmtId="49" fontId="16" fillId="0" borderId="428" xfId="0" applyNumberFormat="1" applyFont="1" applyFill="1" applyBorder="1" applyAlignment="1" applyProtection="1">
      <alignment horizontal="center" wrapText="1"/>
      <protection locked="0"/>
    </xf>
    <xf numFmtId="49" fontId="16" fillId="0" borderId="428" xfId="0" applyNumberFormat="1" applyFont="1" applyFill="1" applyBorder="1" applyAlignment="1" applyProtection="1">
      <alignment horizontal="left" wrapText="1"/>
      <protection locked="0"/>
    </xf>
    <xf numFmtId="49" fontId="16" fillId="0" borderId="248" xfId="0" applyNumberFormat="1" applyFont="1" applyFill="1" applyBorder="1" applyAlignment="1" applyProtection="1">
      <alignment horizontal="center" wrapText="1"/>
      <protection locked="0"/>
    </xf>
    <xf numFmtId="49" fontId="16" fillId="0" borderId="378" xfId="0" applyNumberFormat="1" applyFont="1" applyFill="1" applyBorder="1" applyAlignment="1" applyProtection="1">
      <alignment horizontal="center" wrapText="1"/>
      <protection locked="0"/>
    </xf>
    <xf numFmtId="0" fontId="16" fillId="5" borderId="247" xfId="0" applyFont="1" applyFill="1" applyBorder="1" applyAlignment="1" applyProtection="1">
      <alignment wrapText="1"/>
      <protection locked="0"/>
    </xf>
    <xf numFmtId="0" fontId="16" fillId="5" borderId="287" xfId="0" applyFont="1" applyFill="1" applyBorder="1" applyAlignment="1" applyProtection="1">
      <alignment horizontal="left" wrapText="1"/>
      <protection locked="0"/>
    </xf>
    <xf numFmtId="0" fontId="16" fillId="5" borderId="427" xfId="0" applyFont="1" applyFill="1" applyBorder="1" applyAlignment="1" applyProtection="1">
      <alignment horizontal="left" wrapText="1"/>
      <protection locked="0"/>
    </xf>
    <xf numFmtId="0" fontId="16" fillId="0" borderId="428" xfId="0" applyFont="1" applyFill="1" applyBorder="1" applyAlignment="1" applyProtection="1">
      <alignment horizontal="center" wrapText="1"/>
      <protection locked="0"/>
    </xf>
    <xf numFmtId="0" fontId="44" fillId="6" borderId="226" xfId="0" applyFont="1" applyFill="1" applyBorder="1" applyAlignment="1" applyProtection="1">
      <alignment vertical="center"/>
    </xf>
    <xf numFmtId="0" fontId="0" fillId="0" borderId="4" xfId="0" applyFill="1" applyBorder="1"/>
    <xf numFmtId="0" fontId="16" fillId="0" borderId="247" xfId="0" applyFont="1" applyFill="1" applyBorder="1" applyAlignment="1" applyProtection="1">
      <protection locked="0"/>
    </xf>
    <xf numFmtId="0" fontId="16" fillId="0" borderId="287" xfId="0" applyFont="1" applyFill="1" applyBorder="1" applyAlignment="1" applyProtection="1">
      <protection locked="0"/>
    </xf>
    <xf numFmtId="0" fontId="16" fillId="0" borderId="288" xfId="0" applyFont="1" applyFill="1" applyBorder="1" applyAlignment="1" applyProtection="1">
      <alignment horizontal="center" wrapText="1"/>
      <protection locked="0"/>
    </xf>
    <xf numFmtId="0" fontId="3" fillId="0" borderId="281" xfId="0" applyFont="1" applyBorder="1" applyAlignment="1" applyProtection="1">
      <alignment vertical="center" wrapText="1"/>
      <protection locked="0"/>
    </xf>
    <xf numFmtId="0" fontId="3" fillId="0" borderId="281" xfId="0" applyFont="1" applyBorder="1" applyAlignment="1" applyProtection="1">
      <alignment vertical="center"/>
      <protection locked="0"/>
    </xf>
    <xf numFmtId="0" fontId="0" fillId="5" borderId="281" xfId="0" applyFont="1" applyFill="1" applyBorder="1" applyAlignment="1" applyProtection="1">
      <protection locked="0"/>
    </xf>
    <xf numFmtId="0" fontId="16" fillId="0" borderId="272" xfId="0" applyFont="1" applyBorder="1" applyAlignment="1" applyProtection="1">
      <protection locked="0"/>
    </xf>
    <xf numFmtId="0" fontId="71" fillId="0" borderId="75" xfId="0" applyFont="1" applyBorder="1" applyAlignment="1">
      <alignment vertical="center"/>
    </xf>
    <xf numFmtId="0" fontId="0" fillId="0" borderId="0" xfId="0" applyFont="1" applyFill="1" applyAlignment="1" applyProtection="1"/>
    <xf numFmtId="0" fontId="16" fillId="0" borderId="421" xfId="0" applyFont="1" applyFill="1" applyBorder="1" applyAlignment="1" applyProtection="1">
      <alignment wrapText="1"/>
      <protection locked="0"/>
    </xf>
    <xf numFmtId="0" fontId="16" fillId="0" borderId="422" xfId="0" applyFont="1" applyFill="1" applyBorder="1" applyProtection="1">
      <protection locked="0"/>
    </xf>
    <xf numFmtId="3" fontId="18" fillId="0" borderId="220"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47" xfId="0" applyFont="1" applyFill="1" applyBorder="1" applyProtection="1">
      <protection locked="0"/>
    </xf>
    <xf numFmtId="9" fontId="16" fillId="0" borderId="428" xfId="0" applyNumberFormat="1" applyFont="1" applyFill="1" applyBorder="1" applyAlignment="1" applyProtection="1">
      <alignment horizontal="right" wrapText="1"/>
      <protection locked="0"/>
    </xf>
    <xf numFmtId="0" fontId="16" fillId="0" borderId="427" xfId="0" applyFont="1" applyFill="1" applyBorder="1" applyProtection="1">
      <protection locked="0"/>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18" xfId="0" applyNumberFormat="1" applyFont="1" applyFill="1" applyBorder="1" applyAlignment="1" applyProtection="1">
      <alignment horizontal="center"/>
    </xf>
    <xf numFmtId="5" fontId="20" fillId="16" borderId="214" xfId="0" applyNumberFormat="1" applyFont="1" applyFill="1" applyBorder="1" applyAlignment="1" applyProtection="1">
      <alignment horizontal="center"/>
    </xf>
    <xf numFmtId="0" fontId="16" fillId="0" borderId="65" xfId="0" applyFont="1" applyFill="1" applyBorder="1" applyAlignment="1" applyProtection="1"/>
    <xf numFmtId="0" fontId="41" fillId="0" borderId="242" xfId="0" applyFont="1" applyFill="1" applyBorder="1" applyAlignment="1" applyProtection="1">
      <alignment vertical="center" wrapText="1"/>
      <protection locked="0"/>
    </xf>
    <xf numFmtId="0" fontId="41" fillId="0" borderId="247" xfId="0" applyFont="1" applyFill="1" applyBorder="1" applyAlignment="1" applyProtection="1">
      <alignment vertical="center" wrapText="1"/>
      <protection locked="0"/>
    </xf>
    <xf numFmtId="0" fontId="43" fillId="16" borderId="11" xfId="0" applyFont="1" applyFill="1" applyBorder="1" applyAlignment="1" applyProtection="1">
      <alignment vertical="center"/>
    </xf>
    <xf numFmtId="6" fontId="16" fillId="25" borderId="221" xfId="0" applyNumberFormat="1" applyFont="1" applyFill="1" applyBorder="1" applyAlignment="1" applyProtection="1"/>
    <xf numFmtId="0" fontId="43" fillId="6" borderId="144" xfId="0" applyNumberFormat="1" applyFont="1" applyFill="1" applyBorder="1" applyAlignment="1" applyProtection="1">
      <alignment horizontal="center" vertical="center" wrapText="1"/>
    </xf>
    <xf numFmtId="0" fontId="43" fillId="6" borderId="228" xfId="0" applyNumberFormat="1" applyFont="1" applyFill="1" applyBorder="1" applyAlignment="1" applyProtection="1">
      <alignment horizontal="center" vertical="center" wrapText="1"/>
    </xf>
    <xf numFmtId="0" fontId="43" fillId="6" borderId="229" xfId="0" applyNumberFormat="1" applyFont="1" applyFill="1" applyBorder="1" applyAlignment="1" applyProtection="1">
      <alignment horizontal="center" vertical="center" wrapText="1"/>
    </xf>
    <xf numFmtId="0" fontId="16" fillId="0" borderId="271" xfId="0" applyFont="1" applyFill="1" applyBorder="1" applyAlignment="1" applyProtection="1">
      <alignment vertical="center"/>
      <protection locked="0"/>
    </xf>
    <xf numFmtId="0" fontId="16" fillId="0" borderId="274" xfId="0" applyFont="1" applyFill="1" applyBorder="1" applyAlignment="1" applyProtection="1">
      <alignment vertical="center"/>
      <protection locked="0"/>
    </xf>
    <xf numFmtId="0" fontId="20" fillId="16" borderId="144"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0" fontId="18" fillId="16" borderId="143" xfId="0" applyFont="1" applyFill="1" applyBorder="1" applyAlignment="1" applyProtection="1">
      <alignment horizontal="center"/>
    </xf>
    <xf numFmtId="0" fontId="3" fillId="3" borderId="115" xfId="0" applyFont="1" applyFill="1" applyBorder="1" applyProtection="1"/>
    <xf numFmtId="0" fontId="3" fillId="25" borderId="78" xfId="0" applyFont="1" applyFill="1" applyBorder="1" applyAlignment="1" applyProtection="1">
      <alignment vertical="center"/>
      <protection locked="0"/>
    </xf>
    <xf numFmtId="0" fontId="3" fillId="25" borderId="45" xfId="0" applyFont="1" applyFill="1" applyBorder="1" applyAlignment="1" applyProtection="1">
      <alignment vertical="center" wrapText="1"/>
      <protection locked="0"/>
    </xf>
    <xf numFmtId="0" fontId="0" fillId="0" borderId="75" xfId="0" quotePrefix="1" applyBorder="1"/>
    <xf numFmtId="0" fontId="3" fillId="0" borderId="242" xfId="0" applyFont="1" applyBorder="1" applyAlignment="1" applyProtection="1">
      <alignment vertical="center" wrapText="1"/>
      <protection locked="0"/>
    </xf>
    <xf numFmtId="0" fontId="3" fillId="25" borderId="58" xfId="0" applyFont="1" applyFill="1" applyBorder="1" applyAlignment="1" applyProtection="1">
      <alignment vertical="center" wrapText="1"/>
      <protection locked="0"/>
    </xf>
    <xf numFmtId="0" fontId="42" fillId="0" borderId="272" xfId="0" applyFont="1" applyBorder="1" applyAlignment="1" applyProtection="1">
      <alignment wrapText="1"/>
      <protection locked="0"/>
    </xf>
    <xf numFmtId="0" fontId="42" fillId="0" borderId="289" xfId="0" applyFont="1" applyBorder="1" applyAlignment="1" applyProtection="1">
      <alignment wrapText="1"/>
      <protection locked="0"/>
    </xf>
    <xf numFmtId="0" fontId="5" fillId="16" borderId="155" xfId="0" applyFont="1" applyFill="1" applyBorder="1" applyAlignment="1" applyProtection="1">
      <alignment vertical="center" wrapText="1"/>
    </xf>
    <xf numFmtId="0" fontId="3" fillId="0" borderId="237" xfId="0" applyFont="1" applyBorder="1" applyAlignment="1" applyProtection="1">
      <alignment vertical="center" wrapText="1"/>
      <protection locked="0"/>
    </xf>
    <xf numFmtId="0" fontId="3" fillId="0" borderId="242" xfId="0" applyFont="1" applyBorder="1" applyAlignment="1" applyProtection="1">
      <alignment vertical="center"/>
      <protection locked="0"/>
    </xf>
    <xf numFmtId="0" fontId="3" fillId="0" borderId="242"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193" xfId="0" applyFont="1" applyBorder="1" applyProtection="1"/>
    <xf numFmtId="0" fontId="0" fillId="0" borderId="0" xfId="0" applyBorder="1" applyProtection="1"/>
    <xf numFmtId="0" fontId="16" fillId="0" borderId="33" xfId="0" applyFont="1" applyBorder="1" applyAlignment="1" applyProtection="1"/>
    <xf numFmtId="0" fontId="16" fillId="0" borderId="33" xfId="0" applyFont="1" applyBorder="1" applyProtection="1"/>
    <xf numFmtId="0" fontId="41" fillId="0" borderId="56" xfId="0" applyNumberFormat="1" applyFont="1" applyFill="1" applyBorder="1" applyProtection="1"/>
    <xf numFmtId="44" fontId="41" fillId="6" borderId="154" xfId="0" applyNumberFormat="1" applyFont="1" applyFill="1" applyBorder="1" applyProtection="1"/>
    <xf numFmtId="44" fontId="41" fillId="6" borderId="153" xfId="0" applyNumberFormat="1" applyFont="1" applyFill="1" applyBorder="1" applyProtection="1"/>
    <xf numFmtId="44" fontId="41" fillId="6" borderId="152" xfId="0" applyNumberFormat="1" applyFont="1" applyFill="1" applyBorder="1" applyProtection="1"/>
    <xf numFmtId="44" fontId="41" fillId="6" borderId="143" xfId="0" applyNumberFormat="1" applyFont="1" applyFill="1" applyBorder="1" applyProtection="1"/>
    <xf numFmtId="44" fontId="41" fillId="6" borderId="229" xfId="0" applyNumberFormat="1" applyFont="1" applyFill="1" applyBorder="1" applyProtection="1"/>
    <xf numFmtId="44" fontId="41" fillId="5" borderId="247" xfId="0" applyNumberFormat="1" applyFont="1" applyFill="1" applyBorder="1" applyProtection="1">
      <protection locked="0"/>
    </xf>
    <xf numFmtId="44" fontId="41" fillId="5" borderId="289" xfId="0" applyNumberFormat="1" applyFont="1" applyFill="1" applyBorder="1" applyProtection="1">
      <protection locked="0"/>
    </xf>
    <xf numFmtId="44" fontId="41" fillId="5" borderId="346" xfId="0" applyNumberFormat="1" applyFont="1" applyFill="1" applyBorder="1" applyProtection="1">
      <protection locked="0"/>
    </xf>
    <xf numFmtId="44" fontId="41" fillId="5" borderId="305" xfId="0" applyNumberFormat="1" applyFont="1" applyFill="1" applyBorder="1" applyProtection="1">
      <protection locked="0"/>
    </xf>
    <xf numFmtId="9" fontId="8" fillId="0" borderId="247" xfId="0" applyNumberFormat="1" applyFont="1" applyBorder="1" applyAlignment="1" applyProtection="1">
      <alignment vertical="center"/>
      <protection locked="0"/>
    </xf>
    <xf numFmtId="1" fontId="8" fillId="0" borderId="289" xfId="0" applyNumberFormat="1" applyFont="1" applyBorder="1" applyAlignment="1" applyProtection="1">
      <protection locked="0"/>
    </xf>
    <xf numFmtId="42" fontId="8" fillId="0" borderId="289" xfId="0" applyNumberFormat="1" applyFont="1" applyBorder="1" applyAlignment="1" applyProtection="1">
      <protection locked="0"/>
    </xf>
    <xf numFmtId="9" fontId="8" fillId="0" borderId="242" xfId="0" applyNumberFormat="1" applyFont="1" applyBorder="1" applyAlignment="1" applyProtection="1">
      <alignment vertical="center"/>
      <protection locked="0"/>
    </xf>
    <xf numFmtId="1" fontId="8" fillId="0" borderId="272" xfId="0" applyNumberFormat="1" applyFont="1" applyBorder="1" applyAlignment="1" applyProtection="1">
      <protection locked="0"/>
    </xf>
    <xf numFmtId="42" fontId="8" fillId="0" borderId="272" xfId="0" applyNumberFormat="1" applyFont="1" applyBorder="1" applyAlignment="1" applyProtection="1">
      <protection locked="0"/>
    </xf>
    <xf numFmtId="0" fontId="41" fillId="0" borderId="237" xfId="0" applyFont="1" applyFill="1" applyBorder="1" applyAlignment="1" applyProtection="1">
      <alignment vertical="center" wrapText="1"/>
      <protection locked="0"/>
    </xf>
    <xf numFmtId="6" fontId="20" fillId="16" borderId="404" xfId="0" applyNumberFormat="1" applyFont="1" applyFill="1" applyBorder="1" applyAlignment="1" applyProtection="1">
      <alignment horizontal="center" wrapText="1"/>
    </xf>
    <xf numFmtId="0" fontId="41" fillId="0" borderId="441" xfId="0" applyFont="1" applyFill="1" applyBorder="1" applyAlignment="1" applyProtection="1">
      <alignment vertical="center" wrapText="1"/>
      <protection locked="0"/>
    </xf>
    <xf numFmtId="0" fontId="41" fillId="0" borderId="443" xfId="0" applyFont="1" applyFill="1" applyBorder="1" applyAlignment="1" applyProtection="1">
      <alignment vertical="center" wrapText="1"/>
      <protection locked="0"/>
    </xf>
    <xf numFmtId="0" fontId="41" fillId="0" borderId="445" xfId="0" applyFont="1" applyFill="1" applyBorder="1" applyAlignment="1" applyProtection="1">
      <alignment vertical="center" wrapText="1"/>
      <protection locked="0"/>
    </xf>
    <xf numFmtId="44" fontId="41" fillId="6" borderId="318" xfId="0" applyNumberFormat="1" applyFont="1" applyFill="1" applyBorder="1" applyAlignment="1" applyProtection="1">
      <alignment horizontal="right" vertical="center"/>
    </xf>
    <xf numFmtId="44" fontId="41" fillId="0" borderId="319" xfId="0" applyNumberFormat="1" applyFont="1" applyFill="1" applyBorder="1" applyAlignment="1" applyProtection="1">
      <alignment horizontal="right" vertical="center"/>
      <protection locked="0"/>
    </xf>
    <xf numFmtId="44" fontId="41" fillId="0" borderId="320" xfId="0" applyNumberFormat="1" applyFont="1" applyFill="1" applyBorder="1" applyAlignment="1" applyProtection="1">
      <alignment horizontal="right" vertical="center"/>
      <protection locked="0"/>
    </xf>
    <xf numFmtId="44" fontId="41" fillId="6" borderId="321" xfId="0" applyNumberFormat="1" applyFont="1" applyFill="1" applyBorder="1" applyAlignment="1" applyProtection="1">
      <alignment vertical="center"/>
    </xf>
    <xf numFmtId="44" fontId="41" fillId="0" borderId="322" xfId="0" applyNumberFormat="1" applyFont="1" applyFill="1" applyBorder="1" applyAlignment="1" applyProtection="1">
      <alignment horizontal="right" vertical="center"/>
      <protection locked="0"/>
    </xf>
    <xf numFmtId="44" fontId="41" fillId="0" borderId="323" xfId="0" applyNumberFormat="1" applyFont="1" applyFill="1" applyBorder="1" applyAlignment="1" applyProtection="1">
      <alignment horizontal="right" vertical="center"/>
      <protection locked="0"/>
    </xf>
    <xf numFmtId="44" fontId="41" fillId="6" borderId="324" xfId="0" applyNumberFormat="1" applyFont="1" applyFill="1" applyBorder="1" applyAlignment="1" applyProtection="1">
      <alignment horizontal="right" vertical="center"/>
    </xf>
    <xf numFmtId="44" fontId="41" fillId="0" borderId="325" xfId="0" applyNumberFormat="1" applyFont="1" applyFill="1" applyBorder="1" applyAlignment="1" applyProtection="1">
      <alignment horizontal="right" vertical="center"/>
      <protection locked="0"/>
    </xf>
    <xf numFmtId="44" fontId="41" fillId="0" borderId="326" xfId="0" applyNumberFormat="1" applyFont="1" applyFill="1" applyBorder="1" applyAlignment="1" applyProtection="1">
      <alignment horizontal="right" vertical="center"/>
      <protection locked="0"/>
    </xf>
    <xf numFmtId="44" fontId="41" fillId="0" borderId="418" xfId="0" applyNumberFormat="1" applyFont="1" applyFill="1" applyBorder="1" applyAlignment="1" applyProtection="1">
      <alignment horizontal="right" vertical="center"/>
      <protection locked="0"/>
    </xf>
    <xf numFmtId="44" fontId="41" fillId="0" borderId="327" xfId="0" applyNumberFormat="1" applyFont="1" applyFill="1" applyBorder="1" applyAlignment="1" applyProtection="1">
      <alignment horizontal="right" vertical="center"/>
      <protection locked="0"/>
    </xf>
    <xf numFmtId="44" fontId="41" fillId="0" borderId="328" xfId="0" applyNumberFormat="1" applyFont="1" applyFill="1" applyBorder="1" applyAlignment="1" applyProtection="1">
      <alignment horizontal="right" vertical="center"/>
      <protection locked="0"/>
    </xf>
    <xf numFmtId="44" fontId="41" fillId="0" borderId="419" xfId="0" applyNumberFormat="1" applyFont="1" applyFill="1" applyBorder="1" applyAlignment="1" applyProtection="1">
      <alignment horizontal="right" vertical="center"/>
      <protection locked="0"/>
    </xf>
    <xf numFmtId="44" fontId="41" fillId="0" borderId="330" xfId="0" applyNumberFormat="1" applyFont="1" applyFill="1" applyBorder="1" applyAlignment="1" applyProtection="1">
      <alignment horizontal="right" vertical="center"/>
      <protection locked="0"/>
    </xf>
    <xf numFmtId="44" fontId="41" fillId="0" borderId="331" xfId="0" applyNumberFormat="1" applyFont="1" applyFill="1" applyBorder="1" applyAlignment="1" applyProtection="1">
      <alignment horizontal="right" vertical="center"/>
      <protection locked="0"/>
    </xf>
    <xf numFmtId="44" fontId="41" fillId="6" borderId="197" xfId="0" applyNumberFormat="1" applyFont="1" applyFill="1" applyBorder="1" applyAlignment="1" applyProtection="1">
      <alignment horizontal="right" vertical="center"/>
    </xf>
    <xf numFmtId="44" fontId="41" fillId="6" borderId="198" xfId="0" applyNumberFormat="1" applyFont="1" applyFill="1" applyBorder="1" applyAlignment="1" applyProtection="1">
      <alignment horizontal="right" vertical="center"/>
    </xf>
    <xf numFmtId="44" fontId="41" fillId="6" borderId="199" xfId="0" applyNumberFormat="1" applyFont="1" applyFill="1" applyBorder="1" applyAlignment="1" applyProtection="1">
      <alignment horizontal="right" vertical="center"/>
    </xf>
    <xf numFmtId="44" fontId="41" fillId="0" borderId="189" xfId="0" applyNumberFormat="1" applyFont="1" applyFill="1" applyBorder="1" applyAlignment="1" applyProtection="1">
      <alignment vertical="center"/>
      <protection locked="0"/>
    </xf>
    <xf numFmtId="44" fontId="41" fillId="0" borderId="179" xfId="0" applyNumberFormat="1" applyFont="1" applyFill="1" applyBorder="1" applyAlignment="1" applyProtection="1">
      <alignment vertical="center"/>
      <protection locked="0"/>
    </xf>
    <xf numFmtId="44" fontId="41" fillId="0" borderId="180" xfId="0" applyNumberFormat="1" applyFont="1" applyFill="1" applyBorder="1" applyAlignment="1" applyProtection="1">
      <alignment vertical="center"/>
      <protection locked="0"/>
    </xf>
    <xf numFmtId="44" fontId="43" fillId="6" borderId="181" xfId="0" applyNumberFormat="1" applyFont="1" applyFill="1" applyBorder="1" applyAlignment="1" applyProtection="1">
      <alignment vertical="center"/>
    </xf>
    <xf numFmtId="44" fontId="43" fillId="6" borderId="182" xfId="0" applyNumberFormat="1" applyFont="1" applyFill="1" applyBorder="1" applyAlignment="1" applyProtection="1">
      <alignment vertical="center"/>
    </xf>
    <xf numFmtId="44" fontId="43" fillId="6" borderId="183" xfId="0" applyNumberFormat="1" applyFont="1" applyFill="1" applyBorder="1" applyAlignment="1" applyProtection="1">
      <alignment vertical="center"/>
    </xf>
    <xf numFmtId="44" fontId="64" fillId="6" borderId="332" xfId="0" applyNumberFormat="1" applyFont="1" applyFill="1" applyBorder="1" applyAlignment="1" applyProtection="1">
      <alignment vertical="center"/>
    </xf>
    <xf numFmtId="44" fontId="64" fillId="6" borderId="293" xfId="0" applyNumberFormat="1" applyFont="1" applyFill="1" applyBorder="1" applyAlignment="1" applyProtection="1">
      <alignment vertical="center"/>
    </xf>
    <xf numFmtId="44" fontId="64" fillId="6" borderId="333" xfId="0" applyNumberFormat="1" applyFont="1" applyFill="1" applyBorder="1" applyAlignment="1" applyProtection="1">
      <alignment vertical="center"/>
    </xf>
    <xf numFmtId="44" fontId="64" fillId="6" borderId="334" xfId="0" applyNumberFormat="1" applyFont="1" applyFill="1" applyBorder="1" applyAlignment="1" applyProtection="1">
      <alignment vertical="center"/>
    </xf>
    <xf numFmtId="44" fontId="64" fillId="6" borderId="335" xfId="0" applyNumberFormat="1" applyFont="1" applyFill="1" applyBorder="1" applyAlignment="1" applyProtection="1">
      <alignment vertical="center"/>
    </xf>
    <xf numFmtId="44" fontId="64" fillId="6" borderId="336" xfId="0" applyNumberFormat="1" applyFont="1" applyFill="1" applyBorder="1" applyAlignment="1" applyProtection="1">
      <alignment vertical="center"/>
    </xf>
    <xf numFmtId="44" fontId="43" fillId="6" borderId="170" xfId="0" applyNumberFormat="1" applyFont="1" applyFill="1" applyBorder="1" applyAlignment="1" applyProtection="1">
      <alignment vertical="center"/>
    </xf>
    <xf numFmtId="44" fontId="43" fillId="6" borderId="171" xfId="0" applyNumberFormat="1" applyFont="1" applyFill="1" applyBorder="1" applyAlignment="1" applyProtection="1">
      <alignment vertical="center"/>
    </xf>
    <xf numFmtId="44" fontId="43" fillId="6" borderId="172" xfId="0" applyNumberFormat="1" applyFont="1" applyFill="1" applyBorder="1" applyAlignment="1" applyProtection="1">
      <alignment vertical="center"/>
    </xf>
    <xf numFmtId="44" fontId="43" fillId="6" borderId="187" xfId="0" applyNumberFormat="1" applyFont="1" applyFill="1" applyBorder="1" applyAlignment="1" applyProtection="1">
      <alignment vertical="center"/>
    </xf>
    <xf numFmtId="44" fontId="43" fillId="6" borderId="188" xfId="0" applyNumberFormat="1" applyFont="1" applyFill="1" applyBorder="1" applyAlignment="1" applyProtection="1">
      <alignment vertical="center"/>
    </xf>
    <xf numFmtId="44" fontId="43" fillId="6" borderId="145" xfId="0" applyNumberFormat="1" applyFont="1" applyFill="1" applyBorder="1" applyAlignment="1" applyProtection="1">
      <alignment vertical="center"/>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0" borderId="341" xfId="0" applyNumberFormat="1" applyFont="1" applyFill="1" applyBorder="1" applyAlignment="1" applyProtection="1">
      <alignment vertical="center"/>
      <protection locked="0"/>
    </xf>
    <xf numFmtId="44" fontId="41" fillId="0" borderId="344"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horizontal="right" vertical="center"/>
      <protection locked="0"/>
    </xf>
    <xf numFmtId="44" fontId="41" fillId="0" borderId="323" xfId="0" applyNumberFormat="1" applyFont="1" applyFill="1" applyBorder="1" applyAlignment="1" applyProtection="1">
      <alignment vertical="center"/>
      <protection locked="0"/>
    </xf>
    <xf numFmtId="44" fontId="41" fillId="0" borderId="351"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vertical="center"/>
      <protection locked="0"/>
    </xf>
    <xf numFmtId="44" fontId="41" fillId="6" borderId="354" xfId="0" applyNumberFormat="1" applyFont="1" applyFill="1" applyBorder="1" applyAlignment="1" applyProtection="1">
      <alignment horizontal="right" vertical="center"/>
    </xf>
    <xf numFmtId="44" fontId="41" fillId="6" borderId="355" xfId="0" applyNumberFormat="1" applyFont="1" applyFill="1" applyBorder="1" applyAlignment="1" applyProtection="1">
      <alignment horizontal="right" vertical="center"/>
    </xf>
    <xf numFmtId="44" fontId="41" fillId="6" borderId="356" xfId="0" applyNumberFormat="1" applyFont="1" applyFill="1" applyBorder="1" applyAlignment="1" applyProtection="1">
      <alignment horizontal="right" vertical="center"/>
    </xf>
    <xf numFmtId="44" fontId="41" fillId="6" borderId="357" xfId="0" applyNumberFormat="1" applyFont="1" applyFill="1" applyBorder="1" applyAlignment="1" applyProtection="1">
      <alignment horizontal="right" vertical="center"/>
    </xf>
    <xf numFmtId="44" fontId="41" fillId="6" borderId="358" xfId="0" applyNumberFormat="1" applyFont="1" applyFill="1" applyBorder="1" applyAlignment="1" applyProtection="1">
      <alignment horizontal="right" vertical="center"/>
    </xf>
    <xf numFmtId="44" fontId="41" fillId="6" borderId="353" xfId="0" applyNumberFormat="1" applyFont="1" applyFill="1" applyBorder="1" applyAlignment="1" applyProtection="1">
      <alignment horizontal="right" vertical="center"/>
    </xf>
    <xf numFmtId="44" fontId="41" fillId="0" borderId="271" xfId="0" applyNumberFormat="1" applyFont="1" applyFill="1" applyBorder="1" applyAlignment="1" applyProtection="1">
      <alignment vertical="center"/>
      <protection locked="0"/>
    </xf>
    <xf numFmtId="44" fontId="41" fillId="0" borderId="274" xfId="0" applyNumberFormat="1" applyFont="1" applyFill="1" applyBorder="1" applyAlignment="1" applyProtection="1">
      <alignment vertical="center"/>
      <protection locked="0"/>
    </xf>
    <xf numFmtId="44" fontId="41" fillId="0" borderId="359" xfId="0" applyNumberFormat="1" applyFont="1" applyFill="1" applyBorder="1" applyAlignment="1" applyProtection="1">
      <alignment horizontal="right" vertical="center"/>
      <protection locked="0"/>
    </xf>
    <xf numFmtId="44" fontId="41" fillId="0" borderId="360"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vertical="center"/>
      <protection locked="0"/>
    </xf>
    <xf numFmtId="44" fontId="41" fillId="6" borderId="173" xfId="0" applyNumberFormat="1" applyFont="1" applyFill="1" applyBorder="1" applyAlignment="1" applyProtection="1">
      <alignment horizontal="right" vertical="center"/>
    </xf>
    <xf numFmtId="44" fontId="41" fillId="6" borderId="174" xfId="0" applyNumberFormat="1" applyFont="1" applyFill="1" applyBorder="1" applyAlignment="1" applyProtection="1">
      <alignment horizontal="right" vertical="center"/>
    </xf>
    <xf numFmtId="44" fontId="41" fillId="6" borderId="196" xfId="0" applyNumberFormat="1" applyFont="1" applyFill="1" applyBorder="1" applyAlignment="1" applyProtection="1">
      <alignment horizontal="right" vertical="center"/>
    </xf>
    <xf numFmtId="44" fontId="41" fillId="6" borderId="362" xfId="0" applyNumberFormat="1" applyFont="1" applyFill="1" applyBorder="1" applyProtection="1"/>
    <xf numFmtId="44" fontId="41" fillId="6" borderId="292" xfId="0" applyNumberFormat="1" applyFont="1" applyFill="1" applyBorder="1" applyProtection="1"/>
    <xf numFmtId="44" fontId="41" fillId="6" borderId="363" xfId="0" applyNumberFormat="1" applyFont="1" applyFill="1" applyBorder="1" applyProtection="1"/>
    <xf numFmtId="43" fontId="41" fillId="6" borderId="321" xfId="0" applyNumberFormat="1" applyFont="1" applyFill="1" applyBorder="1" applyAlignment="1" applyProtection="1">
      <alignment horizontal="right" vertical="center"/>
    </xf>
    <xf numFmtId="43" fontId="41" fillId="6" borderId="322" xfId="0" applyNumberFormat="1" applyFont="1" applyFill="1" applyBorder="1" applyAlignment="1" applyProtection="1">
      <alignment horizontal="right" vertical="center"/>
    </xf>
    <xf numFmtId="43" fontId="41" fillId="6" borderId="323" xfId="0" applyNumberFormat="1" applyFont="1" applyFill="1" applyBorder="1" applyAlignment="1" applyProtection="1">
      <alignment horizontal="right" vertical="center"/>
    </xf>
    <xf numFmtId="43" fontId="41" fillId="6" borderId="361" xfId="0" applyNumberFormat="1" applyFont="1" applyFill="1" applyBorder="1" applyAlignment="1" applyProtection="1">
      <alignment horizontal="right" vertical="center"/>
    </xf>
    <xf numFmtId="43" fontId="41" fillId="6" borderId="278" xfId="0" applyNumberFormat="1" applyFont="1" applyFill="1" applyBorder="1" applyAlignment="1" applyProtection="1">
      <alignment horizontal="right" vertical="center"/>
    </xf>
    <xf numFmtId="43" fontId="41" fillId="6" borderId="271" xfId="0" applyNumberFormat="1" applyFont="1" applyFill="1" applyBorder="1" applyAlignment="1" applyProtection="1">
      <alignment horizontal="right" vertical="center"/>
    </xf>
    <xf numFmtId="44" fontId="41" fillId="0" borderId="365" xfId="0" applyNumberFormat="1" applyFont="1" applyFill="1" applyBorder="1" applyAlignment="1" applyProtection="1">
      <alignment vertical="center"/>
      <protection locked="0"/>
    </xf>
    <xf numFmtId="44" fontId="41" fillId="0" borderId="366" xfId="0" applyNumberFormat="1" applyFont="1" applyFill="1" applyBorder="1" applyAlignment="1" applyProtection="1">
      <alignment vertical="center"/>
      <protection locked="0"/>
    </xf>
    <xf numFmtId="44" fontId="41" fillId="0" borderId="367"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vertical="center"/>
      <protection locked="0"/>
    </xf>
    <xf numFmtId="44" fontId="41" fillId="0" borderId="369" xfId="0" applyNumberFormat="1" applyFont="1" applyFill="1" applyBorder="1" applyAlignment="1" applyProtection="1">
      <alignment vertical="center"/>
      <protection locked="0"/>
    </xf>
    <xf numFmtId="44" fontId="41" fillId="0" borderId="371" xfId="0" applyNumberFormat="1" applyFont="1" applyFill="1" applyBorder="1" applyAlignment="1" applyProtection="1">
      <alignment vertical="center"/>
      <protection locked="0"/>
    </xf>
    <xf numFmtId="44" fontId="41" fillId="0" borderId="372" xfId="0" applyNumberFormat="1" applyFont="1" applyFill="1" applyBorder="1" applyAlignment="1" applyProtection="1">
      <alignment vertical="center"/>
      <protection locked="0"/>
    </xf>
    <xf numFmtId="44" fontId="41" fillId="0" borderId="373" xfId="0" applyNumberFormat="1" applyFont="1" applyFill="1" applyBorder="1" applyAlignment="1" applyProtection="1">
      <alignment vertical="center"/>
      <protection locked="0"/>
    </xf>
    <xf numFmtId="44" fontId="41" fillId="0" borderId="318" xfId="0" applyNumberFormat="1" applyFont="1" applyFill="1" applyBorder="1" applyAlignment="1" applyProtection="1">
      <alignment horizontal="right" vertical="center"/>
      <protection locked="0"/>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29" xfId="0" applyNumberFormat="1" applyFont="1" applyFill="1" applyBorder="1" applyAlignment="1" applyProtection="1">
      <alignment horizontal="right" vertical="center"/>
      <protection locked="0"/>
    </xf>
    <xf numFmtId="44" fontId="41" fillId="6" borderId="181" xfId="0" applyNumberFormat="1" applyFont="1" applyFill="1" applyBorder="1" applyAlignment="1" applyProtection="1">
      <alignment horizontal="right" vertical="center"/>
    </xf>
    <xf numFmtId="44" fontId="41" fillId="0" borderId="203" xfId="0" applyNumberFormat="1" applyFont="1" applyFill="1" applyBorder="1" applyAlignment="1" applyProtection="1">
      <alignment vertical="center"/>
      <protection locked="0"/>
    </xf>
    <xf numFmtId="44" fontId="41" fillId="0" borderId="183" xfId="0" applyNumberFormat="1" applyFont="1" applyFill="1" applyBorder="1" applyAlignment="1" applyProtection="1">
      <alignment horizontal="right" vertical="center"/>
      <protection locked="0"/>
    </xf>
    <xf numFmtId="44" fontId="41" fillId="0" borderId="189" xfId="0" applyNumberFormat="1" applyFont="1" applyFill="1" applyBorder="1" applyAlignment="1" applyProtection="1">
      <alignment horizontal="right" vertical="center"/>
      <protection locked="0"/>
    </xf>
    <xf numFmtId="44" fontId="41" fillId="0" borderId="179" xfId="0" applyNumberFormat="1" applyFont="1" applyFill="1" applyBorder="1" applyAlignment="1" applyProtection="1">
      <alignment horizontal="right" vertical="center"/>
      <protection locked="0"/>
    </xf>
    <xf numFmtId="44" fontId="41" fillId="0" borderId="180" xfId="0" applyNumberFormat="1" applyFont="1" applyFill="1" applyBorder="1" applyAlignment="1" applyProtection="1">
      <alignment horizontal="right" vertical="center"/>
      <protection locked="0"/>
    </xf>
    <xf numFmtId="44" fontId="41" fillId="6" borderId="184" xfId="0" applyNumberFormat="1" applyFont="1" applyFill="1" applyBorder="1" applyAlignment="1" applyProtection="1">
      <alignment horizontal="right" vertical="center"/>
    </xf>
    <xf numFmtId="44" fontId="41" fillId="6" borderId="185" xfId="0" applyNumberFormat="1" applyFont="1" applyFill="1" applyBorder="1" applyAlignment="1" applyProtection="1">
      <alignment horizontal="right" vertical="center"/>
    </xf>
    <xf numFmtId="44" fontId="41" fillId="6" borderId="186" xfId="0" applyNumberFormat="1" applyFont="1" applyFill="1" applyBorder="1" applyAlignment="1" applyProtection="1">
      <alignment horizontal="right" vertical="center"/>
    </xf>
    <xf numFmtId="0" fontId="41" fillId="0" borderId="0" xfId="0" applyFont="1" applyFill="1" applyBorder="1" applyProtection="1"/>
    <xf numFmtId="0" fontId="38" fillId="0" borderId="212" xfId="0" applyFont="1" applyFill="1" applyBorder="1" applyAlignment="1" applyProtection="1">
      <alignment horizontal="right" vertical="center"/>
    </xf>
    <xf numFmtId="0" fontId="38" fillId="0" borderId="193"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3" xfId="0" applyFont="1" applyFill="1" applyBorder="1" applyAlignment="1" applyProtection="1"/>
    <xf numFmtId="0" fontId="16" fillId="5" borderId="0" xfId="0" applyFont="1" applyFill="1" applyBorder="1" applyAlignment="1" applyProtection="1">
      <alignment vertical="top"/>
    </xf>
    <xf numFmtId="0" fontId="16" fillId="0" borderId="20" xfId="0" applyFont="1" applyFill="1" applyBorder="1" applyProtection="1"/>
    <xf numFmtId="0" fontId="16" fillId="0" borderId="25" xfId="0" applyFont="1" applyFill="1" applyBorder="1" applyProtection="1"/>
    <xf numFmtId="0" fontId="16" fillId="0" borderId="21" xfId="0" applyFont="1" applyFill="1" applyBorder="1" applyProtection="1"/>
    <xf numFmtId="0" fontId="16" fillId="5" borderId="206" xfId="0" applyFont="1" applyFill="1" applyBorder="1" applyAlignment="1" applyProtection="1">
      <alignment horizontal="center" vertical="center"/>
      <protection locked="0"/>
    </xf>
    <xf numFmtId="0" fontId="0" fillId="0" borderId="74" xfId="0" applyFill="1" applyBorder="1" applyProtection="1"/>
    <xf numFmtId="0" fontId="0" fillId="0" borderId="75" xfId="0" applyFill="1" applyBorder="1" applyProtection="1"/>
    <xf numFmtId="0" fontId="0" fillId="0" borderId="4" xfId="0" applyFill="1" applyBorder="1" applyProtection="1"/>
    <xf numFmtId="0" fontId="70" fillId="0" borderId="225" xfId="0" applyFont="1" applyBorder="1" applyAlignment="1">
      <alignment horizontal="center"/>
    </xf>
    <xf numFmtId="0" fontId="71" fillId="0" borderId="4" xfId="0" applyFont="1" applyBorder="1" applyAlignment="1">
      <alignment vertical="center"/>
    </xf>
    <xf numFmtId="10" fontId="54" fillId="0" borderId="412" xfId="0" applyNumberFormat="1" applyFont="1" applyFill="1" applyBorder="1" applyProtection="1">
      <protection locked="0"/>
    </xf>
    <xf numFmtId="42" fontId="16" fillId="0" borderId="404" xfId="0" applyNumberFormat="1" applyFont="1" applyFill="1" applyBorder="1" applyAlignment="1" applyProtection="1">
      <protection locked="0"/>
    </xf>
    <xf numFmtId="42" fontId="16" fillId="0" borderId="390" xfId="0" applyNumberFormat="1" applyFont="1" applyFill="1" applyBorder="1" applyAlignment="1" applyProtection="1">
      <protection locked="0"/>
    </xf>
    <xf numFmtId="42" fontId="16" fillId="0" borderId="434" xfId="0" applyNumberFormat="1" applyFont="1" applyFill="1" applyBorder="1" applyAlignment="1" applyProtection="1">
      <protection locked="0"/>
    </xf>
    <xf numFmtId="42" fontId="16" fillId="0" borderId="432" xfId="0" applyNumberFormat="1" applyFont="1" applyFill="1" applyBorder="1" applyAlignment="1" applyProtection="1">
      <protection locked="0"/>
    </xf>
    <xf numFmtId="42" fontId="16" fillId="6" borderId="53" xfId="0" applyNumberFormat="1" applyFont="1" applyFill="1" applyBorder="1" applyAlignment="1" applyProtection="1"/>
    <xf numFmtId="42" fontId="20" fillId="6" borderId="83" xfId="0" applyNumberFormat="1" applyFont="1" applyFill="1" applyBorder="1" applyAlignment="1" applyProtection="1"/>
    <xf numFmtId="42" fontId="16" fillId="6" borderId="17" xfId="0" applyNumberFormat="1" applyFont="1" applyFill="1" applyBorder="1" applyAlignment="1" applyProtection="1"/>
    <xf numFmtId="42" fontId="16" fillId="6" borderId="83" xfId="0" applyNumberFormat="1" applyFont="1" applyFill="1" applyBorder="1" applyAlignment="1" applyProtection="1"/>
    <xf numFmtId="42" fontId="16" fillId="0" borderId="377" xfId="0" applyNumberFormat="1" applyFont="1" applyFill="1" applyBorder="1" applyAlignment="1" applyProtection="1">
      <alignment horizontal="right" wrapText="1"/>
      <protection locked="0"/>
    </xf>
    <xf numFmtId="42" fontId="16" fillId="0" borderId="322" xfId="0" applyNumberFormat="1" applyFont="1" applyFill="1" applyBorder="1" applyAlignment="1" applyProtection="1">
      <alignment horizontal="right" wrapText="1"/>
      <protection locked="0"/>
    </xf>
    <xf numFmtId="42" fontId="16" fillId="0" borderId="322" xfId="0" applyNumberFormat="1" applyFont="1" applyFill="1" applyBorder="1" applyAlignment="1" applyProtection="1">
      <alignment horizontal="right"/>
      <protection locked="0"/>
    </xf>
    <xf numFmtId="42" fontId="16" fillId="0" borderId="428" xfId="0" applyNumberFormat="1" applyFont="1" applyFill="1" applyBorder="1" applyAlignment="1" applyProtection="1">
      <alignment horizontal="right"/>
      <protection locked="0"/>
    </xf>
    <xf numFmtId="42" fontId="17" fillId="6" borderId="83" xfId="0" applyNumberFormat="1" applyFont="1" applyFill="1" applyBorder="1" applyProtection="1"/>
    <xf numFmtId="42" fontId="16" fillId="0" borderId="379" xfId="0" applyNumberFormat="1" applyFont="1" applyFill="1" applyBorder="1" applyAlignment="1" applyProtection="1">
      <alignment horizontal="right"/>
      <protection locked="0"/>
    </xf>
    <xf numFmtId="42" fontId="16" fillId="0" borderId="377" xfId="0" applyNumberFormat="1" applyFont="1" applyFill="1" applyBorder="1" applyAlignment="1" applyProtection="1">
      <alignment horizontal="right"/>
      <protection locked="0"/>
    </xf>
    <xf numFmtId="42" fontId="16" fillId="0" borderId="341" xfId="0" applyNumberFormat="1" applyFont="1" applyFill="1" applyBorder="1" applyAlignment="1" applyProtection="1">
      <alignment horizontal="right"/>
      <protection locked="0"/>
    </xf>
    <xf numFmtId="42" fontId="16" fillId="0" borderId="321" xfId="0" applyNumberFormat="1" applyFont="1" applyFill="1" applyBorder="1" applyAlignment="1" applyProtection="1">
      <alignment horizontal="right"/>
      <protection locked="0"/>
    </xf>
    <xf numFmtId="42" fontId="16" fillId="0" borderId="323" xfId="0" applyNumberFormat="1" applyFont="1" applyFill="1" applyBorder="1" applyAlignment="1" applyProtection="1">
      <alignment horizontal="right"/>
      <protection locked="0"/>
    </xf>
    <xf numFmtId="42" fontId="16" fillId="0" borderId="431" xfId="0" applyNumberFormat="1" applyFont="1" applyFill="1" applyBorder="1" applyAlignment="1" applyProtection="1">
      <alignment horizontal="right"/>
      <protection locked="0"/>
    </xf>
    <xf numFmtId="42" fontId="16" fillId="0" borderId="378" xfId="0" applyNumberFormat="1" applyFont="1" applyFill="1" applyBorder="1" applyAlignment="1" applyProtection="1">
      <alignment horizontal="right"/>
      <protection locked="0"/>
    </xf>
    <xf numFmtId="42" fontId="17" fillId="6" borderId="23" xfId="0" applyNumberFormat="1" applyFont="1" applyFill="1" applyBorder="1" applyProtection="1"/>
    <xf numFmtId="42" fontId="17" fillId="6" borderId="16" xfId="0" applyNumberFormat="1" applyFont="1" applyFill="1" applyBorder="1" applyProtection="1"/>
    <xf numFmtId="42" fontId="17" fillId="6" borderId="22" xfId="0" applyNumberFormat="1" applyFont="1" applyFill="1" applyBorder="1" applyProtection="1"/>
    <xf numFmtId="42" fontId="16" fillId="0" borderId="386" xfId="0" applyNumberFormat="1" applyFont="1" applyFill="1" applyBorder="1" applyAlignment="1" applyProtection="1">
      <protection locked="0"/>
    </xf>
    <xf numFmtId="42" fontId="16" fillId="0" borderId="387" xfId="0" applyNumberFormat="1" applyFont="1" applyFill="1" applyBorder="1" applyAlignment="1" applyProtection="1">
      <protection locked="0"/>
    </xf>
    <xf numFmtId="42" fontId="16" fillId="0" borderId="388" xfId="0" applyNumberFormat="1" applyFont="1" applyFill="1" applyBorder="1" applyAlignment="1" applyProtection="1">
      <protection locked="0"/>
    </xf>
    <xf numFmtId="42" fontId="16" fillId="0" borderId="380" xfId="0" applyNumberFormat="1" applyFont="1" applyFill="1" applyBorder="1" applyAlignment="1" applyProtection="1">
      <alignment horizontal="right"/>
      <protection locked="0"/>
    </xf>
    <xf numFmtId="42" fontId="16" fillId="0" borderId="381" xfId="0" applyNumberFormat="1" applyFont="1" applyFill="1" applyBorder="1" applyAlignment="1" applyProtection="1">
      <alignment horizontal="right"/>
      <protection locked="0"/>
    </xf>
    <xf numFmtId="42" fontId="16" fillId="0" borderId="382" xfId="0" applyNumberFormat="1" applyFont="1" applyFill="1" applyBorder="1" applyAlignment="1" applyProtection="1">
      <alignment horizontal="right"/>
      <protection locked="0"/>
    </xf>
    <xf numFmtId="42" fontId="16" fillId="0" borderId="383" xfId="0" applyNumberFormat="1" applyFont="1" applyFill="1" applyBorder="1" applyAlignment="1" applyProtection="1">
      <alignment horizontal="right"/>
      <protection locked="0"/>
    </xf>
    <xf numFmtId="42" fontId="16" fillId="0" borderId="384"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7" fillId="6" borderId="83" xfId="0" applyNumberFormat="1" applyFont="1" applyFill="1" applyBorder="1" applyAlignment="1" applyProtection="1"/>
    <xf numFmtId="42" fontId="17" fillId="6" borderId="144" xfId="0" applyNumberFormat="1" applyFont="1" applyFill="1" applyBorder="1" applyAlignment="1" applyProtection="1">
      <alignment horizontal="right"/>
    </xf>
    <xf numFmtId="42" fontId="17" fillId="6" borderId="140" xfId="0" applyNumberFormat="1" applyFont="1" applyFill="1" applyBorder="1" applyAlignment="1" applyProtection="1">
      <alignment horizontal="right"/>
    </xf>
    <xf numFmtId="42" fontId="17" fillId="6" borderId="141"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57" xfId="0" applyNumberFormat="1" applyFont="1" applyFill="1" applyBorder="1" applyAlignment="1" applyProtection="1">
      <protection locked="0"/>
    </xf>
    <xf numFmtId="0" fontId="75" fillId="0" borderId="39" xfId="0" applyFont="1" applyBorder="1" applyProtection="1"/>
    <xf numFmtId="0" fontId="75" fillId="0" borderId="0" xfId="0" applyFont="1" applyBorder="1" applyProtection="1"/>
    <xf numFmtId="0" fontId="75" fillId="0" borderId="40" xfId="0" applyFont="1" applyBorder="1" applyProtection="1"/>
    <xf numFmtId="0" fontId="76" fillId="0" borderId="0" xfId="0" applyFont="1" applyProtection="1">
      <protection locked="0"/>
    </xf>
    <xf numFmtId="42" fontId="75" fillId="6" borderId="83" xfId="0" applyNumberFormat="1" applyFont="1" applyFill="1" applyBorder="1" applyProtection="1"/>
    <xf numFmtId="42" fontId="54" fillId="6" borderId="225" xfId="0" applyNumberFormat="1" applyFont="1" applyFill="1" applyBorder="1" applyProtection="1"/>
    <xf numFmtId="170" fontId="16" fillId="0" borderId="242" xfId="0" applyNumberFormat="1" applyFont="1" applyFill="1" applyBorder="1" applyAlignment="1" applyProtection="1">
      <protection locked="0"/>
    </xf>
    <xf numFmtId="171" fontId="16" fillId="0" borderId="265"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49" xfId="0" applyFont="1" applyBorder="1" applyAlignment="1" applyProtection="1">
      <alignment vertical="center"/>
      <protection locked="0"/>
    </xf>
    <xf numFmtId="0" fontId="3" fillId="0" borderId="436" xfId="0" applyFont="1" applyBorder="1" applyAlignment="1" applyProtection="1">
      <alignment vertical="center"/>
      <protection locked="0"/>
    </xf>
    <xf numFmtId="0" fontId="1" fillId="0" borderId="0" xfId="0" applyFont="1" applyFill="1" applyProtection="1"/>
    <xf numFmtId="0" fontId="1" fillId="0" borderId="27" xfId="0" applyFont="1" applyFill="1" applyBorder="1" applyProtection="1"/>
    <xf numFmtId="0" fontId="1" fillId="0" borderId="28" xfId="0" applyFont="1" applyFill="1" applyBorder="1" applyProtection="1"/>
    <xf numFmtId="0" fontId="1" fillId="0" borderId="29" xfId="0" applyFont="1" applyFill="1" applyBorder="1" applyProtection="1"/>
    <xf numFmtId="0" fontId="1" fillId="0" borderId="30" xfId="0" applyFont="1" applyFill="1" applyBorder="1" applyProtection="1"/>
    <xf numFmtId="0" fontId="1" fillId="0" borderId="31"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1" xfId="0" applyFont="1" applyFill="1" applyBorder="1" applyAlignment="1" applyProtection="1">
      <alignment horizontal="center" wrapText="1"/>
    </xf>
    <xf numFmtId="0" fontId="20" fillId="16" borderId="226" xfId="0" applyFont="1" applyFill="1" applyBorder="1" applyAlignment="1" applyProtection="1">
      <alignment horizontal="left" wrapText="1"/>
    </xf>
    <xf numFmtId="0" fontId="20" fillId="16" borderId="226" xfId="0" applyFont="1" applyFill="1" applyBorder="1" applyAlignment="1" applyProtection="1">
      <alignment horizontal="center" wrapText="1"/>
    </xf>
    <xf numFmtId="0" fontId="40" fillId="16" borderId="226" xfId="0" applyFont="1" applyFill="1" applyBorder="1" applyProtection="1"/>
    <xf numFmtId="0" fontId="2" fillId="16" borderId="52" xfId="0" applyFont="1" applyFill="1" applyBorder="1" applyAlignment="1" applyProtection="1">
      <alignment horizontal="left"/>
    </xf>
    <xf numFmtId="0" fontId="0" fillId="0" borderId="459" xfId="0" applyFont="1" applyFill="1" applyBorder="1" applyAlignment="1" applyProtection="1">
      <alignment horizontal="center"/>
    </xf>
    <xf numFmtId="0" fontId="0" fillId="0" borderId="463" xfId="0" applyFont="1" applyFill="1" applyBorder="1" applyProtection="1"/>
    <xf numFmtId="0" fontId="16" fillId="0" borderId="464" xfId="0" applyFont="1" applyFill="1" applyBorder="1" applyAlignment="1" applyProtection="1">
      <alignment horizontal="center" vertical="top" wrapText="1"/>
      <protection locked="0"/>
    </xf>
    <xf numFmtId="0" fontId="0" fillId="0" borderId="465" xfId="0" applyFont="1" applyFill="1" applyBorder="1" applyAlignment="1" applyProtection="1">
      <alignment horizontal="center"/>
    </xf>
    <xf numFmtId="0" fontId="0" fillId="0" borderId="469" xfId="0" applyFont="1" applyFill="1" applyBorder="1" applyProtection="1"/>
    <xf numFmtId="0" fontId="1" fillId="0" borderId="470" xfId="0" applyFont="1" applyFill="1" applyBorder="1" applyAlignment="1" applyProtection="1">
      <alignment horizontal="center"/>
    </xf>
    <xf numFmtId="0" fontId="0" fillId="0" borderId="471" xfId="0" applyFont="1" applyFill="1" applyBorder="1" applyProtection="1"/>
    <xf numFmtId="0" fontId="0" fillId="0" borderId="470" xfId="0" applyFont="1" applyFill="1" applyBorder="1" applyAlignment="1" applyProtection="1">
      <alignment horizontal="center"/>
    </xf>
    <xf numFmtId="0" fontId="1" fillId="8" borderId="51" xfId="0" applyFont="1" applyFill="1" applyBorder="1" applyAlignment="1" applyProtection="1">
      <alignment horizontal="center"/>
    </xf>
    <xf numFmtId="0" fontId="1" fillId="8" borderId="226" xfId="0" applyFont="1" applyFill="1" applyBorder="1" applyProtection="1"/>
    <xf numFmtId="0" fontId="1" fillId="8" borderId="226" xfId="0" applyFont="1" applyFill="1" applyBorder="1" applyAlignment="1" applyProtection="1">
      <alignment horizontal="center"/>
    </xf>
    <xf numFmtId="0" fontId="1" fillId="16" borderId="52" xfId="0" applyFont="1" applyFill="1" applyBorder="1" applyAlignment="1" applyProtection="1">
      <alignment horizontal="right"/>
    </xf>
    <xf numFmtId="0" fontId="1" fillId="6" borderId="225" xfId="0" applyFont="1" applyFill="1" applyBorder="1" applyProtection="1"/>
    <xf numFmtId="0" fontId="1" fillId="0" borderId="18" xfId="0" applyFont="1" applyFill="1" applyBorder="1" applyAlignment="1" applyProtection="1">
      <alignment horizontal="center"/>
    </xf>
    <xf numFmtId="0" fontId="0" fillId="0" borderId="0" xfId="0" applyFill="1" applyBorder="1" applyProtection="1"/>
    <xf numFmtId="0" fontId="1" fillId="0" borderId="18" xfId="0" applyFont="1" applyFill="1" applyBorder="1" applyProtection="1"/>
    <xf numFmtId="0" fontId="20" fillId="0" borderId="0" xfId="0" applyFont="1" applyFill="1" applyBorder="1" applyAlignment="1" applyProtection="1">
      <alignment horizontal="left"/>
    </xf>
    <xf numFmtId="0" fontId="1" fillId="0" borderId="24" xfId="0" applyFont="1" applyFill="1" applyBorder="1" applyAlignment="1" applyProtection="1">
      <alignment horizontal="center"/>
    </xf>
    <xf numFmtId="0" fontId="1" fillId="0" borderId="478" xfId="0" applyFont="1" applyFill="1" applyBorder="1" applyAlignment="1" applyProtection="1">
      <alignment horizontal="center"/>
    </xf>
    <xf numFmtId="0" fontId="0" fillId="0" borderId="479" xfId="0" applyFont="1" applyFill="1" applyBorder="1" applyProtection="1"/>
    <xf numFmtId="0" fontId="49" fillId="0" borderId="31" xfId="0" applyFont="1" applyFill="1" applyBorder="1" applyProtection="1"/>
    <xf numFmtId="0" fontId="0" fillId="0" borderId="478" xfId="0" applyFont="1" applyFill="1" applyBorder="1" applyAlignment="1" applyProtection="1">
      <alignment horizontal="center"/>
    </xf>
    <xf numFmtId="0" fontId="1" fillId="0" borderId="30" xfId="0" applyFont="1" applyFill="1" applyBorder="1" applyAlignment="1" applyProtection="1"/>
    <xf numFmtId="0" fontId="1" fillId="0" borderId="31" xfId="0" applyFont="1" applyFill="1" applyBorder="1" applyAlignment="1" applyProtection="1"/>
    <xf numFmtId="0" fontId="0" fillId="0" borderId="478" xfId="0" quotePrefix="1" applyFont="1" applyFill="1" applyBorder="1" applyAlignment="1" applyProtection="1">
      <alignment horizontal="center"/>
    </xf>
    <xf numFmtId="0" fontId="1" fillId="0" borderId="24" xfId="0" applyNumberFormat="1" applyFont="1" applyFill="1" applyBorder="1" applyAlignment="1" applyProtection="1">
      <alignment horizontal="center"/>
    </xf>
    <xf numFmtId="0" fontId="0" fillId="0" borderId="485" xfId="0" applyFont="1" applyFill="1" applyBorder="1" applyProtection="1"/>
    <xf numFmtId="0" fontId="1" fillId="0" borderId="478" xfId="0" applyNumberFormat="1" applyFont="1" applyFill="1" applyBorder="1" applyAlignment="1" applyProtection="1">
      <alignment horizontal="center"/>
    </xf>
    <xf numFmtId="0" fontId="0" fillId="0" borderId="486" xfId="0" applyFont="1" applyFill="1" applyBorder="1" applyProtection="1"/>
    <xf numFmtId="0" fontId="20" fillId="29" borderId="51" xfId="0" applyFont="1" applyFill="1" applyBorder="1" applyAlignment="1" applyProtection="1">
      <alignment horizontal="center" wrapText="1"/>
    </xf>
    <xf numFmtId="0" fontId="20" fillId="29" borderId="226" xfId="0" applyFont="1" applyFill="1" applyBorder="1" applyAlignment="1" applyProtection="1">
      <alignment horizontal="left" wrapText="1"/>
    </xf>
    <xf numFmtId="0" fontId="20" fillId="29" borderId="226" xfId="0" applyFont="1" applyFill="1" applyBorder="1" applyAlignment="1" applyProtection="1">
      <alignment horizontal="center" wrapText="1"/>
    </xf>
    <xf numFmtId="0" fontId="40" fillId="29" borderId="226" xfId="0" applyFont="1" applyFill="1" applyBorder="1" applyProtection="1"/>
    <xf numFmtId="0" fontId="2" fillId="29" borderId="52" xfId="0" applyFont="1" applyFill="1" applyBorder="1" applyAlignment="1" applyProtection="1">
      <alignment horizontal="left"/>
    </xf>
    <xf numFmtId="0" fontId="0" fillId="0" borderId="487" xfId="0" applyFont="1" applyFill="1" applyBorder="1" applyAlignment="1" applyProtection="1">
      <alignment horizontal="center"/>
    </xf>
    <xf numFmtId="0" fontId="0" fillId="0" borderId="461" xfId="0" applyFont="1" applyFill="1" applyBorder="1" applyProtection="1"/>
    <xf numFmtId="0" fontId="0" fillId="0" borderId="489" xfId="0" applyFont="1" applyFill="1" applyBorder="1" applyAlignment="1" applyProtection="1">
      <alignment horizontal="center"/>
    </xf>
    <xf numFmtId="16" fontId="0" fillId="0" borderId="490" xfId="0" applyNumberFormat="1" applyFont="1" applyFill="1" applyBorder="1" applyProtection="1"/>
    <xf numFmtId="0" fontId="0" fillId="0" borderId="467" xfId="0" applyFont="1" applyFill="1" applyBorder="1" applyProtection="1"/>
    <xf numFmtId="0" fontId="1" fillId="0" borderId="491" xfId="0" applyNumberFormat="1" applyFont="1" applyFill="1" applyBorder="1" applyAlignment="1" applyProtection="1">
      <alignment horizontal="center"/>
    </xf>
    <xf numFmtId="0" fontId="0" fillId="0" borderId="494" xfId="0" applyFont="1" applyFill="1" applyBorder="1" applyProtection="1"/>
    <xf numFmtId="0" fontId="1" fillId="0" borderId="496" xfId="0" applyFont="1" applyFill="1" applyBorder="1" applyAlignment="1" applyProtection="1">
      <alignment horizontal="center"/>
    </xf>
    <xf numFmtId="16" fontId="0" fillId="0" borderId="473" xfId="0" applyNumberFormat="1" applyFont="1" applyFill="1" applyBorder="1" applyProtection="1"/>
    <xf numFmtId="16" fontId="1" fillId="0" borderId="473" xfId="0" applyNumberFormat="1" applyFont="1" applyFill="1" applyBorder="1" applyProtection="1"/>
    <xf numFmtId="0" fontId="0" fillId="0" borderId="497" xfId="0" applyFont="1" applyFill="1" applyBorder="1" applyProtection="1"/>
    <xf numFmtId="0" fontId="2" fillId="0" borderId="30" xfId="0" applyFont="1" applyFill="1" applyBorder="1" applyProtection="1"/>
    <xf numFmtId="0" fontId="2" fillId="0" borderId="32" xfId="0" applyFont="1" applyFill="1" applyBorder="1" applyProtection="1"/>
    <xf numFmtId="0" fontId="2" fillId="0" borderId="33" xfId="0" applyFont="1" applyFill="1" applyBorder="1" applyProtection="1"/>
    <xf numFmtId="0" fontId="1" fillId="0" borderId="498" xfId="0" applyFont="1" applyFill="1" applyBorder="1" applyAlignment="1" applyProtection="1">
      <alignment horizontal="center"/>
    </xf>
    <xf numFmtId="0" fontId="1" fillId="0" borderId="498" xfId="0" applyFont="1" applyFill="1" applyBorder="1" applyProtection="1"/>
    <xf numFmtId="0" fontId="0" fillId="0" borderId="33" xfId="0" applyFill="1" applyBorder="1" applyProtection="1"/>
    <xf numFmtId="0" fontId="1" fillId="0" borderId="33" xfId="0" applyFont="1" applyFill="1" applyBorder="1" applyProtection="1"/>
    <xf numFmtId="0" fontId="1" fillId="0" borderId="34" xfId="0" applyFont="1" applyFill="1" applyBorder="1" applyProtection="1"/>
    <xf numFmtId="0" fontId="2" fillId="0" borderId="27" xfId="0" applyFont="1" applyFill="1" applyBorder="1" applyProtection="1"/>
    <xf numFmtId="0" fontId="2" fillId="0" borderId="28" xfId="0" applyFont="1" applyFill="1" applyBorder="1" applyProtection="1"/>
    <xf numFmtId="0" fontId="1" fillId="0" borderId="28" xfId="0" applyFont="1" applyFill="1" applyBorder="1" applyAlignment="1" applyProtection="1">
      <alignment horizontal="center"/>
    </xf>
    <xf numFmtId="0" fontId="0" fillId="0" borderId="28" xfId="0" applyFill="1" applyBorder="1" applyProtection="1"/>
    <xf numFmtId="0" fontId="2" fillId="0" borderId="0" xfId="0" applyFont="1" applyFill="1" applyBorder="1" applyAlignment="1" applyProtection="1">
      <alignment horizontal="left"/>
    </xf>
    <xf numFmtId="0" fontId="0" fillId="0" borderId="499" xfId="0" applyFont="1" applyFill="1" applyBorder="1" applyAlignment="1" applyProtection="1">
      <alignment horizontal="center"/>
    </xf>
    <xf numFmtId="0" fontId="0" fillId="0" borderId="502" xfId="0" applyFont="1" applyFill="1" applyBorder="1" applyAlignment="1" applyProtection="1">
      <alignment horizontal="center"/>
    </xf>
    <xf numFmtId="0" fontId="0" fillId="0" borderId="492" xfId="0" applyFont="1" applyFill="1" applyBorder="1" applyProtection="1"/>
    <xf numFmtId="0" fontId="1" fillId="0" borderId="502" xfId="0" applyNumberFormat="1" applyFont="1" applyFill="1" applyBorder="1" applyAlignment="1" applyProtection="1">
      <alignment horizontal="center"/>
    </xf>
    <xf numFmtId="0" fontId="0" fillId="0" borderId="502" xfId="0" quotePrefix="1" applyNumberFormat="1" applyFont="1" applyFill="1" applyBorder="1" applyAlignment="1" applyProtection="1">
      <alignment horizontal="center"/>
    </xf>
    <xf numFmtId="0" fontId="1" fillId="0" borderId="502" xfId="0" applyFont="1" applyFill="1" applyBorder="1" applyAlignment="1" applyProtection="1">
      <alignment horizontal="center"/>
    </xf>
    <xf numFmtId="0" fontId="1" fillId="0" borderId="504" xfId="0" applyFont="1" applyFill="1" applyBorder="1" applyAlignment="1" applyProtection="1">
      <alignment horizontal="center"/>
    </xf>
    <xf numFmtId="0" fontId="1" fillId="0" borderId="499" xfId="0" applyNumberFormat="1" applyFont="1" applyFill="1" applyBorder="1" applyAlignment="1" applyProtection="1">
      <alignment horizontal="center"/>
    </xf>
    <xf numFmtId="0" fontId="0" fillId="0" borderId="507" xfId="0" applyFont="1" applyFill="1" applyBorder="1" applyProtection="1"/>
    <xf numFmtId="0" fontId="0" fillId="0" borderId="508" xfId="0" applyFont="1" applyFill="1" applyBorder="1" applyProtection="1"/>
    <xf numFmtId="0" fontId="1" fillId="0" borderId="30" xfId="0" applyFont="1" applyFill="1" applyBorder="1" applyAlignment="1" applyProtection="1">
      <alignment vertical="top"/>
    </xf>
    <xf numFmtId="0" fontId="1" fillId="0" borderId="0" xfId="0" applyFont="1" applyFill="1" applyBorder="1" applyAlignment="1" applyProtection="1">
      <alignment vertical="top"/>
    </xf>
    <xf numFmtId="0" fontId="1" fillId="0" borderId="502" xfId="0" applyFont="1" applyFill="1" applyBorder="1" applyAlignment="1" applyProtection="1">
      <alignment horizontal="center" vertical="top"/>
    </xf>
    <xf numFmtId="0" fontId="1" fillId="0" borderId="31" xfId="0" applyFont="1" applyFill="1" applyBorder="1" applyAlignment="1" applyProtection="1">
      <alignment vertical="top"/>
    </xf>
    <xf numFmtId="2" fontId="0" fillId="0" borderId="502" xfId="0" quotePrefix="1" applyNumberFormat="1" applyFont="1" applyFill="1" applyBorder="1" applyAlignment="1" applyProtection="1">
      <alignment horizontal="center"/>
    </xf>
    <xf numFmtId="0" fontId="1" fillId="0" borderId="32" xfId="0" applyFont="1" applyFill="1" applyBorder="1" applyProtection="1"/>
    <xf numFmtId="0" fontId="0" fillId="0" borderId="509" xfId="0" applyFont="1" applyFill="1" applyBorder="1" applyAlignment="1" applyProtection="1">
      <alignment horizontal="center"/>
    </xf>
    <xf numFmtId="16" fontId="0" fillId="0" borderId="510" xfId="0" applyNumberFormat="1" applyFont="1" applyFill="1" applyBorder="1" applyProtection="1"/>
    <xf numFmtId="16" fontId="1" fillId="0" borderId="511" xfId="0" applyNumberFormat="1" applyFont="1" applyFill="1" applyBorder="1" applyProtection="1"/>
    <xf numFmtId="16" fontId="1" fillId="0" borderId="512" xfId="0" applyNumberFormat="1" applyFont="1" applyFill="1" applyBorder="1" applyProtection="1"/>
    <xf numFmtId="0" fontId="1" fillId="0" borderId="504" xfId="0" applyNumberFormat="1" applyFont="1" applyFill="1" applyBorder="1" applyAlignment="1" applyProtection="1">
      <alignment horizontal="center"/>
    </xf>
    <xf numFmtId="0" fontId="1" fillId="0" borderId="513" xfId="0" applyFont="1" applyFill="1" applyBorder="1" applyAlignment="1" applyProtection="1">
      <alignment horizontal="right"/>
    </xf>
    <xf numFmtId="0" fontId="1" fillId="6" borderId="514" xfId="0" applyFont="1" applyFill="1" applyBorder="1" applyProtection="1"/>
    <xf numFmtId="0" fontId="1" fillId="0" borderId="515" xfId="0" applyFont="1" applyFill="1" applyBorder="1" applyAlignment="1" applyProtection="1">
      <alignment horizontal="right"/>
    </xf>
    <xf numFmtId="0" fontId="1" fillId="6" borderId="516" xfId="0" applyFont="1" applyFill="1" applyBorder="1" applyProtection="1"/>
    <xf numFmtId="0" fontId="1" fillId="0" borderId="517" xfId="0" applyFont="1" applyFill="1" applyBorder="1" applyAlignment="1" applyProtection="1">
      <alignment horizontal="right"/>
    </xf>
    <xf numFmtId="0" fontId="1" fillId="6" borderId="518" xfId="0" applyFont="1" applyFill="1" applyBorder="1" applyProtection="1"/>
    <xf numFmtId="0" fontId="1" fillId="0" borderId="11" xfId="0" applyFont="1" applyFill="1" applyBorder="1" applyAlignment="1" applyProtection="1">
      <alignment horizontal="right"/>
    </xf>
    <xf numFmtId="0" fontId="1" fillId="6" borderId="22"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25" xfId="0" applyFont="1" applyBorder="1" applyAlignment="1">
      <alignment horizontal="center" vertical="center"/>
    </xf>
    <xf numFmtId="0" fontId="1" fillId="8" borderId="459" xfId="0" applyFont="1" applyFill="1" applyBorder="1" applyAlignment="1" applyProtection="1">
      <alignment horizontal="center"/>
    </xf>
    <xf numFmtId="0" fontId="0" fillId="8" borderId="519" xfId="0" applyFill="1" applyBorder="1" applyProtection="1"/>
    <xf numFmtId="0" fontId="0" fillId="30" borderId="225" xfId="0" applyFill="1" applyBorder="1" applyAlignment="1">
      <alignment horizontal="center" vertical="center"/>
    </xf>
    <xf numFmtId="0" fontId="0" fillId="0" borderId="225" xfId="0" applyBorder="1" applyAlignment="1">
      <alignment horizontal="center"/>
    </xf>
    <xf numFmtId="0" fontId="1" fillId="8" borderId="496" xfId="0" applyFont="1" applyFill="1" applyBorder="1" applyAlignment="1" applyProtection="1">
      <alignment horizontal="center"/>
    </xf>
    <xf numFmtId="0" fontId="0" fillId="8" borderId="520" xfId="0" applyFill="1" applyBorder="1" applyProtection="1"/>
    <xf numFmtId="0" fontId="1" fillId="8" borderId="24" xfId="0" applyFont="1" applyFill="1" applyBorder="1" applyAlignment="1" applyProtection="1">
      <alignment horizontal="center"/>
    </xf>
    <xf numFmtId="0" fontId="1" fillId="8" borderId="478" xfId="0" applyFont="1" applyFill="1" applyBorder="1" applyAlignment="1" applyProtection="1">
      <alignment horizontal="center"/>
    </xf>
    <xf numFmtId="0" fontId="0" fillId="8" borderId="521" xfId="0" applyFill="1" applyBorder="1" applyProtection="1"/>
    <xf numFmtId="0" fontId="0" fillId="30" borderId="225" xfId="0" applyFill="1" applyBorder="1" applyAlignment="1">
      <alignment horizontal="center" vertical="center" wrapText="1"/>
    </xf>
    <xf numFmtId="0" fontId="0" fillId="0" borderId="0" xfId="0" applyNumberFormat="1" applyAlignment="1">
      <alignment horizontal="center"/>
    </xf>
    <xf numFmtId="0" fontId="0" fillId="8" borderId="478" xfId="0" applyFont="1" applyFill="1" applyBorder="1" applyAlignment="1" applyProtection="1">
      <alignment horizontal="center"/>
    </xf>
    <xf numFmtId="0" fontId="1" fillId="8" borderId="478" xfId="0" quotePrefix="1" applyFont="1" applyFill="1" applyBorder="1" applyAlignment="1" applyProtection="1">
      <alignment horizontal="center"/>
    </xf>
    <xf numFmtId="0" fontId="16" fillId="8" borderId="521"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22" xfId="0" applyFont="1" applyFill="1" applyBorder="1" applyAlignment="1" applyProtection="1">
      <alignment horizontal="center"/>
    </xf>
    <xf numFmtId="0" fontId="0" fillId="8" borderId="463" xfId="0" applyFill="1" applyBorder="1" applyProtection="1"/>
    <xf numFmtId="0" fontId="1" fillId="8" borderId="491" xfId="0" applyFont="1" applyFill="1" applyBorder="1" applyAlignment="1" applyProtection="1">
      <alignment horizontal="center"/>
    </xf>
    <xf numFmtId="0" fontId="0" fillId="8" borderId="523" xfId="0" applyFill="1" applyBorder="1" applyProtection="1"/>
    <xf numFmtId="0" fontId="0" fillId="0" borderId="0" xfId="0" applyNumberFormat="1" applyBorder="1" applyAlignment="1">
      <alignment horizontal="center"/>
    </xf>
    <xf numFmtId="0" fontId="0" fillId="8" borderId="524" xfId="0" applyFill="1" applyBorder="1" applyProtection="1"/>
    <xf numFmtId="0" fontId="1" fillId="8" borderId="499" xfId="0" applyFont="1" applyFill="1" applyBorder="1" applyAlignment="1" applyProtection="1">
      <alignment horizontal="center"/>
    </xf>
    <xf numFmtId="0" fontId="0" fillId="8" borderId="525" xfId="0" applyFill="1" applyBorder="1" applyProtection="1"/>
    <xf numFmtId="0" fontId="0" fillId="8" borderId="502" xfId="0" applyFont="1" applyFill="1" applyBorder="1" applyAlignment="1" applyProtection="1">
      <alignment horizontal="center"/>
    </xf>
    <xf numFmtId="0" fontId="0" fillId="8" borderId="526" xfId="0" applyFill="1" applyBorder="1" applyProtection="1"/>
    <xf numFmtId="0" fontId="1" fillId="8" borderId="502" xfId="0" applyFont="1" applyFill="1" applyBorder="1" applyAlignment="1" applyProtection="1">
      <alignment horizontal="center"/>
    </xf>
    <xf numFmtId="0" fontId="16" fillId="8" borderId="526" xfId="0" applyFont="1" applyFill="1" applyBorder="1" applyProtection="1"/>
    <xf numFmtId="16" fontId="0" fillId="30" borderId="225" xfId="0" quotePrefix="1" applyNumberFormat="1" applyFill="1" applyBorder="1" applyAlignment="1">
      <alignment horizontal="center" vertical="center" wrapText="1"/>
    </xf>
    <xf numFmtId="0" fontId="1" fillId="8" borderId="504" xfId="0" applyFont="1" applyFill="1" applyBorder="1" applyAlignment="1" applyProtection="1">
      <alignment horizontal="center"/>
    </xf>
    <xf numFmtId="0" fontId="0" fillId="8" borderId="527" xfId="0" applyFill="1" applyBorder="1" applyProtection="1"/>
    <xf numFmtId="0" fontId="0" fillId="0" borderId="225" xfId="0" quotePrefix="1" applyBorder="1" applyAlignment="1">
      <alignment horizontal="center"/>
    </xf>
    <xf numFmtId="0" fontId="1" fillId="8" borderId="502" xfId="0" applyFont="1" applyFill="1" applyBorder="1" applyAlignment="1" applyProtection="1">
      <alignment horizontal="center" vertical="top"/>
    </xf>
    <xf numFmtId="0" fontId="1" fillId="8" borderId="528" xfId="0" applyFont="1" applyFill="1" applyBorder="1" applyAlignment="1" applyProtection="1">
      <alignment horizontal="center"/>
    </xf>
    <xf numFmtId="0" fontId="0" fillId="8" borderId="529" xfId="0" applyFill="1" applyBorder="1" applyProtection="1"/>
    <xf numFmtId="0" fontId="0" fillId="0" borderId="74" xfId="0" applyBorder="1" applyAlignment="1">
      <alignment horizontal="center"/>
    </xf>
    <xf numFmtId="0" fontId="1" fillId="8" borderId="169" xfId="0" applyFont="1" applyFill="1" applyBorder="1" applyAlignment="1" applyProtection="1">
      <alignment horizontal="center"/>
    </xf>
    <xf numFmtId="0" fontId="0" fillId="8" borderId="169" xfId="0" applyFill="1" applyBorder="1" applyProtection="1"/>
    <xf numFmtId="0" fontId="1" fillId="8" borderId="465" xfId="0" applyFont="1" applyFill="1" applyBorder="1" applyAlignment="1" applyProtection="1">
      <alignment horizontal="center"/>
    </xf>
    <xf numFmtId="0" fontId="0" fillId="8" borderId="530" xfId="0" applyFill="1" applyBorder="1" applyProtection="1"/>
    <xf numFmtId="0" fontId="3" fillId="8" borderId="531" xfId="0" applyFont="1" applyFill="1" applyBorder="1" applyAlignment="1" applyProtection="1">
      <alignment wrapText="1"/>
    </xf>
    <xf numFmtId="0" fontId="0" fillId="0" borderId="4" xfId="0" applyBorder="1" applyAlignment="1">
      <alignment horizontal="center"/>
    </xf>
    <xf numFmtId="0" fontId="3" fillId="8" borderId="532" xfId="0" applyFont="1" applyFill="1" applyBorder="1" applyAlignment="1" applyProtection="1">
      <alignment wrapText="1"/>
    </xf>
    <xf numFmtId="0" fontId="0" fillId="0" borderId="169" xfId="0" applyNumberFormat="1" applyBorder="1" applyAlignment="1">
      <alignment horizontal="center"/>
    </xf>
    <xf numFmtId="0" fontId="0" fillId="0" borderId="533" xfId="0" applyFill="1" applyBorder="1" applyProtection="1"/>
    <xf numFmtId="0" fontId="0" fillId="0" borderId="534" xfId="0" applyFill="1" applyBorder="1" applyProtection="1"/>
    <xf numFmtId="0" fontId="0" fillId="0" borderId="535" xfId="0" applyBorder="1" applyAlignment="1">
      <alignment horizontal="center"/>
    </xf>
    <xf numFmtId="16" fontId="0" fillId="0" borderId="225" xfId="0" quotePrefix="1" applyNumberFormat="1" applyBorder="1" applyAlignment="1">
      <alignment horizontal="center"/>
    </xf>
    <xf numFmtId="0" fontId="1" fillId="8" borderId="0" xfId="0" applyFont="1" applyFill="1" applyBorder="1" applyAlignment="1" applyProtection="1">
      <alignment horizontal="center"/>
    </xf>
    <xf numFmtId="0" fontId="0" fillId="8" borderId="536" xfId="0" applyFill="1" applyBorder="1" applyProtection="1"/>
    <xf numFmtId="0" fontId="3" fillId="8" borderId="537" xfId="0" applyFont="1" applyFill="1" applyBorder="1" applyAlignment="1" applyProtection="1">
      <alignment wrapText="1"/>
    </xf>
    <xf numFmtId="0" fontId="0" fillId="0" borderId="75" xfId="0" applyBorder="1" applyAlignment="1">
      <alignment horizontal="center"/>
    </xf>
    <xf numFmtId="0" fontId="1" fillId="8" borderId="15" xfId="0" applyFont="1" applyFill="1" applyBorder="1" applyAlignment="1" applyProtection="1">
      <alignment horizontal="center"/>
    </xf>
    <xf numFmtId="0" fontId="0" fillId="8" borderId="538" xfId="0" applyFill="1" applyBorder="1" applyProtection="1"/>
    <xf numFmtId="0" fontId="0" fillId="30" borderId="535" xfId="0" applyFill="1" applyBorder="1" applyAlignment="1">
      <alignment horizontal="center" vertical="center" wrapText="1"/>
    </xf>
    <xf numFmtId="0" fontId="0" fillId="0" borderId="533" xfId="0" applyBorder="1"/>
    <xf numFmtId="0" fontId="0" fillId="30" borderId="4" xfId="0" applyFill="1" applyBorder="1" applyAlignment="1">
      <alignment horizontal="center" vertical="center" wrapText="1"/>
    </xf>
    <xf numFmtId="0" fontId="3" fillId="8" borderId="539" xfId="0" applyFont="1" applyFill="1" applyBorder="1" applyAlignment="1" applyProtection="1">
      <alignment wrapText="1"/>
    </xf>
    <xf numFmtId="0" fontId="0" fillId="30" borderId="74" xfId="0" applyFill="1" applyBorder="1" applyAlignment="1">
      <alignment horizontal="center" vertical="center" wrapText="1"/>
    </xf>
    <xf numFmtId="0" fontId="3" fillId="8" borderId="0" xfId="0" applyFont="1" applyFill="1" applyBorder="1" applyAlignment="1" applyProtection="1">
      <alignment wrapText="1"/>
    </xf>
    <xf numFmtId="0" fontId="0" fillId="0" borderId="533" xfId="0" applyBorder="1" applyProtection="1"/>
    <xf numFmtId="0" fontId="0" fillId="0" borderId="534" xfId="0" applyBorder="1"/>
    <xf numFmtId="0" fontId="0" fillId="0" borderId="24"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25"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87" xfId="0" applyNumberFormat="1" applyFont="1" applyFill="1" applyBorder="1" applyAlignment="1" applyProtection="1">
      <alignment vertical="center"/>
      <protection locked="0"/>
    </xf>
    <xf numFmtId="42" fontId="23" fillId="0" borderId="388" xfId="0" applyNumberFormat="1" applyFont="1" applyFill="1" applyBorder="1" applyAlignment="1" applyProtection="1">
      <alignment vertical="center"/>
      <protection locked="0"/>
    </xf>
    <xf numFmtId="42" fontId="23" fillId="0" borderId="214"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5" xfId="0" applyNumberFormat="1" applyFont="1" applyFill="1" applyBorder="1" applyAlignment="1" applyProtection="1">
      <alignment horizontal="right"/>
    </xf>
    <xf numFmtId="166" fontId="17" fillId="0" borderId="542" xfId="0" applyNumberFormat="1" applyFont="1" applyFill="1" applyBorder="1" applyProtection="1"/>
    <xf numFmtId="9" fontId="16" fillId="0" borderId="330" xfId="0" applyNumberFormat="1" applyFont="1" applyFill="1" applyBorder="1" applyAlignment="1" applyProtection="1">
      <alignment horizontal="right" wrapText="1"/>
      <protection locked="0"/>
    </xf>
    <xf numFmtId="0" fontId="24" fillId="0" borderId="0" xfId="0" applyFont="1"/>
    <xf numFmtId="0" fontId="24" fillId="0" borderId="209" xfId="0" applyFont="1" applyBorder="1"/>
    <xf numFmtId="0" fontId="24" fillId="0" borderId="193" xfId="0" applyFont="1" applyBorder="1"/>
    <xf numFmtId="0" fontId="24" fillId="0" borderId="212" xfId="0" applyFont="1" applyBorder="1"/>
    <xf numFmtId="0" fontId="24" fillId="0" borderId="540" xfId="0" applyFont="1" applyBorder="1"/>
    <xf numFmtId="0" fontId="24" fillId="0" borderId="155" xfId="0" applyFont="1" applyBorder="1"/>
    <xf numFmtId="0" fontId="24" fillId="0" borderId="429" xfId="0" applyFont="1" applyBorder="1"/>
    <xf numFmtId="0" fontId="24" fillId="0" borderId="430" xfId="0" applyFont="1" applyBorder="1"/>
    <xf numFmtId="0" fontId="24" fillId="0" borderId="3" xfId="0" applyFont="1" applyBorder="1"/>
    <xf numFmtId="0" fontId="24" fillId="0" borderId="0" xfId="0" applyFont="1" applyBorder="1"/>
    <xf numFmtId="0" fontId="40" fillId="0" borderId="155" xfId="0" applyFont="1" applyBorder="1"/>
    <xf numFmtId="0" fontId="40" fillId="0" borderId="429" xfId="0" applyFont="1" applyBorder="1"/>
    <xf numFmtId="0" fontId="40" fillId="0" borderId="430" xfId="0" applyFont="1" applyBorder="1"/>
    <xf numFmtId="0" fontId="79" fillId="0" borderId="0" xfId="0" applyFont="1" applyBorder="1"/>
    <xf numFmtId="0" fontId="40" fillId="0" borderId="0" xfId="0" applyFont="1"/>
    <xf numFmtId="0" fontId="24" fillId="0" borderId="11" xfId="0" applyFont="1" applyBorder="1"/>
    <xf numFmtId="0" fontId="24" fillId="0" borderId="73" xfId="0" applyFont="1" applyBorder="1"/>
    <xf numFmtId="0" fontId="24" fillId="0" borderId="221" xfId="0" applyFont="1" applyBorder="1"/>
    <xf numFmtId="0" fontId="40" fillId="6" borderId="143" xfId="0" applyFont="1" applyFill="1" applyBorder="1"/>
    <xf numFmtId="0" fontId="16" fillId="16" borderId="16" xfId="0" applyFont="1" applyFill="1" applyBorder="1" applyAlignment="1" applyProtection="1">
      <alignment wrapText="1"/>
    </xf>
    <xf numFmtId="166" fontId="16" fillId="16" borderId="16" xfId="0" applyNumberFormat="1" applyFont="1" applyFill="1" applyBorder="1" applyAlignment="1" applyProtection="1">
      <alignment wrapText="1"/>
    </xf>
    <xf numFmtId="9" fontId="16" fillId="16" borderId="16" xfId="0" applyNumberFormat="1" applyFont="1" applyFill="1" applyBorder="1" applyAlignment="1" applyProtection="1">
      <alignment wrapText="1"/>
    </xf>
    <xf numFmtId="166" fontId="16" fillId="16" borderId="22" xfId="0" applyNumberFormat="1" applyFont="1" applyFill="1" applyBorder="1" applyAlignment="1" applyProtection="1">
      <alignment wrapText="1"/>
    </xf>
    <xf numFmtId="0" fontId="0" fillId="0" borderId="544" xfId="0" applyFont="1" applyFill="1" applyBorder="1" applyProtection="1"/>
    <xf numFmtId="0" fontId="0" fillId="0" borderId="543" xfId="0" applyFont="1" applyFill="1" applyBorder="1" applyProtection="1"/>
    <xf numFmtId="3" fontId="15" fillId="0" borderId="190" xfId="0" applyNumberFormat="1" applyFont="1" applyFill="1" applyBorder="1" applyAlignment="1" applyProtection="1">
      <alignment horizontal="left"/>
    </xf>
    <xf numFmtId="0" fontId="0" fillId="0" borderId="190" xfId="0" applyFont="1" applyFill="1" applyBorder="1" applyProtection="1"/>
    <xf numFmtId="0" fontId="0" fillId="0" borderId="545" xfId="0" applyFont="1" applyFill="1" applyBorder="1" applyProtection="1"/>
    <xf numFmtId="3" fontId="3" fillId="26" borderId="69"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1" xfId="0" applyFont="1" applyFill="1" applyBorder="1" applyAlignment="1" applyProtection="1"/>
    <xf numFmtId="0" fontId="0" fillId="5" borderId="0" xfId="0" applyFill="1"/>
    <xf numFmtId="0" fontId="0" fillId="0" borderId="94" xfId="0" applyBorder="1" applyProtection="1"/>
    <xf numFmtId="0" fontId="0" fillId="0" borderId="95" xfId="0" applyBorder="1" applyProtection="1"/>
    <xf numFmtId="0" fontId="3" fillId="0" borderId="88" xfId="0" applyFont="1" applyBorder="1" applyProtection="1"/>
    <xf numFmtId="0" fontId="0" fillId="0" borderId="89" xfId="0" applyBorder="1" applyProtection="1"/>
    <xf numFmtId="0" fontId="0" fillId="0" borderId="30" xfId="0" applyBorder="1" applyProtection="1"/>
    <xf numFmtId="0" fontId="24" fillId="0" borderId="0" xfId="0" applyFont="1" applyProtection="1"/>
    <xf numFmtId="0" fontId="0" fillId="0" borderId="115" xfId="0" applyBorder="1" applyProtection="1"/>
    <xf numFmtId="0" fontId="0" fillId="0" borderId="32" xfId="0" applyBorder="1" applyProtection="1"/>
    <xf numFmtId="0" fontId="0" fillId="0" borderId="34"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1" xfId="0" applyFont="1" applyFill="1" applyBorder="1" applyAlignment="1" applyProtection="1"/>
    <xf numFmtId="0" fontId="0" fillId="8" borderId="311" xfId="0" applyFont="1" applyFill="1" applyBorder="1" applyAlignment="1" applyProtection="1"/>
    <xf numFmtId="0" fontId="16" fillId="8" borderId="267" xfId="0" applyFont="1" applyFill="1" applyBorder="1" applyAlignment="1" applyProtection="1"/>
    <xf numFmtId="42" fontId="23" fillId="12" borderId="53" xfId="0" applyNumberFormat="1" applyFont="1" applyFill="1" applyBorder="1" applyAlignment="1" applyProtection="1">
      <alignment vertical="center"/>
    </xf>
    <xf numFmtId="42" fontId="23" fillId="12" borderId="79" xfId="0" applyNumberFormat="1" applyFont="1" applyFill="1" applyBorder="1" applyAlignment="1" applyProtection="1">
      <alignment vertical="center"/>
    </xf>
    <xf numFmtId="42" fontId="23" fillId="12" borderId="47" xfId="0" applyNumberFormat="1" applyFont="1" applyFill="1" applyBorder="1" applyAlignment="1" applyProtection="1">
      <alignment vertical="center"/>
    </xf>
    <xf numFmtId="42" fontId="23" fillId="12" borderId="17" xfId="0" applyNumberFormat="1" applyFont="1" applyFill="1" applyBorder="1" applyAlignment="1" applyProtection="1">
      <alignment vertical="center"/>
    </xf>
    <xf numFmtId="42" fontId="23" fillId="12" borderId="85" xfId="0" applyNumberFormat="1" applyFont="1" applyFill="1" applyBorder="1" applyAlignment="1" applyProtection="1">
      <alignment vertical="center"/>
    </xf>
    <xf numFmtId="42" fontId="23" fillId="12" borderId="136" xfId="0" applyNumberFormat="1" applyFont="1" applyFill="1" applyBorder="1" applyAlignment="1" applyProtection="1">
      <alignment vertical="center"/>
    </xf>
    <xf numFmtId="42" fontId="23" fillId="12" borderId="129"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0" fontId="54" fillId="6" borderId="253" xfId="0" applyFont="1" applyFill="1" applyBorder="1" applyProtection="1"/>
    <xf numFmtId="0" fontId="0" fillId="0" borderId="39" xfId="0" applyFont="1" applyBorder="1" applyProtection="1"/>
    <xf numFmtId="0" fontId="0" fillId="0" borderId="40" xfId="0" applyFont="1" applyBorder="1" applyProtection="1"/>
    <xf numFmtId="0" fontId="16" fillId="8" borderId="346" xfId="0" applyFont="1" applyFill="1" applyBorder="1" applyAlignment="1" applyProtection="1">
      <alignment vertical="center"/>
    </xf>
    <xf numFmtId="0" fontId="16" fillId="8" borderId="350" xfId="0" applyFont="1" applyFill="1" applyBorder="1" applyAlignment="1" applyProtection="1">
      <alignment vertical="center"/>
    </xf>
    <xf numFmtId="44" fontId="16" fillId="8" borderId="11" xfId="0" applyNumberFormat="1" applyFont="1" applyFill="1" applyBorder="1" applyAlignment="1" applyProtection="1">
      <alignment vertical="center"/>
    </xf>
    <xf numFmtId="44" fontId="16" fillId="8" borderId="251" xfId="0" applyNumberFormat="1" applyFont="1" applyFill="1" applyBorder="1" applyAlignment="1" applyProtection="1"/>
    <xf numFmtId="9" fontId="16" fillId="8" borderId="11" xfId="0" applyNumberFormat="1" applyFont="1" applyFill="1" applyBorder="1" applyAlignment="1" applyProtection="1"/>
    <xf numFmtId="1" fontId="16" fillId="8" borderId="251" xfId="0" applyNumberFormat="1" applyFont="1" applyFill="1" applyBorder="1" applyAlignment="1" applyProtection="1"/>
    <xf numFmtId="0" fontId="16" fillId="8" borderId="251" xfId="0" applyFont="1" applyFill="1" applyBorder="1" applyAlignment="1" applyProtection="1"/>
    <xf numFmtId="0" fontId="16" fillId="8" borderId="346" xfId="0" applyFont="1" applyFill="1" applyBorder="1" applyAlignment="1" applyProtection="1"/>
    <xf numFmtId="0" fontId="16" fillId="8" borderId="350" xfId="0" applyFont="1" applyFill="1" applyBorder="1" applyAlignment="1" applyProtection="1"/>
    <xf numFmtId="44" fontId="16" fillId="8" borderId="11" xfId="0" applyNumberFormat="1" applyFont="1" applyFill="1" applyBorder="1" applyAlignment="1" applyProtection="1"/>
    <xf numFmtId="166" fontId="16" fillId="8" borderId="11" xfId="0" applyNumberFormat="1" applyFont="1" applyFill="1" applyBorder="1" applyAlignment="1" applyProtection="1"/>
    <xf numFmtId="0" fontId="16" fillId="8" borderId="254" xfId="0" applyFont="1" applyFill="1" applyBorder="1" applyAlignment="1" applyProtection="1"/>
    <xf numFmtId="9" fontId="16" fillId="8" borderId="255" xfId="0" applyNumberFormat="1" applyFont="1" applyFill="1" applyBorder="1" applyAlignment="1" applyProtection="1"/>
    <xf numFmtId="0" fontId="16" fillId="8" borderId="256" xfId="0" applyFont="1" applyFill="1" applyBorder="1" applyAlignment="1" applyProtection="1"/>
    <xf numFmtId="0" fontId="16" fillId="8" borderId="268" xfId="0" applyFont="1" applyFill="1" applyBorder="1" applyAlignment="1" applyProtection="1"/>
    <xf numFmtId="0" fontId="16" fillId="8" borderId="98" xfId="0" applyFont="1" applyFill="1" applyBorder="1" applyAlignment="1" applyProtection="1"/>
    <xf numFmtId="0" fontId="0" fillId="0" borderId="30" xfId="0" applyFont="1" applyFill="1" applyBorder="1" applyProtection="1"/>
    <xf numFmtId="0" fontId="0" fillId="0" borderId="31" xfId="0" applyFont="1" applyFill="1" applyBorder="1" applyProtection="1"/>
    <xf numFmtId="0" fontId="2" fillId="0" borderId="0" xfId="0" applyFont="1" applyFill="1" applyAlignment="1" applyProtection="1">
      <alignment horizontal="right"/>
    </xf>
    <xf numFmtId="44" fontId="0" fillId="6" borderId="83" xfId="0" applyNumberFormat="1" applyFont="1" applyFill="1" applyBorder="1" applyProtection="1"/>
    <xf numFmtId="0" fontId="0" fillId="0" borderId="28" xfId="0" applyBorder="1" applyProtection="1"/>
    <xf numFmtId="0" fontId="0" fillId="0" borderId="29" xfId="0" applyBorder="1" applyProtection="1"/>
    <xf numFmtId="0" fontId="0" fillId="0" borderId="31" xfId="0" applyBorder="1" applyProtection="1"/>
    <xf numFmtId="0" fontId="0" fillId="0" borderId="31" xfId="0" applyFill="1" applyBorder="1" applyProtection="1"/>
    <xf numFmtId="44" fontId="41" fillId="6" borderId="253" xfId="0" applyNumberFormat="1" applyFont="1" applyFill="1" applyBorder="1" applyAlignment="1" applyProtection="1">
      <alignment horizontal="right"/>
    </xf>
    <xf numFmtId="44" fontId="41" fillId="6" borderId="250" xfId="0" applyNumberFormat="1" applyFont="1" applyFill="1" applyBorder="1" applyAlignment="1" applyProtection="1">
      <alignment horizontal="right"/>
    </xf>
    <xf numFmtId="44" fontId="41" fillId="6" borderId="250" xfId="0" applyNumberFormat="1" applyFont="1" applyFill="1" applyBorder="1" applyProtection="1"/>
    <xf numFmtId="44" fontId="41" fillId="6" borderId="370" xfId="0" applyNumberFormat="1" applyFont="1" applyFill="1" applyBorder="1" applyProtection="1"/>
    <xf numFmtId="44" fontId="41" fillId="6" borderId="253" xfId="0" applyNumberFormat="1" applyFont="1" applyFill="1" applyBorder="1" applyProtection="1"/>
    <xf numFmtId="0" fontId="42" fillId="0" borderId="57" xfId="0" applyNumberFormat="1" applyFont="1" applyBorder="1" applyProtection="1"/>
    <xf numFmtId="0" fontId="0" fillId="0" borderId="33" xfId="0" applyBorder="1" applyProtection="1"/>
    <xf numFmtId="9" fontId="8" fillId="8" borderId="62" xfId="0" applyNumberFormat="1" applyFont="1" applyFill="1" applyBorder="1" applyAlignment="1" applyProtection="1">
      <alignment vertical="center"/>
    </xf>
    <xf numFmtId="1" fontId="8" fillId="8" borderId="66" xfId="0" applyNumberFormat="1" applyFont="1" applyFill="1" applyBorder="1" applyAlignment="1" applyProtection="1"/>
    <xf numFmtId="42" fontId="8" fillId="8" borderId="66" xfId="0" applyNumberFormat="1" applyFont="1" applyFill="1" applyBorder="1" applyAlignment="1" applyProtection="1"/>
    <xf numFmtId="42" fontId="5" fillId="8" borderId="66" xfId="0" applyNumberFormat="1" applyFont="1" applyFill="1" applyBorder="1" applyAlignment="1" applyProtection="1">
      <alignment wrapText="1"/>
    </xf>
    <xf numFmtId="42" fontId="5" fillId="8" borderId="99" xfId="0" applyNumberFormat="1" applyFont="1" applyFill="1" applyBorder="1" applyAlignment="1" applyProtection="1">
      <alignment wrapText="1"/>
    </xf>
    <xf numFmtId="42" fontId="5" fillId="6" borderId="307" xfId="0" applyNumberFormat="1" applyFont="1" applyFill="1" applyBorder="1" applyAlignment="1" applyProtection="1">
      <alignment wrapText="1"/>
    </xf>
    <xf numFmtId="42" fontId="5" fillId="6" borderId="308" xfId="0" applyNumberFormat="1" applyFont="1" applyFill="1" applyBorder="1" applyAlignment="1" applyProtection="1">
      <alignment wrapText="1"/>
    </xf>
    <xf numFmtId="0" fontId="0" fillId="0" borderId="30" xfId="0" applyFill="1" applyBorder="1" applyProtection="1"/>
    <xf numFmtId="0" fontId="43" fillId="16" borderId="237" xfId="0" applyFont="1" applyFill="1" applyBorder="1" applyAlignment="1" applyProtection="1">
      <alignment horizontal="center" vertical="center" wrapText="1"/>
    </xf>
    <xf numFmtId="6" fontId="20" fillId="16" borderId="279" xfId="0" applyNumberFormat="1" applyFont="1" applyFill="1" applyBorder="1" applyAlignment="1" applyProtection="1"/>
    <xf numFmtId="42" fontId="16" fillId="6" borderId="404" xfId="0" applyNumberFormat="1" applyFont="1" applyFill="1" applyBorder="1" applyAlignment="1" applyProtection="1"/>
    <xf numFmtId="42" fontId="16" fillId="6" borderId="390" xfId="0" applyNumberFormat="1" applyFont="1" applyFill="1" applyBorder="1" applyAlignment="1" applyProtection="1"/>
    <xf numFmtId="42" fontId="16" fillId="6" borderId="434" xfId="0" applyNumberFormat="1" applyFont="1" applyFill="1" applyBorder="1" applyAlignment="1" applyProtection="1"/>
    <xf numFmtId="42" fontId="16" fillId="6" borderId="432" xfId="0" applyNumberFormat="1" applyFont="1" applyFill="1" applyBorder="1" applyAlignment="1" applyProtection="1"/>
    <xf numFmtId="42" fontId="41" fillId="25" borderId="54" xfId="0" applyNumberFormat="1" applyFont="1" applyFill="1" applyBorder="1" applyAlignment="1" applyProtection="1"/>
    <xf numFmtId="0" fontId="0" fillId="0" borderId="94" xfId="0" applyFont="1" applyFill="1" applyBorder="1" applyProtection="1"/>
    <xf numFmtId="0" fontId="0" fillId="0" borderId="95" xfId="0" applyFont="1" applyFill="1" applyBorder="1" applyProtection="1"/>
    <xf numFmtId="42" fontId="41" fillId="25" borderId="84" xfId="0" applyNumberFormat="1" applyFont="1" applyFill="1" applyBorder="1" applyAlignment="1" applyProtection="1"/>
    <xf numFmtId="42" fontId="16" fillId="6" borderId="377" xfId="0" applyNumberFormat="1" applyFont="1" applyFill="1" applyBorder="1" applyAlignment="1" applyProtection="1">
      <alignment horizontal="right" wrapText="1"/>
    </xf>
    <xf numFmtId="42" fontId="16" fillId="6" borderId="341" xfId="0" applyNumberFormat="1" applyFont="1" applyFill="1" applyBorder="1" applyAlignment="1" applyProtection="1">
      <alignment horizontal="right" wrapText="1"/>
    </xf>
    <xf numFmtId="42" fontId="16" fillId="6" borderId="322" xfId="0" applyNumberFormat="1" applyFont="1" applyFill="1" applyBorder="1" applyAlignment="1" applyProtection="1">
      <alignment horizontal="right" wrapText="1"/>
    </xf>
    <xf numFmtId="42" fontId="16" fillId="6" borderId="323" xfId="0" applyNumberFormat="1" applyFont="1" applyFill="1" applyBorder="1" applyAlignment="1" applyProtection="1">
      <alignment horizontal="right" wrapText="1"/>
    </xf>
    <xf numFmtId="42" fontId="16" fillId="6" borderId="428" xfId="0" applyNumberFormat="1" applyFont="1" applyFill="1" applyBorder="1" applyAlignment="1" applyProtection="1">
      <alignment horizontal="right" wrapText="1"/>
    </xf>
    <xf numFmtId="42" fontId="16" fillId="6" borderId="330" xfId="0" applyNumberFormat="1" applyFont="1" applyFill="1" applyBorder="1" applyAlignment="1" applyProtection="1">
      <alignment horizontal="right" wrapText="1"/>
    </xf>
    <xf numFmtId="42" fontId="16" fillId="6" borderId="378" xfId="0" applyNumberFormat="1" applyFont="1" applyFill="1" applyBorder="1" applyAlignment="1" applyProtection="1">
      <alignment horizontal="right" wrapText="1"/>
    </xf>
    <xf numFmtId="0" fontId="16" fillId="28" borderId="540"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86" xfId="0" applyNumberFormat="1" applyFont="1" applyFill="1" applyBorder="1" applyAlignment="1" applyProtection="1">
      <alignment horizontal="right" wrapText="1"/>
    </xf>
    <xf numFmtId="6" fontId="16" fillId="28" borderId="181" xfId="0" applyNumberFormat="1" applyFont="1" applyFill="1" applyBorder="1" applyAlignment="1" applyProtection="1">
      <alignment horizontal="right"/>
    </xf>
    <xf numFmtId="6" fontId="16" fillId="28" borderId="182" xfId="0" applyNumberFormat="1" applyFont="1" applyFill="1" applyBorder="1" applyAlignment="1" applyProtection="1">
      <alignment horizontal="right"/>
    </xf>
    <xf numFmtId="6" fontId="16" fillId="28" borderId="183" xfId="0" applyNumberFormat="1" applyFont="1" applyFill="1" applyBorder="1" applyAlignment="1" applyProtection="1">
      <alignment horizontal="right"/>
    </xf>
    <xf numFmtId="42" fontId="16" fillId="6" borderId="433" xfId="0" applyNumberFormat="1" applyFont="1" applyFill="1" applyBorder="1" applyAlignment="1" applyProtection="1">
      <alignment horizontal="right" wrapText="1"/>
    </xf>
    <xf numFmtId="0" fontId="0" fillId="0" borderId="31" xfId="0" applyFont="1" applyBorder="1" applyProtection="1"/>
    <xf numFmtId="0" fontId="0" fillId="0" borderId="162" xfId="0" applyFont="1" applyFill="1" applyBorder="1" applyProtection="1"/>
    <xf numFmtId="0" fontId="0" fillId="0" borderId="57" xfId="0" applyFont="1" applyFill="1" applyBorder="1" applyProtection="1"/>
    <xf numFmtId="0" fontId="0" fillId="0" borderId="64" xfId="0" applyFont="1" applyFill="1" applyBorder="1" applyProtection="1"/>
    <xf numFmtId="5" fontId="41" fillId="8" borderId="177" xfId="0" applyNumberFormat="1" applyFont="1" applyFill="1" applyBorder="1" applyAlignment="1" applyProtection="1">
      <alignment horizontal="right" vertical="center"/>
    </xf>
    <xf numFmtId="5" fontId="41" fillId="8" borderId="178" xfId="0" applyNumberFormat="1" applyFont="1" applyFill="1" applyBorder="1" applyAlignment="1" applyProtection="1">
      <alignment horizontal="right" vertical="center"/>
    </xf>
    <xf numFmtId="0" fontId="0" fillId="0" borderId="65" xfId="0" applyFont="1" applyFill="1" applyBorder="1" applyProtection="1"/>
    <xf numFmtId="0" fontId="0" fillId="0" borderId="420" xfId="0" applyFont="1" applyFill="1" applyBorder="1" applyProtection="1"/>
    <xf numFmtId="0" fontId="0" fillId="0" borderId="236" xfId="0" applyFont="1" applyFill="1" applyBorder="1" applyProtection="1"/>
    <xf numFmtId="0" fontId="0" fillId="0" borderId="166" xfId="0" applyFont="1" applyFill="1" applyBorder="1" applyProtection="1"/>
    <xf numFmtId="0" fontId="2" fillId="0" borderId="73" xfId="0" applyFont="1" applyBorder="1" applyProtection="1"/>
    <xf numFmtId="0" fontId="0" fillId="0" borderId="73" xfId="0" applyBorder="1" applyProtection="1"/>
    <xf numFmtId="0" fontId="0" fillId="0" borderId="160" xfId="0" applyBorder="1" applyProtection="1"/>
    <xf numFmtId="0" fontId="0" fillId="0" borderId="162" xfId="0" applyBorder="1" applyProtection="1"/>
    <xf numFmtId="0" fontId="0" fillId="0" borderId="161" xfId="0" applyBorder="1" applyProtection="1"/>
    <xf numFmtId="0" fontId="0" fillId="0" borderId="166" xfId="0" applyBorder="1" applyProtection="1"/>
    <xf numFmtId="0" fontId="0" fillId="0" borderId="167" xfId="0" applyBorder="1" applyProtection="1"/>
    <xf numFmtId="0" fontId="16" fillId="0" borderId="563" xfId="0" applyFont="1" applyFill="1" applyBorder="1" applyAlignment="1" applyProtection="1">
      <alignment vertical="top"/>
    </xf>
    <xf numFmtId="0" fontId="0" fillId="0" borderId="29" xfId="0" applyFont="1" applyFill="1" applyBorder="1" applyProtection="1"/>
    <xf numFmtId="0" fontId="16" fillId="0" borderId="18"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4" xfId="0" applyFont="1" applyFill="1" applyBorder="1" applyProtection="1"/>
    <xf numFmtId="0" fontId="20" fillId="8" borderId="346" xfId="0" applyFont="1" applyFill="1" applyBorder="1" applyAlignment="1" applyProtection="1">
      <alignment wrapText="1"/>
    </xf>
    <xf numFmtId="0" fontId="20" fillId="8" borderId="347" xfId="0" applyFont="1" applyFill="1" applyBorder="1" applyAlignment="1" applyProtection="1">
      <alignment horizontal="left" wrapText="1"/>
    </xf>
    <xf numFmtId="0" fontId="20" fillId="8" borderId="347" xfId="0" applyFont="1" applyFill="1" applyBorder="1" applyAlignment="1" applyProtection="1">
      <alignment horizontal="center" wrapText="1"/>
    </xf>
    <xf numFmtId="0" fontId="20" fillId="8" borderId="347" xfId="0" applyFont="1" applyFill="1" applyBorder="1" applyAlignment="1" applyProtection="1">
      <alignment wrapText="1"/>
    </xf>
    <xf numFmtId="49" fontId="16" fillId="8" borderId="347" xfId="0" applyNumberFormat="1" applyFont="1" applyFill="1" applyBorder="1" applyAlignment="1" applyProtection="1">
      <alignment horizontal="center" wrapText="1"/>
    </xf>
    <xf numFmtId="49" fontId="16" fillId="8" borderId="350" xfId="0" applyNumberFormat="1" applyFont="1" applyFill="1" applyBorder="1" applyAlignment="1" applyProtection="1">
      <alignment horizontal="center" wrapText="1"/>
    </xf>
    <xf numFmtId="0" fontId="20" fillId="8" borderId="346" xfId="0" applyFont="1" applyFill="1" applyBorder="1" applyAlignment="1" applyProtection="1">
      <alignment horizontal="left"/>
    </xf>
    <xf numFmtId="49" fontId="16" fillId="8" borderId="347" xfId="0" applyNumberFormat="1" applyFont="1" applyFill="1" applyBorder="1" applyAlignment="1" applyProtection="1">
      <alignment horizontal="left" wrapText="1"/>
    </xf>
    <xf numFmtId="0" fontId="16" fillId="8" borderId="291" xfId="0" applyFont="1" applyFill="1" applyBorder="1" applyAlignment="1" applyProtection="1">
      <alignment horizontal="center" wrapText="1"/>
    </xf>
    <xf numFmtId="0" fontId="16" fillId="8" borderId="423" xfId="0" applyFont="1" applyFill="1" applyBorder="1" applyAlignment="1" applyProtection="1">
      <alignment horizontal="center" wrapText="1"/>
    </xf>
    <xf numFmtId="0" fontId="0" fillId="8" borderId="358" xfId="0" applyFont="1" applyFill="1" applyBorder="1" applyProtection="1"/>
    <xf numFmtId="0" fontId="16" fillId="8" borderId="358" xfId="0" applyFont="1" applyFill="1" applyBorder="1" applyAlignment="1" applyProtection="1">
      <alignment horizontal="center" wrapText="1"/>
    </xf>
    <xf numFmtId="0" fontId="16" fillId="8" borderId="358" xfId="0" applyFont="1" applyFill="1" applyBorder="1" applyAlignment="1" applyProtection="1">
      <alignment wrapText="1"/>
    </xf>
    <xf numFmtId="49" fontId="16" fillId="8" borderId="358" xfId="0" applyNumberFormat="1" applyFont="1" applyFill="1" applyBorder="1" applyAlignment="1" applyProtection="1">
      <alignment horizontal="center" wrapText="1"/>
    </xf>
    <xf numFmtId="49" fontId="16" fillId="8" borderId="353" xfId="0" applyNumberFormat="1" applyFont="1" applyFill="1" applyBorder="1" applyAlignment="1" applyProtection="1">
      <alignment horizontal="center" wrapText="1"/>
    </xf>
    <xf numFmtId="0" fontId="16" fillId="8" borderId="291" xfId="0" applyFont="1" applyFill="1" applyBorder="1" applyAlignment="1" applyProtection="1"/>
    <xf numFmtId="0" fontId="16" fillId="8" borderId="292"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51"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52" xfId="0" applyFont="1" applyBorder="1" applyAlignment="1" applyProtection="1">
      <alignment horizontal="center" vertical="top" wrapText="1"/>
      <protection locked="0"/>
    </xf>
    <xf numFmtId="0" fontId="24" fillId="0" borderId="453" xfId="0" applyFont="1" applyBorder="1" applyAlignment="1" applyProtection="1">
      <alignment horizontal="center" vertical="top" wrapText="1"/>
      <protection locked="0"/>
    </xf>
    <xf numFmtId="0" fontId="24" fillId="0" borderId="450" xfId="0" applyFont="1" applyBorder="1" applyAlignment="1" applyProtection="1">
      <alignment horizontal="center" vertical="top" wrapText="1"/>
      <protection locked="0"/>
    </xf>
    <xf numFmtId="0" fontId="0" fillId="0" borderId="27" xfId="0" applyBorder="1" applyProtection="1"/>
    <xf numFmtId="0" fontId="0" fillId="0" borderId="28" xfId="0" applyBorder="1" applyAlignment="1" applyProtection="1">
      <alignment wrapText="1"/>
    </xf>
    <xf numFmtId="0" fontId="0" fillId="0" borderId="28"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0" xfId="0" applyBorder="1" applyAlignment="1" applyProtection="1">
      <alignment vertical="top"/>
    </xf>
    <xf numFmtId="0" fontId="74" fillId="0" borderId="193" xfId="0" applyFont="1" applyBorder="1" applyAlignment="1" applyProtection="1">
      <alignment horizontal="center" vertical="top"/>
    </xf>
    <xf numFmtId="0" fontId="24" fillId="0" borderId="455" xfId="0" applyFont="1" applyBorder="1" applyAlignment="1" applyProtection="1">
      <alignment horizontal="center" vertical="top" wrapText="1"/>
    </xf>
    <xf numFmtId="0" fontId="0" fillId="0" borderId="31" xfId="0" applyBorder="1" applyAlignment="1" applyProtection="1">
      <alignment vertical="top"/>
    </xf>
    <xf numFmtId="0" fontId="74" fillId="0" borderId="0" xfId="0" applyFont="1" applyBorder="1" applyAlignment="1" applyProtection="1">
      <alignment horizontal="center" vertical="top"/>
    </xf>
    <xf numFmtId="0" fontId="24" fillId="0" borderId="456" xfId="0" applyFont="1" applyBorder="1" applyAlignment="1" applyProtection="1">
      <alignment horizontal="center" vertical="top" wrapText="1"/>
    </xf>
    <xf numFmtId="0" fontId="74" fillId="0" borderId="73" xfId="0" applyFont="1" applyBorder="1" applyAlignment="1" applyProtection="1">
      <alignment horizontal="center" vertical="top"/>
    </xf>
    <xf numFmtId="0" fontId="24" fillId="0" borderId="457"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29" xfId="0" applyFont="1" applyBorder="1" applyAlignment="1" applyProtection="1">
      <alignment horizontal="center" vertical="top"/>
    </xf>
    <xf numFmtId="0" fontId="24" fillId="0" borderId="454" xfId="0" applyFont="1" applyBorder="1" applyAlignment="1" applyProtection="1">
      <alignment horizontal="center" vertical="top" wrapText="1"/>
    </xf>
    <xf numFmtId="0" fontId="24" fillId="0" borderId="458"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3" xfId="0" applyFont="1" applyBorder="1" applyAlignment="1" applyProtection="1">
      <alignment vertical="top" wrapText="1"/>
    </xf>
    <xf numFmtId="0" fontId="0" fillId="0" borderId="33" xfId="0" applyBorder="1" applyAlignment="1" applyProtection="1">
      <alignment wrapText="1"/>
    </xf>
    <xf numFmtId="0" fontId="0" fillId="0" borderId="33" xfId="0" applyBorder="1" applyAlignment="1" applyProtection="1"/>
    <xf numFmtId="0" fontId="3" fillId="0" borderId="281" xfId="0" applyNumberFormat="1" applyFont="1" applyFill="1" applyBorder="1" applyAlignment="1" applyProtection="1">
      <alignment horizontal="center"/>
      <protection locked="0"/>
    </xf>
    <xf numFmtId="0" fontId="3" fillId="0" borderId="288" xfId="0" applyNumberFormat="1" applyFont="1" applyFill="1" applyBorder="1" applyAlignment="1" applyProtection="1">
      <alignment horizontal="center"/>
      <protection locked="0"/>
    </xf>
    <xf numFmtId="0" fontId="16" fillId="0" borderId="242" xfId="0" applyFont="1" applyFill="1" applyBorder="1" applyAlignment="1" applyProtection="1">
      <alignment wrapText="1"/>
      <protection locked="0"/>
    </xf>
    <xf numFmtId="0" fontId="16" fillId="0" borderId="346" xfId="0" applyFont="1" applyFill="1" applyBorder="1" applyAlignment="1" applyProtection="1">
      <alignment wrapText="1"/>
      <protection locked="0"/>
    </xf>
    <xf numFmtId="0" fontId="16" fillId="0" borderId="242" xfId="0" applyFont="1" applyBorder="1" applyAlignment="1" applyProtection="1">
      <alignment wrapText="1"/>
      <protection locked="0"/>
    </xf>
    <xf numFmtId="0" fontId="16" fillId="16" borderId="51" xfId="0" applyFont="1" applyFill="1" applyBorder="1" applyAlignment="1" applyProtection="1"/>
    <xf numFmtId="0" fontId="16" fillId="0" borderId="237" xfId="0" applyFont="1" applyBorder="1" applyAlignment="1" applyProtection="1">
      <alignment wrapText="1"/>
      <protection locked="0"/>
    </xf>
    <xf numFmtId="0" fontId="0" fillId="0" borderId="192" xfId="0" applyFont="1" applyFill="1" applyBorder="1" applyProtection="1"/>
    <xf numFmtId="44" fontId="43" fillId="6" borderId="253" xfId="0" applyNumberFormat="1" applyFont="1" applyFill="1" applyBorder="1" applyAlignment="1" applyProtection="1">
      <alignment vertical="center"/>
    </xf>
    <xf numFmtId="44" fontId="43" fillId="6" borderId="250" xfId="0" applyNumberFormat="1" applyFont="1" applyFill="1" applyBorder="1" applyAlignment="1" applyProtection="1">
      <alignment vertical="center"/>
    </xf>
    <xf numFmtId="44" fontId="43" fillId="6" borderId="370" xfId="0" applyNumberFormat="1" applyFont="1" applyFill="1" applyBorder="1" applyAlignment="1" applyProtection="1">
      <alignment vertical="center"/>
    </xf>
    <xf numFmtId="44" fontId="43" fillId="6" borderId="202" xfId="0" applyNumberFormat="1" applyFont="1" applyFill="1" applyBorder="1" applyAlignment="1" applyProtection="1">
      <alignment vertical="center"/>
    </xf>
    <xf numFmtId="44" fontId="43" fillId="6" borderId="143"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58" xfId="0" applyNumberFormat="1" applyFont="1" applyFill="1" applyBorder="1" applyAlignment="1" applyProtection="1">
      <alignment wrapText="1"/>
      <protection locked="0"/>
    </xf>
    <xf numFmtId="166" fontId="16" fillId="0" borderId="263" xfId="0" applyNumberFormat="1" applyFont="1" applyFill="1" applyBorder="1" applyAlignment="1" applyProtection="1">
      <alignment wrapText="1"/>
      <protection locked="0"/>
    </xf>
    <xf numFmtId="166" fontId="16" fillId="8" borderId="220" xfId="0" applyNumberFormat="1" applyFont="1" applyFill="1" applyBorder="1" applyAlignment="1" applyProtection="1">
      <alignment wrapText="1"/>
    </xf>
    <xf numFmtId="0" fontId="0" fillId="0" borderId="448" xfId="0" applyBorder="1" applyAlignment="1" applyProtection="1">
      <alignment vertical="top"/>
    </xf>
    <xf numFmtId="166" fontId="16" fillId="0" borderId="566" xfId="0" applyNumberFormat="1" applyFont="1" applyFill="1" applyBorder="1" applyAlignment="1" applyProtection="1">
      <alignment wrapText="1"/>
      <protection locked="0"/>
    </xf>
    <xf numFmtId="166" fontId="16" fillId="0" borderId="567" xfId="0" applyNumberFormat="1" applyFont="1" applyFill="1" applyBorder="1" applyAlignment="1" applyProtection="1">
      <alignment wrapText="1"/>
      <protection locked="0"/>
    </xf>
    <xf numFmtId="166" fontId="16" fillId="8" borderId="546" xfId="0" applyNumberFormat="1" applyFont="1" applyFill="1" applyBorder="1" applyAlignment="1" applyProtection="1">
      <alignment wrapText="1"/>
    </xf>
    <xf numFmtId="166" fontId="16" fillId="0" borderId="240" xfId="0" applyNumberFormat="1" applyFont="1" applyFill="1" applyBorder="1" applyAlignment="1" applyProtection="1">
      <alignment wrapText="1"/>
      <protection locked="0"/>
    </xf>
    <xf numFmtId="166" fontId="16" fillId="0" borderId="245" xfId="0" applyNumberFormat="1" applyFont="1" applyFill="1" applyBorder="1" applyAlignment="1" applyProtection="1">
      <alignment wrapText="1"/>
      <protection locked="0"/>
    </xf>
    <xf numFmtId="0" fontId="16" fillId="0" borderId="568" xfId="0" applyFont="1" applyFill="1" applyBorder="1" applyAlignment="1" applyProtection="1">
      <protection locked="0"/>
    </xf>
    <xf numFmtId="0" fontId="16" fillId="0" borderId="569" xfId="0" applyFont="1" applyFill="1" applyBorder="1" applyAlignment="1" applyProtection="1">
      <protection locked="0"/>
    </xf>
    <xf numFmtId="0" fontId="16" fillId="8" borderId="570" xfId="0" applyFont="1" applyFill="1" applyBorder="1" applyAlignment="1" applyProtection="1"/>
    <xf numFmtId="0" fontId="16" fillId="0" borderId="330" xfId="0" applyFont="1" applyFill="1" applyBorder="1" applyAlignment="1" applyProtection="1">
      <alignment horizontal="center"/>
      <protection locked="0"/>
    </xf>
    <xf numFmtId="42" fontId="16" fillId="0" borderId="238" xfId="0" applyNumberFormat="1" applyFont="1" applyFill="1" applyBorder="1" applyAlignment="1" applyProtection="1">
      <alignment horizontal="right"/>
      <protection locked="0"/>
    </xf>
    <xf numFmtId="42" fontId="16" fillId="0" borderId="243" xfId="0" applyNumberFormat="1" applyFont="1" applyFill="1" applyBorder="1" applyAlignment="1" applyProtection="1">
      <alignment horizontal="right"/>
      <protection locked="0"/>
    </xf>
    <xf numFmtId="42" fontId="16" fillId="0" borderId="248" xfId="0" applyNumberFormat="1" applyFont="1" applyFill="1" applyBorder="1" applyAlignment="1" applyProtection="1">
      <alignment horizontal="right"/>
      <protection locked="0"/>
    </xf>
    <xf numFmtId="6" fontId="16" fillId="28" borderId="573" xfId="0" applyNumberFormat="1" applyFont="1" applyFill="1" applyBorder="1" applyAlignment="1" applyProtection="1">
      <alignment horizontal="right"/>
    </xf>
    <xf numFmtId="0" fontId="43" fillId="6" borderId="69" xfId="0" applyNumberFormat="1" applyFont="1" applyFill="1" applyBorder="1" applyAlignment="1" applyProtection="1">
      <alignment horizontal="center" vertical="center" wrapText="1"/>
    </xf>
    <xf numFmtId="42" fontId="16" fillId="0" borderId="407" xfId="0" applyNumberFormat="1" applyFont="1" applyFill="1" applyBorder="1" applyAlignment="1" applyProtection="1">
      <alignment horizontal="right"/>
      <protection locked="0"/>
    </xf>
    <xf numFmtId="0" fontId="41" fillId="0" borderId="398" xfId="0" applyFont="1" applyFill="1" applyBorder="1" applyAlignment="1" applyProtection="1">
      <alignment vertical="center" wrapText="1"/>
      <protection locked="0"/>
    </xf>
    <xf numFmtId="42" fontId="17" fillId="6" borderId="144" xfId="0" applyNumberFormat="1" applyFont="1" applyFill="1" applyBorder="1" applyProtection="1"/>
    <xf numFmtId="42" fontId="17" fillId="6" borderId="228" xfId="0" applyNumberFormat="1" applyFont="1" applyFill="1" applyBorder="1" applyProtection="1"/>
    <xf numFmtId="42" fontId="17" fillId="6" borderId="229" xfId="0" applyNumberFormat="1" applyFont="1" applyFill="1" applyBorder="1" applyProtection="1"/>
    <xf numFmtId="0" fontId="16" fillId="0" borderId="279" xfId="0" applyNumberFormat="1" applyFont="1" applyFill="1" applyBorder="1" applyAlignment="1" applyProtection="1">
      <protection locked="0"/>
    </xf>
    <xf numFmtId="0" fontId="16" fillId="0" borderId="282" xfId="0" applyNumberFormat="1" applyFont="1" applyFill="1" applyBorder="1" applyAlignment="1" applyProtection="1">
      <protection locked="0"/>
    </xf>
    <xf numFmtId="0" fontId="16" fillId="0" borderId="442" xfId="0" applyNumberFormat="1" applyFont="1" applyFill="1" applyBorder="1" applyAlignment="1" applyProtection="1">
      <protection locked="0"/>
    </xf>
    <xf numFmtId="0" fontId="16" fillId="0" borderId="444" xfId="0" applyNumberFormat="1" applyFont="1" applyFill="1" applyBorder="1" applyAlignment="1" applyProtection="1">
      <protection locked="0"/>
    </xf>
    <xf numFmtId="0" fontId="16" fillId="0" borderId="446" xfId="0" applyNumberFormat="1" applyFont="1" applyFill="1" applyBorder="1" applyAlignment="1" applyProtection="1">
      <protection locked="0"/>
    </xf>
    <xf numFmtId="0" fontId="16" fillId="0" borderId="574" xfId="0" applyNumberFormat="1" applyFont="1" applyFill="1" applyBorder="1" applyAlignment="1" applyProtection="1">
      <protection locked="0"/>
    </xf>
    <xf numFmtId="0" fontId="16" fillId="0" borderId="433" xfId="0" applyNumberFormat="1" applyFont="1" applyFill="1" applyBorder="1" applyAlignment="1" applyProtection="1">
      <protection locked="0"/>
    </xf>
    <xf numFmtId="165" fontId="16" fillId="0" borderId="77" xfId="0" applyNumberFormat="1" applyFont="1" applyFill="1" applyBorder="1" applyProtection="1">
      <protection locked="0"/>
    </xf>
    <xf numFmtId="0" fontId="41" fillId="0" borderId="63" xfId="0" applyFont="1" applyFill="1" applyBorder="1" applyAlignment="1" applyProtection="1">
      <alignment horizontal="left" vertical="center" indent="1"/>
    </xf>
    <xf numFmtId="0" fontId="43" fillId="0" borderId="63"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0" xfId="0" applyFont="1" applyFill="1" applyBorder="1" applyAlignment="1" applyProtection="1">
      <alignment wrapText="1"/>
    </xf>
    <xf numFmtId="0" fontId="16" fillId="8" borderId="242" xfId="0" applyFont="1" applyFill="1" applyBorder="1" applyAlignment="1" applyProtection="1"/>
    <xf numFmtId="44" fontId="3" fillId="8" borderId="323" xfId="0" applyNumberFormat="1" applyFont="1" applyFill="1" applyBorder="1" applyAlignment="1" applyProtection="1"/>
    <xf numFmtId="0" fontId="16" fillId="3" borderId="398" xfId="0" applyFont="1" applyFill="1" applyBorder="1" applyAlignment="1" applyProtection="1">
      <protection locked="0"/>
    </xf>
    <xf numFmtId="0" fontId="16" fillId="3" borderId="242" xfId="0" applyFont="1" applyFill="1" applyBorder="1" applyAlignment="1" applyProtection="1">
      <protection locked="0"/>
    </xf>
    <xf numFmtId="0" fontId="5" fillId="16" borderId="155" xfId="0" applyFont="1" applyFill="1" applyBorder="1" applyAlignment="1" applyProtection="1">
      <alignment horizontal="center" vertical="center" wrapText="1"/>
    </xf>
    <xf numFmtId="0" fontId="5" fillId="16" borderId="429" xfId="0" applyFont="1" applyFill="1" applyBorder="1" applyAlignment="1" applyProtection="1">
      <alignment horizontal="center" vertical="center" wrapText="1"/>
    </xf>
    <xf numFmtId="0" fontId="5" fillId="16" borderId="430"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40"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0" xfId="0" applyNumberFormat="1" applyFont="1" applyFill="1" applyBorder="1" applyAlignment="1" applyProtection="1">
      <protection locked="0"/>
    </xf>
    <xf numFmtId="7" fontId="3" fillId="4" borderId="580" xfId="0" applyNumberFormat="1" applyFont="1" applyFill="1" applyBorder="1" applyAlignment="1" applyProtection="1">
      <alignment horizontal="center"/>
    </xf>
    <xf numFmtId="44" fontId="3" fillId="3" borderId="413" xfId="0" applyNumberFormat="1" applyFont="1" applyFill="1" applyBorder="1" applyAlignment="1" applyProtection="1">
      <protection locked="0"/>
    </xf>
    <xf numFmtId="3" fontId="18" fillId="0" borderId="546" xfId="0" applyNumberFormat="1" applyFont="1" applyFill="1" applyBorder="1" applyAlignment="1" applyProtection="1"/>
    <xf numFmtId="166" fontId="41" fillId="16" borderId="228"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28" xfId="0" applyFill="1" applyBorder="1" applyProtection="1">
      <protection locked="0"/>
    </xf>
    <xf numFmtId="14" fontId="3" fillId="0" borderId="278" xfId="0" applyNumberFormat="1" applyFont="1" applyBorder="1" applyAlignment="1" applyProtection="1">
      <alignment vertical="center"/>
      <protection locked="0"/>
    </xf>
    <xf numFmtId="14" fontId="3" fillId="25" borderId="78"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08" xfId="0" applyNumberFormat="1" applyFont="1" applyFill="1" applyBorder="1" applyProtection="1">
      <protection locked="0"/>
    </xf>
    <xf numFmtId="9" fontId="54" fillId="0" borderId="412"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87" xfId="0" applyNumberFormat="1" applyFont="1" applyFill="1" applyBorder="1" applyAlignment="1" applyProtection="1">
      <alignment horizontal="right" vertical="center"/>
    </xf>
    <xf numFmtId="44" fontId="41" fillId="0" borderId="188" xfId="0" applyNumberFormat="1" applyFont="1" applyFill="1" applyBorder="1" applyAlignment="1" applyProtection="1">
      <alignment vertical="center"/>
      <protection locked="0"/>
    </xf>
    <xf numFmtId="44" fontId="41" fillId="0" borderId="145"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51" xfId="4" applyFont="1" applyFill="1" applyBorder="1" applyAlignment="1" applyProtection="1">
      <alignment vertical="center" wrapText="1"/>
    </xf>
    <xf numFmtId="0" fontId="81" fillId="34" borderId="552" xfId="4" applyFont="1" applyFill="1" applyBorder="1" applyAlignment="1" applyProtection="1">
      <alignment vertical="center" wrapText="1"/>
    </xf>
    <xf numFmtId="0" fontId="81" fillId="34" borderId="553"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581" xfId="4" applyFont="1" applyFill="1" applyBorder="1" applyProtection="1"/>
    <xf numFmtId="0" fontId="99" fillId="3" borderId="581"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25"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54" xfId="4" applyFont="1" applyFill="1" applyBorder="1" applyProtection="1"/>
    <xf numFmtId="0" fontId="87" fillId="5" borderId="551" xfId="4" applyFont="1" applyFill="1" applyBorder="1" applyProtection="1"/>
    <xf numFmtId="0" fontId="81" fillId="3" borderId="552" xfId="4" applyFont="1" applyFill="1" applyBorder="1" applyProtection="1"/>
    <xf numFmtId="0" fontId="81" fillId="3" borderId="553" xfId="4" applyFont="1" applyFill="1" applyBorder="1" applyProtection="1"/>
    <xf numFmtId="0" fontId="81" fillId="3" borderId="554" xfId="4" applyFont="1" applyFill="1" applyBorder="1" applyProtection="1"/>
    <xf numFmtId="0" fontId="72" fillId="3" borderId="554"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55" xfId="4" applyFont="1" applyFill="1" applyBorder="1" applyProtection="1"/>
    <xf numFmtId="9" fontId="81" fillId="5" borderId="554"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62"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56" xfId="4" applyFont="1" applyFill="1" applyBorder="1" applyProtection="1"/>
    <xf numFmtId="1" fontId="84" fillId="36" borderId="562" xfId="4" applyNumberFormat="1" applyFont="1" applyFill="1" applyBorder="1" applyProtection="1"/>
    <xf numFmtId="0" fontId="102" fillId="3" borderId="557" xfId="4" applyFont="1" applyFill="1" applyBorder="1" applyAlignment="1" applyProtection="1"/>
    <xf numFmtId="0" fontId="81" fillId="3" borderId="557" xfId="4" applyFont="1" applyFill="1" applyBorder="1" applyProtection="1"/>
    <xf numFmtId="0" fontId="81" fillId="3" borderId="558" xfId="4" applyFont="1" applyFill="1" applyBorder="1" applyProtection="1"/>
    <xf numFmtId="0" fontId="81" fillId="3" borderId="546" xfId="4" applyFont="1" applyFill="1" applyBorder="1" applyProtection="1"/>
    <xf numFmtId="1" fontId="81" fillId="3" borderId="546" xfId="4" applyNumberFormat="1" applyFont="1" applyFill="1" applyBorder="1" applyProtection="1"/>
    <xf numFmtId="0" fontId="72" fillId="3" borderId="546" xfId="4" applyFont="1" applyFill="1" applyBorder="1" applyAlignment="1" applyProtection="1"/>
    <xf numFmtId="1" fontId="81" fillId="3" borderId="0" xfId="4" applyNumberFormat="1" applyFont="1" applyFill="1" applyBorder="1" applyProtection="1"/>
    <xf numFmtId="0" fontId="85" fillId="34" borderId="225"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46" xfId="4" applyFont="1" applyFill="1" applyBorder="1" applyAlignment="1" applyProtection="1">
      <alignment horizontal="left"/>
    </xf>
    <xf numFmtId="0" fontId="72" fillId="5" borderId="546" xfId="4" applyFont="1" applyFill="1" applyBorder="1" applyProtection="1"/>
    <xf numFmtId="0" fontId="81" fillId="3" borderId="546" xfId="4" applyFont="1" applyFill="1" applyBorder="1" applyAlignment="1" applyProtection="1"/>
    <xf numFmtId="0" fontId="81" fillId="3" borderId="546" xfId="4" quotePrefix="1" applyFont="1" applyFill="1" applyBorder="1" applyAlignment="1" applyProtection="1">
      <alignment horizontal="center"/>
    </xf>
    <xf numFmtId="0" fontId="81" fillId="3" borderId="546"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62" xfId="4" applyNumberFormat="1" applyFont="1" applyFill="1" applyBorder="1" applyAlignment="1" applyProtection="1">
      <alignment horizontal="right"/>
      <protection locked="0"/>
    </xf>
    <xf numFmtId="1" fontId="81" fillId="34" borderId="562"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25" xfId="4" applyFont="1" applyFill="1" applyBorder="1" applyAlignment="1" applyProtection="1">
      <alignment horizontal="right"/>
    </xf>
    <xf numFmtId="0" fontId="81" fillId="0" borderId="554"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62"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62" xfId="4" applyNumberFormat="1" applyFont="1" applyFill="1" applyBorder="1" applyAlignment="1" applyProtection="1">
      <alignment horizontal="right"/>
      <protection locked="0"/>
    </xf>
    <xf numFmtId="9" fontId="80" fillId="34" borderId="562" xfId="4" applyNumberFormat="1" applyFont="1" applyFill="1" applyBorder="1" applyAlignment="1" applyProtection="1">
      <alignment horizontal="right"/>
    </xf>
    <xf numFmtId="165" fontId="80" fillId="5" borderId="554"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46" xfId="4" applyFont="1" applyFill="1" applyBorder="1" applyProtection="1"/>
    <xf numFmtId="44" fontId="81" fillId="5" borderId="546" xfId="4" applyNumberFormat="1" applyFont="1" applyFill="1" applyBorder="1" applyAlignment="1" applyProtection="1">
      <alignment horizontal="left"/>
    </xf>
    <xf numFmtId="44" fontId="80" fillId="5" borderId="546" xfId="4" applyNumberFormat="1" applyFont="1" applyFill="1" applyBorder="1" applyAlignment="1" applyProtection="1">
      <alignment horizontal="left"/>
    </xf>
    <xf numFmtId="165" fontId="80" fillId="5" borderId="546"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46" xfId="4" applyFont="1" applyFill="1" applyBorder="1" applyProtection="1"/>
    <xf numFmtId="0" fontId="81" fillId="0" borderId="554" xfId="4" applyFont="1" applyFill="1" applyBorder="1" applyAlignment="1" applyProtection="1">
      <alignment horizontal="left"/>
    </xf>
    <xf numFmtId="44" fontId="80" fillId="5" borderId="555" xfId="4" applyNumberFormat="1" applyFont="1" applyFill="1" applyBorder="1" applyAlignment="1" applyProtection="1">
      <alignment horizontal="left"/>
    </xf>
    <xf numFmtId="9" fontId="80" fillId="5" borderId="546"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62" xfId="2" applyFont="1" applyFill="1" applyBorder="1" applyAlignment="1" applyProtection="1">
      <alignment horizontal="right"/>
      <protection locked="0"/>
    </xf>
    <xf numFmtId="9" fontId="80" fillId="34" borderId="559" xfId="2" applyFont="1" applyFill="1" applyBorder="1" applyAlignment="1" applyProtection="1"/>
    <xf numFmtId="1" fontId="81" fillId="5" borderId="546" xfId="4" applyNumberFormat="1" applyFont="1" applyFill="1" applyBorder="1" applyAlignment="1" applyProtection="1">
      <alignment horizontal="right"/>
    </xf>
    <xf numFmtId="0" fontId="72" fillId="3" borderId="546" xfId="4" applyFont="1" applyFill="1" applyBorder="1" applyAlignment="1" applyProtection="1">
      <alignment wrapText="1"/>
    </xf>
    <xf numFmtId="0" fontId="100" fillId="3" borderId="0" xfId="4" applyFont="1" applyFill="1" applyBorder="1" applyAlignment="1" applyProtection="1"/>
    <xf numFmtId="0" fontId="72" fillId="3" borderId="546" xfId="4" applyFont="1" applyFill="1" applyBorder="1" applyProtection="1"/>
    <xf numFmtId="0" fontId="85" fillId="5" borderId="546"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62" xfId="4" applyFont="1" applyFill="1" applyBorder="1" applyAlignment="1" applyProtection="1">
      <alignment horizontal="center" vertical="top"/>
      <protection locked="0"/>
    </xf>
    <xf numFmtId="0" fontId="82" fillId="34" borderId="562"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584" xfId="4" applyFont="1" applyFill="1" applyBorder="1" applyAlignment="1" applyProtection="1">
      <alignment vertical="center"/>
    </xf>
    <xf numFmtId="0" fontId="91" fillId="3" borderId="584" xfId="4" applyFont="1" applyFill="1" applyBorder="1" applyAlignment="1" applyProtection="1">
      <alignment vertical="center"/>
    </xf>
    <xf numFmtId="0" fontId="85" fillId="35" borderId="584"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25"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4" xfId="4" applyFont="1" applyFill="1" applyBorder="1"/>
    <xf numFmtId="0" fontId="81" fillId="3" borderId="18" xfId="4" applyFont="1" applyFill="1" applyBorder="1"/>
    <xf numFmtId="0" fontId="81" fillId="3" borderId="20" xfId="4" applyFont="1" applyFill="1" applyBorder="1"/>
    <xf numFmtId="0" fontId="72" fillId="3" borderId="24" xfId="4" applyFont="1" applyFill="1" applyBorder="1" applyAlignment="1">
      <alignment horizontal="center" wrapText="1"/>
    </xf>
    <xf numFmtId="0" fontId="72" fillId="3" borderId="0" xfId="4" applyFont="1" applyFill="1" applyBorder="1" applyAlignment="1">
      <alignment horizontal="center" wrapText="1"/>
    </xf>
    <xf numFmtId="0" fontId="81" fillId="3" borderId="25" xfId="4" applyFont="1" applyFill="1" applyBorder="1"/>
    <xf numFmtId="9" fontId="81" fillId="7" borderId="24"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4"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5" xfId="4" applyFont="1" applyFill="1" applyBorder="1"/>
    <xf numFmtId="1" fontId="81" fillId="3" borderId="6" xfId="4" applyNumberFormat="1" applyFont="1" applyFill="1" applyBorder="1"/>
    <xf numFmtId="0" fontId="81" fillId="3" borderId="21"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50"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50"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50" xfId="4" applyNumberFormat="1" applyFont="1" applyFill="1" applyBorder="1" applyAlignment="1">
      <alignment horizontal="right"/>
    </xf>
    <xf numFmtId="10" fontId="80" fillId="0" borderId="550" xfId="4" applyNumberFormat="1" applyFont="1" applyFill="1" applyBorder="1" applyAlignment="1">
      <alignment horizontal="right"/>
    </xf>
    <xf numFmtId="0" fontId="81" fillId="3" borderId="584" xfId="4" applyFont="1" applyFill="1" applyBorder="1"/>
    <xf numFmtId="0" fontId="91" fillId="3" borderId="584" xfId="4" applyFont="1" applyFill="1" applyBorder="1" applyAlignment="1">
      <alignment vertical="center"/>
    </xf>
    <xf numFmtId="0" fontId="91" fillId="3" borderId="584" xfId="4" applyFont="1" applyFill="1" applyBorder="1"/>
    <xf numFmtId="0" fontId="81" fillId="3" borderId="584" xfId="4" applyFont="1" applyFill="1" applyBorder="1" applyAlignment="1"/>
    <xf numFmtId="0" fontId="81" fillId="7" borderId="584" xfId="4" applyFont="1" applyFill="1" applyBorder="1"/>
    <xf numFmtId="168" fontId="80" fillId="0" borderId="550"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591" xfId="4" applyFont="1" applyFill="1" applyBorder="1" applyAlignment="1"/>
    <xf numFmtId="0" fontId="16" fillId="0" borderId="0" xfId="0" applyFont="1" applyFill="1" applyBorder="1" applyAlignment="1" applyProtection="1">
      <alignment horizontal="right" vertical="center"/>
    </xf>
    <xf numFmtId="0" fontId="1" fillId="0" borderId="0" xfId="0" applyFont="1" applyFill="1" applyBorder="1" applyProtection="1"/>
    <xf numFmtId="16" fontId="1" fillId="0" borderId="480" xfId="0" applyNumberFormat="1" applyFont="1" applyFill="1" applyBorder="1" applyProtection="1"/>
    <xf numFmtId="16" fontId="1" fillId="0" borderId="467" xfId="0" applyNumberFormat="1" applyFont="1" applyFill="1" applyBorder="1" applyProtection="1"/>
    <xf numFmtId="16" fontId="1" fillId="0" borderId="468" xfId="0" applyNumberFormat="1" applyFont="1" applyFill="1" applyBorder="1" applyProtection="1"/>
    <xf numFmtId="16" fontId="1" fillId="0" borderId="503" xfId="0" applyNumberFormat="1" applyFont="1" applyFill="1" applyBorder="1" applyProtection="1"/>
    <xf numFmtId="16" fontId="0" fillId="0" borderId="492" xfId="0" applyNumberFormat="1" applyFont="1" applyFill="1" applyBorder="1" applyProtection="1"/>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6" xfId="0" applyFont="1" applyFill="1" applyBorder="1" applyProtection="1">
      <protection locked="0"/>
    </xf>
    <xf numFmtId="0" fontId="16" fillId="0" borderId="226" xfId="0" applyFont="1" applyFill="1" applyBorder="1" applyAlignment="1" applyProtection="1">
      <protection locked="0"/>
    </xf>
    <xf numFmtId="0" fontId="0" fillId="0" borderId="0" xfId="0" applyProtection="1"/>
    <xf numFmtId="0" fontId="16" fillId="0" borderId="88" xfId="0" applyFont="1" applyBorder="1" applyProtection="1">
      <protection locked="0"/>
    </xf>
    <xf numFmtId="0" fontId="16" fillId="0" borderId="89" xfId="0" applyFont="1" applyBorder="1" applyProtection="1">
      <protection locked="0"/>
    </xf>
    <xf numFmtId="0" fontId="16" fillId="0" borderId="89" xfId="0" applyFont="1" applyFill="1" applyBorder="1" applyProtection="1">
      <protection locked="0"/>
    </xf>
    <xf numFmtId="9" fontId="16" fillId="0" borderId="89" xfId="0" applyNumberFormat="1" applyFont="1" applyFill="1" applyBorder="1" applyProtection="1">
      <protection locked="0"/>
    </xf>
    <xf numFmtId="0" fontId="16" fillId="0" borderId="90" xfId="0" applyFont="1" applyBorder="1" applyProtection="1">
      <protection locked="0"/>
    </xf>
    <xf numFmtId="44" fontId="3" fillId="8" borderId="242" xfId="0" applyNumberFormat="1" applyFont="1" applyFill="1" applyBorder="1" applyAlignment="1" applyProtection="1"/>
    <xf numFmtId="0" fontId="3" fillId="8" borderId="243" xfId="0" applyFont="1" applyFill="1" applyBorder="1" applyAlignment="1" applyProtection="1"/>
    <xf numFmtId="0" fontId="0" fillId="0" borderId="498" xfId="0" applyBorder="1" applyProtection="1"/>
    <xf numFmtId="42" fontId="5" fillId="6" borderId="289" xfId="0" applyNumberFormat="1" applyFont="1" applyFill="1" applyBorder="1" applyAlignment="1" applyProtection="1">
      <alignment wrapText="1"/>
    </xf>
    <xf numFmtId="42" fontId="5" fillId="6" borderId="440" xfId="0" applyNumberFormat="1" applyFont="1" applyFill="1" applyBorder="1" applyAlignment="1" applyProtection="1">
      <alignment wrapText="1"/>
    </xf>
    <xf numFmtId="42" fontId="5" fillId="6" borderId="272" xfId="0" applyNumberFormat="1" applyFont="1" applyFill="1" applyBorder="1" applyAlignment="1" applyProtection="1">
      <alignment wrapText="1"/>
    </xf>
    <xf numFmtId="42" fontId="5" fillId="6" borderId="274" xfId="0" applyNumberFormat="1" applyFont="1" applyFill="1" applyBorder="1" applyAlignment="1" applyProtection="1">
      <alignment wrapText="1"/>
    </xf>
    <xf numFmtId="10" fontId="8" fillId="16" borderId="306" xfId="0" applyNumberFormat="1" applyFont="1" applyFill="1" applyBorder="1" applyAlignment="1" applyProtection="1">
      <alignment horizontal="center" vertical="center" wrapText="1"/>
    </xf>
    <xf numFmtId="42" fontId="8" fillId="0" borderId="307" xfId="0" applyNumberFormat="1" applyFont="1" applyFill="1" applyBorder="1" applyAlignment="1" applyProtection="1"/>
    <xf numFmtId="0" fontId="16" fillId="0" borderId="73" xfId="0" applyFont="1" applyBorder="1" applyProtection="1"/>
    <xf numFmtId="0" fontId="16" fillId="0" borderId="31" xfId="0" applyFont="1" applyBorder="1" applyProtection="1"/>
    <xf numFmtId="0" fontId="2" fillId="16" borderId="9" xfId="0" applyFont="1" applyFill="1" applyBorder="1" applyAlignment="1" applyProtection="1">
      <alignment horizontal="center" wrapText="1"/>
    </xf>
    <xf numFmtId="0" fontId="17" fillId="16" borderId="109" xfId="0" applyFont="1" applyFill="1" applyBorder="1" applyProtection="1"/>
    <xf numFmtId="0" fontId="17" fillId="16" borderId="86" xfId="0" applyFont="1" applyFill="1" applyBorder="1" applyProtection="1"/>
    <xf numFmtId="0" fontId="2" fillId="16" borderId="86" xfId="0" applyFont="1" applyFill="1" applyBorder="1" applyProtection="1"/>
    <xf numFmtId="0" fontId="2" fillId="16" borderId="129" xfId="0" applyFont="1" applyFill="1" applyBorder="1" applyProtection="1"/>
    <xf numFmtId="0" fontId="2" fillId="9" borderId="229" xfId="0" applyFont="1" applyFill="1" applyBorder="1" applyAlignment="1" applyProtection="1">
      <alignment wrapText="1"/>
    </xf>
    <xf numFmtId="0" fontId="16" fillId="0" borderId="40" xfId="0" applyFont="1" applyBorder="1" applyProtection="1"/>
    <xf numFmtId="9" fontId="40" fillId="16" borderId="237" xfId="0" applyNumberFormat="1" applyFont="1" applyFill="1" applyBorder="1" applyAlignment="1" applyProtection="1">
      <alignment horizontal="center" vertical="center" wrapText="1"/>
    </xf>
    <xf numFmtId="41" fontId="15" fillId="6" borderId="277" xfId="0" applyNumberFormat="1" applyFont="1" applyFill="1" applyBorder="1" applyAlignment="1" applyProtection="1">
      <alignment horizontal="center"/>
    </xf>
    <xf numFmtId="41" fontId="15" fillId="6" borderId="278" xfId="0" applyNumberFormat="1" applyFont="1" applyFill="1" applyBorder="1" applyAlignment="1" applyProtection="1">
      <alignment horizontal="center"/>
    </xf>
    <xf numFmtId="41" fontId="15" fillId="6" borderId="299" xfId="0" applyNumberFormat="1" applyFont="1" applyFill="1" applyBorder="1" applyAlignment="1" applyProtection="1">
      <alignment horizontal="center"/>
    </xf>
    <xf numFmtId="0" fontId="16" fillId="9" borderId="279" xfId="0" applyFont="1" applyFill="1" applyBorder="1" applyAlignment="1" applyProtection="1">
      <alignment horizontal="center"/>
    </xf>
    <xf numFmtId="9" fontId="40" fillId="16" borderId="242" xfId="0" applyNumberFormat="1" applyFont="1" applyFill="1" applyBorder="1" applyAlignment="1" applyProtection="1">
      <alignment horizontal="center" vertical="center" wrapText="1"/>
    </xf>
    <xf numFmtId="41" fontId="15" fillId="6" borderId="280" xfId="0" applyNumberFormat="1" applyFont="1" applyFill="1" applyBorder="1" applyAlignment="1" applyProtection="1">
      <alignment horizontal="center"/>
    </xf>
    <xf numFmtId="41" fontId="15" fillId="6" borderId="281" xfId="0" applyNumberFormat="1" applyFont="1" applyFill="1" applyBorder="1" applyAlignment="1" applyProtection="1">
      <alignment horizontal="center"/>
    </xf>
    <xf numFmtId="41" fontId="15" fillId="6" borderId="300" xfId="0" applyNumberFormat="1" applyFont="1" applyFill="1" applyBorder="1" applyAlignment="1" applyProtection="1">
      <alignment horizontal="center"/>
    </xf>
    <xf numFmtId="0" fontId="16" fillId="9" borderId="282" xfId="0" applyFont="1" applyFill="1" applyBorder="1" applyAlignment="1" applyProtection="1">
      <alignment horizontal="center"/>
    </xf>
    <xf numFmtId="9" fontId="40" fillId="16" borderId="62" xfId="0" applyNumberFormat="1" applyFont="1" applyFill="1" applyBorder="1" applyAlignment="1" applyProtection="1">
      <alignment horizontal="center" vertical="center" wrapText="1"/>
    </xf>
    <xf numFmtId="41" fontId="15" fillId="6" borderId="301" xfId="0" applyNumberFormat="1" applyFont="1" applyFill="1" applyBorder="1" applyAlignment="1" applyProtection="1">
      <alignment horizontal="center"/>
    </xf>
    <xf numFmtId="41" fontId="15" fillId="6" borderId="101" xfId="0" applyNumberFormat="1" applyFont="1" applyFill="1" applyBorder="1" applyAlignment="1" applyProtection="1">
      <alignment horizontal="center"/>
    </xf>
    <xf numFmtId="41" fontId="15" fillId="6" borderId="302" xfId="0" applyNumberFormat="1" applyFont="1" applyFill="1" applyBorder="1" applyAlignment="1" applyProtection="1">
      <alignment horizontal="center"/>
    </xf>
    <xf numFmtId="0" fontId="16" fillId="9" borderId="117" xfId="0" applyFont="1" applyFill="1" applyBorder="1" applyAlignment="1" applyProtection="1">
      <alignment horizontal="center"/>
    </xf>
    <xf numFmtId="9" fontId="40" fillId="16" borderId="106" xfId="0" applyNumberFormat="1" applyFont="1" applyFill="1" applyBorder="1" applyAlignment="1" applyProtection="1">
      <alignment horizontal="center" vertical="center" wrapText="1"/>
    </xf>
    <xf numFmtId="0" fontId="16" fillId="9" borderId="225" xfId="0" applyFont="1" applyFill="1" applyBorder="1" applyAlignment="1" applyProtection="1">
      <alignment horizontal="center"/>
    </xf>
    <xf numFmtId="0" fontId="0" fillId="9" borderId="225" xfId="0" applyFont="1" applyFill="1" applyBorder="1" applyAlignment="1" applyProtection="1">
      <alignment horizontal="center"/>
    </xf>
    <xf numFmtId="0" fontId="20" fillId="9" borderId="61" xfId="0" applyFont="1" applyFill="1" applyBorder="1" applyAlignment="1" applyProtection="1">
      <alignment horizontal="center"/>
    </xf>
    <xf numFmtId="10" fontId="7" fillId="16" borderId="295" xfId="0" applyNumberFormat="1" applyFont="1" applyFill="1" applyBorder="1" applyAlignment="1" applyProtection="1">
      <alignment horizontal="center" vertical="center" wrapText="1"/>
    </xf>
    <xf numFmtId="41" fontId="15" fillId="6" borderId="283" xfId="0" applyNumberFormat="1" applyFont="1" applyFill="1" applyBorder="1" applyAlignment="1" applyProtection="1">
      <alignment horizontal="center"/>
    </xf>
    <xf numFmtId="41" fontId="15" fillId="6" borderId="284" xfId="0" applyNumberFormat="1" applyFont="1" applyFill="1" applyBorder="1" applyAlignment="1" applyProtection="1">
      <alignment horizontal="center"/>
    </xf>
    <xf numFmtId="41" fontId="15" fillId="6" borderId="303" xfId="0" applyNumberFormat="1" applyFont="1" applyFill="1" applyBorder="1" applyAlignment="1" applyProtection="1">
      <alignment horizontal="center"/>
    </xf>
    <xf numFmtId="0" fontId="16" fillId="9" borderId="286" xfId="0" applyFont="1" applyFill="1" applyBorder="1" applyAlignment="1" applyProtection="1">
      <alignment horizontal="center"/>
    </xf>
    <xf numFmtId="10" fontId="7" fillId="16" borderId="296" xfId="0" applyNumberFormat="1" applyFont="1" applyFill="1" applyBorder="1" applyAlignment="1" applyProtection="1">
      <alignment horizontal="center" vertical="center" wrapText="1"/>
    </xf>
    <xf numFmtId="41" fontId="15" fillId="6" borderId="291" xfId="0" applyNumberFormat="1" applyFont="1" applyFill="1" applyBorder="1" applyAlignment="1" applyProtection="1">
      <alignment horizontal="center"/>
    </xf>
    <xf numFmtId="41" fontId="15" fillId="6" borderId="292" xfId="0" applyNumberFormat="1" applyFont="1" applyFill="1" applyBorder="1" applyAlignment="1" applyProtection="1">
      <alignment horizontal="center"/>
    </xf>
    <xf numFmtId="41" fontId="15" fillId="6" borderId="304" xfId="0" applyNumberFormat="1" applyFont="1" applyFill="1" applyBorder="1" applyAlignment="1" applyProtection="1">
      <alignment horizontal="center"/>
    </xf>
    <xf numFmtId="0" fontId="16" fillId="9" borderId="290"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0" xfId="0" applyFont="1" applyFill="1" applyBorder="1" applyAlignment="1" applyProtection="1">
      <alignment horizontal="center"/>
    </xf>
    <xf numFmtId="0" fontId="16" fillId="9" borderId="275" xfId="0" applyFont="1" applyFill="1" applyBorder="1" applyAlignment="1" applyProtection="1">
      <alignment horizontal="center"/>
    </xf>
    <xf numFmtId="0" fontId="16" fillId="9" borderId="100" xfId="0" applyFont="1" applyFill="1" applyBorder="1" applyAlignment="1" applyProtection="1">
      <alignment horizontal="center"/>
    </xf>
    <xf numFmtId="0" fontId="0" fillId="9" borderId="100" xfId="0" applyFont="1" applyFill="1" applyBorder="1" applyAlignment="1" applyProtection="1">
      <alignment horizontal="center"/>
    </xf>
    <xf numFmtId="0" fontId="20" fillId="9" borderId="83"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17"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21" xfId="0" applyFont="1" applyFill="1" applyBorder="1" applyAlignment="1" applyProtection="1">
      <alignment horizontal="center"/>
    </xf>
    <xf numFmtId="9" fontId="40" fillId="16" borderId="276" xfId="0" applyNumberFormat="1" applyFont="1" applyFill="1" applyBorder="1" applyAlignment="1" applyProtection="1">
      <alignment horizontal="center" vertical="center" wrapText="1"/>
    </xf>
    <xf numFmtId="0" fontId="16" fillId="6" borderId="27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6" borderId="269" xfId="0" applyFont="1" applyFill="1" applyBorder="1" applyAlignment="1" applyProtection="1">
      <alignment horizontal="center"/>
    </xf>
    <xf numFmtId="0" fontId="16" fillId="9" borderId="215" xfId="0" applyFont="1" applyFill="1" applyBorder="1" applyAlignment="1" applyProtection="1">
      <alignment horizontal="center"/>
    </xf>
    <xf numFmtId="0" fontId="2" fillId="16" borderId="298" xfId="0" applyFont="1" applyFill="1" applyBorder="1" applyAlignment="1" applyProtection="1">
      <alignment horizontal="center" vertical="center"/>
    </xf>
    <xf numFmtId="0" fontId="16" fillId="6" borderId="291" xfId="0" applyFont="1" applyFill="1" applyBorder="1" applyAlignment="1" applyProtection="1">
      <alignment horizontal="center"/>
    </xf>
    <xf numFmtId="0" fontId="16" fillId="6" borderId="292" xfId="0" applyFont="1" applyFill="1" applyBorder="1" applyAlignment="1" applyProtection="1">
      <alignment horizontal="center"/>
    </xf>
    <xf numFmtId="0" fontId="16" fillId="6" borderId="305" xfId="0" applyFont="1" applyFill="1" applyBorder="1" applyAlignment="1" applyProtection="1">
      <alignment horizontal="center"/>
    </xf>
    <xf numFmtId="0" fontId="20" fillId="21" borderId="108"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14" fontId="3" fillId="0" borderId="50" xfId="0" applyNumberFormat="1" applyFont="1" applyBorder="1" applyProtection="1">
      <protection locked="0"/>
    </xf>
    <xf numFmtId="14" fontId="16" fillId="0" borderId="239" xfId="0" applyNumberFormat="1" applyFont="1" applyFill="1" applyBorder="1" applyAlignment="1" applyProtection="1">
      <protection locked="0"/>
    </xf>
    <xf numFmtId="14" fontId="16" fillId="0" borderId="244" xfId="0" applyNumberFormat="1" applyFont="1" applyFill="1" applyBorder="1" applyAlignment="1" applyProtection="1">
      <protection locked="0"/>
    </xf>
    <xf numFmtId="14" fontId="16" fillId="0" borderId="262" xfId="0" applyNumberFormat="1" applyFont="1" applyFill="1" applyBorder="1" applyAlignment="1" applyProtection="1">
      <protection locked="0"/>
    </xf>
    <xf numFmtId="0" fontId="81" fillId="34" borderId="554"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55"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56" xfId="1" applyFont="1" applyFill="1" applyBorder="1" applyProtection="1">
      <protection locked="0"/>
    </xf>
    <xf numFmtId="44" fontId="16" fillId="0" borderId="278" xfId="1" applyFont="1" applyFill="1" applyBorder="1" applyProtection="1">
      <protection locked="0"/>
    </xf>
    <xf numFmtId="44" fontId="16" fillId="0" borderId="281" xfId="1" applyFont="1" applyFill="1" applyBorder="1" applyProtection="1">
      <protection locked="0"/>
    </xf>
    <xf numFmtId="44" fontId="16" fillId="0" borderId="392" xfId="1" applyFont="1" applyFill="1" applyBorder="1" applyProtection="1">
      <protection locked="0"/>
    </xf>
    <xf numFmtId="44" fontId="16" fillId="0" borderId="288" xfId="1" applyFont="1" applyFill="1" applyBorder="1" applyProtection="1">
      <protection locked="0"/>
    </xf>
    <xf numFmtId="44" fontId="16" fillId="0" borderId="416" xfId="1" applyFont="1" applyFill="1" applyBorder="1" applyProtection="1">
      <protection locked="0"/>
    </xf>
    <xf numFmtId="44" fontId="16" fillId="0" borderId="417" xfId="1" applyFont="1" applyFill="1" applyBorder="1" applyProtection="1">
      <protection locked="0"/>
    </xf>
    <xf numFmtId="44" fontId="41" fillId="6" borderId="143"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44" fontId="41" fillId="6" borderId="364" xfId="0" applyNumberFormat="1" applyFont="1" applyFill="1" applyBorder="1" applyAlignment="1" applyProtection="1">
      <alignment vertical="center"/>
    </xf>
    <xf numFmtId="44" fontId="41" fillId="6" borderId="367" xfId="0" applyNumberFormat="1" applyFont="1" applyFill="1" applyBorder="1" applyAlignment="1" applyProtection="1">
      <alignment vertical="center"/>
    </xf>
    <xf numFmtId="173" fontId="20" fillId="5" borderId="437" xfId="0" applyNumberFormat="1" applyFont="1" applyFill="1" applyBorder="1" applyAlignment="1" applyProtection="1">
      <alignment horizontal="center" vertical="center"/>
      <protection locked="0"/>
    </xf>
    <xf numFmtId="173" fontId="20" fillId="5" borderId="438" xfId="0" applyNumberFormat="1" applyFont="1" applyFill="1" applyBorder="1" applyAlignment="1" applyProtection="1">
      <alignment horizontal="center" vertical="center"/>
      <protection locked="0"/>
    </xf>
    <xf numFmtId="173" fontId="20" fillId="5" borderId="438" xfId="0" applyNumberFormat="1" applyFont="1" applyFill="1" applyBorder="1" applyAlignment="1" applyProtection="1">
      <alignment horizontal="center"/>
      <protection locked="0"/>
    </xf>
    <xf numFmtId="0" fontId="81" fillId="3" borderId="591" xfId="4" applyFont="1" applyFill="1" applyBorder="1"/>
    <xf numFmtId="165" fontId="80" fillId="5" borderId="0" xfId="2" applyNumberFormat="1" applyFont="1" applyFill="1" applyBorder="1" applyAlignment="1"/>
    <xf numFmtId="165" fontId="80" fillId="5" borderId="550" xfId="2" applyNumberFormat="1" applyFont="1" applyFill="1" applyBorder="1" applyAlignment="1"/>
    <xf numFmtId="3" fontId="80" fillId="0" borderId="550" xfId="4" applyNumberFormat="1" applyFont="1" applyFill="1" applyBorder="1" applyAlignment="1">
      <alignment horizontal="right"/>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5" xfId="0" applyFont="1" applyFill="1" applyBorder="1" applyAlignment="1" applyProtection="1">
      <alignment horizontal="right" vertical="center"/>
    </xf>
    <xf numFmtId="0" fontId="0" fillId="0" borderId="0" xfId="0" applyFont="1" applyFill="1" applyBorder="1" applyProtection="1"/>
    <xf numFmtId="0" fontId="20" fillId="0" borderId="593" xfId="0" applyFont="1" applyFill="1" applyBorder="1" applyAlignment="1" applyProtection="1"/>
    <xf numFmtId="0" fontId="0" fillId="16" borderId="249" xfId="0" applyFill="1" applyBorder="1" applyProtection="1">
      <protection locked="0"/>
    </xf>
    <xf numFmtId="0" fontId="16" fillId="16" borderId="249" xfId="0" applyFont="1" applyFill="1" applyBorder="1" applyProtection="1"/>
    <xf numFmtId="0" fontId="16" fillId="16" borderId="249" xfId="0" applyFont="1" applyFill="1" applyBorder="1" applyAlignment="1" applyProtection="1">
      <alignment horizontal="left"/>
    </xf>
    <xf numFmtId="0" fontId="16" fillId="16" borderId="595" xfId="0" applyFont="1" applyFill="1" applyBorder="1" applyProtection="1"/>
    <xf numFmtId="0" fontId="20" fillId="0" borderId="596" xfId="0" applyFont="1" applyBorder="1" applyAlignment="1" applyProtection="1">
      <alignment horizontal="left" indent="1"/>
    </xf>
    <xf numFmtId="0" fontId="16" fillId="0" borderId="597" xfId="0" applyFont="1" applyBorder="1" applyProtection="1"/>
    <xf numFmtId="0" fontId="16" fillId="0" borderId="596" xfId="0" applyFont="1" applyBorder="1" applyAlignment="1" applyProtection="1">
      <alignment horizontal="left" indent="1"/>
    </xf>
    <xf numFmtId="0" fontId="20" fillId="0" borderId="596" xfId="0" applyFont="1" applyBorder="1" applyAlignment="1" applyProtection="1"/>
    <xf numFmtId="0" fontId="17" fillId="0" borderId="598" xfId="0" applyFont="1" applyBorder="1" applyAlignment="1" applyProtection="1"/>
    <xf numFmtId="0" fontId="16" fillId="0" borderId="596" xfId="0" applyFont="1" applyBorder="1" applyProtection="1"/>
    <xf numFmtId="0" fontId="16" fillId="0" borderId="225" xfId="0" applyFont="1" applyFill="1" applyBorder="1" applyAlignment="1" applyProtection="1">
      <alignment horizontal="center" vertical="center"/>
      <protection locked="0"/>
    </xf>
    <xf numFmtId="0" fontId="16" fillId="0" borderId="226" xfId="0" applyFont="1" applyFill="1" applyBorder="1" applyAlignment="1" applyProtection="1">
      <alignment vertical="center"/>
    </xf>
    <xf numFmtId="0" fontId="16" fillId="0" borderId="599" xfId="0" applyFont="1" applyBorder="1" applyProtection="1"/>
    <xf numFmtId="0" fontId="16" fillId="0" borderId="592" xfId="0" applyFont="1" applyFill="1" applyBorder="1" applyProtection="1"/>
    <xf numFmtId="0" fontId="16" fillId="0" borderId="592" xfId="0" applyFont="1" applyFill="1" applyBorder="1" applyAlignment="1" applyProtection="1">
      <alignment horizontal="right" vertical="center"/>
    </xf>
    <xf numFmtId="0" fontId="16" fillId="0" borderId="592" xfId="0" applyFont="1" applyFill="1" applyBorder="1" applyAlignment="1" applyProtection="1">
      <alignment horizontal="center" vertical="center"/>
      <protection locked="0"/>
    </xf>
    <xf numFmtId="0" fontId="16" fillId="0" borderId="592" xfId="0" applyFont="1" applyFill="1" applyBorder="1" applyAlignment="1" applyProtection="1">
      <alignment horizontal="left" vertical="center"/>
    </xf>
    <xf numFmtId="0" fontId="16" fillId="0" borderId="600" xfId="0" applyFont="1" applyBorder="1" applyProtection="1"/>
    <xf numFmtId="0" fontId="16" fillId="0" borderId="601" xfId="0" applyFont="1" applyBorder="1" applyProtection="1"/>
    <xf numFmtId="0" fontId="15" fillId="16" borderId="594" xfId="0" applyFont="1" applyFill="1" applyBorder="1" applyAlignment="1" applyProtection="1">
      <alignment vertical="top"/>
    </xf>
    <xf numFmtId="0" fontId="48" fillId="0" borderId="0" xfId="0" applyFont="1" applyFill="1" applyBorder="1" applyAlignment="1" applyProtection="1">
      <alignment vertical="top"/>
    </xf>
    <xf numFmtId="0" fontId="16" fillId="0" borderId="0" xfId="0" applyFont="1" applyFill="1" applyBorder="1" applyAlignment="1" applyProtection="1"/>
    <xf numFmtId="0" fontId="16" fillId="0" borderId="0" xfId="0" applyFont="1" applyFill="1" applyBorder="1" applyAlignment="1" applyProtection="1">
      <alignment horizontal="left"/>
    </xf>
    <xf numFmtId="0" fontId="16" fillId="0" borderId="244" xfId="0" applyFont="1" applyFill="1" applyBorder="1" applyAlignment="1" applyProtection="1">
      <protection locked="0"/>
    </xf>
    <xf numFmtId="0" fontId="16" fillId="8" borderId="252" xfId="0" applyFont="1" applyFill="1" applyBorder="1" applyAlignment="1" applyProtection="1"/>
    <xf numFmtId="0" fontId="16" fillId="8" borderId="220" xfId="0" applyFont="1" applyFill="1" applyBorder="1" applyAlignment="1" applyProtection="1"/>
    <xf numFmtId="0" fontId="20" fillId="16" borderId="140" xfId="0" applyFont="1" applyFill="1" applyBorder="1" applyAlignment="1" applyProtection="1">
      <alignment wrapText="1"/>
    </xf>
    <xf numFmtId="0" fontId="20" fillId="16" borderId="141" xfId="0" applyFont="1" applyFill="1" applyBorder="1" applyAlignment="1" applyProtection="1">
      <alignment wrapText="1"/>
    </xf>
    <xf numFmtId="0" fontId="16" fillId="0" borderId="239" xfId="0" applyFont="1" applyFill="1" applyBorder="1" applyAlignment="1" applyProtection="1">
      <protection locked="0"/>
    </xf>
    <xf numFmtId="0" fontId="0" fillId="8" borderId="267" xfId="0" applyFont="1" applyFill="1" applyBorder="1" applyAlignment="1" applyProtection="1"/>
    <xf numFmtId="0" fontId="15" fillId="0" borderId="391" xfId="0" applyFont="1" applyFill="1" applyBorder="1" applyAlignment="1" applyProtection="1">
      <alignment horizontal="center"/>
      <protection locked="0"/>
    </xf>
    <xf numFmtId="0" fontId="0" fillId="0" borderId="391" xfId="0" applyFont="1" applyFill="1" applyBorder="1" applyAlignment="1" applyProtection="1">
      <alignment horizontal="center"/>
      <protection locked="0"/>
    </xf>
    <xf numFmtId="14" fontId="3" fillId="0" borderId="246" xfId="0" applyNumberFormat="1" applyFont="1" applyFill="1" applyBorder="1" applyAlignment="1" applyProtection="1">
      <alignment horizontal="center"/>
      <protection locked="0"/>
    </xf>
    <xf numFmtId="14" fontId="3" fillId="0" borderId="610" xfId="0" applyNumberFormat="1" applyFont="1" applyFill="1" applyBorder="1" applyAlignment="1" applyProtection="1">
      <alignment horizontal="center"/>
      <protection locked="0"/>
    </xf>
    <xf numFmtId="0" fontId="20" fillId="16" borderId="609" xfId="0" applyFont="1" applyFill="1" applyBorder="1" applyAlignment="1" applyProtection="1">
      <alignment horizontal="center" vertical="center" wrapText="1"/>
    </xf>
    <xf numFmtId="0" fontId="20" fillId="16" borderId="605" xfId="0" applyFont="1" applyFill="1" applyBorder="1" applyAlignment="1" applyProtection="1">
      <alignment horizontal="center" vertical="center" wrapText="1"/>
    </xf>
    <xf numFmtId="0" fontId="20" fillId="16" borderId="605" xfId="0" applyFont="1" applyFill="1" applyBorder="1" applyAlignment="1" applyProtection="1">
      <alignment horizontal="center" vertical="center"/>
    </xf>
    <xf numFmtId="9" fontId="20" fillId="16" borderId="604" xfId="0" applyNumberFormat="1" applyFont="1" applyFill="1" applyBorder="1" applyAlignment="1" applyProtection="1">
      <alignment horizontal="center" vertical="center" wrapText="1"/>
    </xf>
    <xf numFmtId="9" fontId="43" fillId="16" borderId="604" xfId="0" applyNumberFormat="1" applyFont="1" applyFill="1" applyBorder="1" applyAlignment="1" applyProtection="1">
      <alignment horizontal="center" vertical="center" wrapText="1"/>
    </xf>
    <xf numFmtId="9" fontId="20" fillId="16" borderId="605" xfId="0" applyNumberFormat="1" applyFont="1" applyFill="1" applyBorder="1" applyAlignment="1" applyProtection="1">
      <alignment horizontal="center" vertical="center" wrapText="1"/>
    </xf>
    <xf numFmtId="9" fontId="20" fillId="16" borderId="225" xfId="0" applyNumberFormat="1" applyFont="1" applyFill="1" applyBorder="1" applyAlignment="1" applyProtection="1">
      <alignment horizontal="center" vertical="center" wrapText="1"/>
    </xf>
    <xf numFmtId="9" fontId="20" fillId="16" borderId="227" xfId="0" applyNumberFormat="1" applyFont="1" applyFill="1" applyBorder="1" applyAlignment="1" applyProtection="1">
      <alignment horizontal="center" vertical="center" wrapText="1"/>
    </xf>
    <xf numFmtId="0" fontId="15" fillId="0" borderId="296" xfId="0" applyFont="1" applyFill="1" applyBorder="1" applyAlignment="1" applyProtection="1">
      <alignment horizontal="center"/>
      <protection locked="0"/>
    </xf>
    <xf numFmtId="0" fontId="41" fillId="0" borderId="288" xfId="0" applyFont="1" applyFill="1" applyBorder="1" applyAlignment="1" applyProtection="1">
      <alignment horizontal="center"/>
      <protection locked="0"/>
    </xf>
    <xf numFmtId="0" fontId="16" fillId="0" borderId="288" xfId="0" applyFont="1" applyFill="1" applyBorder="1" applyAlignment="1" applyProtection="1">
      <alignment horizontal="center"/>
      <protection locked="0"/>
    </xf>
    <xf numFmtId="0" fontId="16" fillId="0" borderId="289" xfId="0" applyFont="1" applyFill="1" applyBorder="1" applyAlignment="1" applyProtection="1">
      <alignment horizontal="center"/>
      <protection locked="0"/>
    </xf>
    <xf numFmtId="0" fontId="15" fillId="0" borderId="332" xfId="0" applyFont="1" applyFill="1" applyBorder="1" applyAlignment="1" applyProtection="1">
      <alignment horizontal="center"/>
      <protection locked="0"/>
    </xf>
    <xf numFmtId="0" fontId="42" fillId="0" borderId="294" xfId="0" applyFont="1" applyBorder="1" applyAlignment="1" applyProtection="1">
      <alignmen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center"/>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395" xfId="0" applyFont="1" applyFill="1" applyBorder="1" applyAlignment="1" applyProtection="1">
      <alignment horizontal="center"/>
    </xf>
    <xf numFmtId="0" fontId="3" fillId="0" borderId="293" xfId="0" applyNumberFormat="1" applyFont="1" applyFill="1" applyBorder="1" applyAlignment="1" applyProtection="1">
      <alignment horizontal="center"/>
      <protection locked="0"/>
    </xf>
    <xf numFmtId="14" fontId="3" fillId="0" borderId="602" xfId="0" applyNumberFormat="1" applyFont="1" applyFill="1" applyBorder="1" applyAlignment="1" applyProtection="1">
      <alignment horizontal="center"/>
      <protection locked="0"/>
    </xf>
    <xf numFmtId="0" fontId="1" fillId="6" borderId="225" xfId="0" applyFont="1" applyFill="1" applyBorder="1" applyAlignment="1" applyProtection="1">
      <alignment horizontal="center"/>
    </xf>
    <xf numFmtId="0" fontId="3" fillId="6" borderId="67" xfId="0" applyFont="1" applyFill="1" applyBorder="1" applyAlignment="1" applyProtection="1">
      <alignment horizontal="center"/>
    </xf>
    <xf numFmtId="0" fontId="0" fillId="6" borderId="604" xfId="0" applyFont="1" applyFill="1" applyBorder="1" applyAlignment="1" applyProtection="1">
      <alignment horizontal="center"/>
      <protection locked="0"/>
    </xf>
    <xf numFmtId="0" fontId="0" fillId="6" borderId="605" xfId="0" applyFont="1" applyFill="1" applyBorder="1" applyAlignment="1" applyProtection="1">
      <alignment horizontal="center"/>
      <protection locked="0"/>
    </xf>
    <xf numFmtId="0" fontId="0" fillId="6" borderId="109" xfId="0" applyFill="1" applyBorder="1" applyProtection="1">
      <protection locked="0"/>
    </xf>
    <xf numFmtId="0" fontId="0" fillId="6" borderId="153" xfId="0" applyFill="1" applyBorder="1" applyProtection="1">
      <protection locked="0"/>
    </xf>
    <xf numFmtId="0" fontId="0" fillId="6" borderId="611" xfId="0" applyFill="1" applyBorder="1" applyProtection="1">
      <protection locked="0"/>
    </xf>
    <xf numFmtId="0" fontId="1" fillId="6" borderId="535" xfId="0" applyFont="1" applyFill="1" applyBorder="1" applyAlignment="1" applyProtection="1">
      <alignment horizontal="center"/>
    </xf>
    <xf numFmtId="14" fontId="3" fillId="0" borderId="293" xfId="0" applyNumberFormat="1" applyFont="1" applyFill="1" applyBorder="1" applyAlignment="1" applyProtection="1">
      <alignment horizontal="center"/>
      <protection locked="0"/>
    </xf>
    <xf numFmtId="0" fontId="20" fillId="16" borderId="11" xfId="0" applyFont="1" applyFill="1" applyBorder="1" applyAlignment="1" applyProtection="1">
      <alignment vertical="center"/>
    </xf>
    <xf numFmtId="3" fontId="16" fillId="26" borderId="546" xfId="0" applyNumberFormat="1" applyFont="1" applyFill="1" applyBorder="1" applyAlignment="1" applyProtection="1">
      <alignment vertical="center" wrapText="1"/>
    </xf>
    <xf numFmtId="0" fontId="40" fillId="16" borderId="218" xfId="0" applyFont="1" applyFill="1" applyBorder="1" applyProtection="1"/>
    <xf numFmtId="3" fontId="20" fillId="6" borderId="614" xfId="0" applyNumberFormat="1" applyFont="1" applyFill="1" applyBorder="1" applyAlignment="1" applyProtection="1">
      <alignment vertical="center"/>
    </xf>
    <xf numFmtId="3" fontId="20" fillId="6" borderId="311" xfId="0" applyNumberFormat="1" applyFont="1" applyFill="1" applyBorder="1" applyAlignment="1" applyProtection="1">
      <alignment vertical="center"/>
    </xf>
    <xf numFmtId="3" fontId="20" fillId="6" borderId="615" xfId="0" applyNumberFormat="1" applyFont="1" applyFill="1" applyBorder="1" applyAlignment="1" applyProtection="1">
      <alignment vertical="center"/>
    </xf>
    <xf numFmtId="3" fontId="20" fillId="6" borderId="5" xfId="0" applyNumberFormat="1" applyFont="1" applyFill="1" applyBorder="1" applyAlignment="1" applyProtection="1">
      <alignment vertical="center"/>
    </xf>
    <xf numFmtId="0" fontId="0" fillId="5" borderId="392" xfId="0" applyFont="1" applyFill="1" applyBorder="1" applyAlignment="1" applyProtection="1">
      <protection locked="0"/>
    </xf>
    <xf numFmtId="0" fontId="16" fillId="0" borderId="393" xfId="0" applyFont="1" applyBorder="1" applyAlignment="1" applyProtection="1">
      <protection locked="0"/>
    </xf>
    <xf numFmtId="0" fontId="24" fillId="5" borderId="295" xfId="0" applyFont="1" applyFill="1" applyBorder="1" applyAlignment="1" applyProtection="1">
      <protection locked="0"/>
    </xf>
    <xf numFmtId="0" fontId="0" fillId="5" borderId="606" xfId="0" applyFont="1" applyFill="1" applyBorder="1" applyAlignment="1" applyProtection="1">
      <protection locked="0"/>
    </xf>
    <xf numFmtId="0" fontId="0" fillId="5" borderId="242" xfId="0" applyFont="1" applyFill="1" applyBorder="1" applyAlignment="1" applyProtection="1">
      <protection locked="0"/>
    </xf>
    <xf numFmtId="0" fontId="0" fillId="5" borderId="274" xfId="0" applyFont="1" applyFill="1" applyBorder="1" applyAlignment="1" applyProtection="1">
      <protection locked="0"/>
    </xf>
    <xf numFmtId="0" fontId="0" fillId="5" borderId="402" xfId="0" applyFont="1" applyFill="1" applyBorder="1" applyAlignment="1" applyProtection="1">
      <protection locked="0"/>
    </xf>
    <xf numFmtId="0" fontId="0" fillId="5" borderId="408" xfId="0" applyFont="1" applyFill="1" applyBorder="1" applyAlignment="1" applyProtection="1">
      <protection locked="0"/>
    </xf>
    <xf numFmtId="0" fontId="3" fillId="6" borderId="82" xfId="0" applyFont="1" applyFill="1" applyBorder="1" applyProtection="1"/>
    <xf numFmtId="0" fontId="0" fillId="8" borderId="618" xfId="0" applyFont="1" applyFill="1" applyBorder="1" applyAlignment="1" applyProtection="1"/>
    <xf numFmtId="0" fontId="0" fillId="8" borderId="101" xfId="0" applyFont="1" applyFill="1" applyBorder="1" applyAlignment="1" applyProtection="1"/>
    <xf numFmtId="0" fontId="16" fillId="8" borderId="59" xfId="0" applyFont="1" applyFill="1" applyBorder="1" applyAlignment="1" applyProtection="1"/>
    <xf numFmtId="0" fontId="0" fillId="8" borderId="59" xfId="0" applyFont="1" applyFill="1" applyBorder="1" applyAlignment="1" applyProtection="1"/>
    <xf numFmtId="0" fontId="3" fillId="6" borderId="10" xfId="0" applyFont="1" applyFill="1" applyBorder="1" applyProtection="1"/>
    <xf numFmtId="0" fontId="3" fillId="41" borderId="155" xfId="0" applyFont="1" applyFill="1" applyBorder="1" applyProtection="1"/>
    <xf numFmtId="0" fontId="3" fillId="41" borderId="429" xfId="0" applyFont="1" applyFill="1" applyBorder="1" applyProtection="1"/>
    <xf numFmtId="0" fontId="5" fillId="16" borderId="579" xfId="0" applyFont="1" applyFill="1" applyBorder="1" applyAlignment="1" applyProtection="1">
      <alignment horizontal="right"/>
    </xf>
    <xf numFmtId="0" fontId="0" fillId="5" borderId="0" xfId="0" applyFill="1" applyProtection="1">
      <protection locked="0"/>
    </xf>
    <xf numFmtId="0" fontId="3" fillId="5" borderId="30" xfId="0" applyFont="1" applyFill="1" applyBorder="1" applyAlignment="1" applyProtection="1">
      <alignment vertical="center"/>
    </xf>
    <xf numFmtId="1" fontId="8" fillId="5" borderId="289" xfId="0" applyNumberFormat="1" applyFont="1" applyFill="1" applyBorder="1" applyAlignment="1" applyProtection="1">
      <protection locked="0"/>
    </xf>
    <xf numFmtId="0" fontId="3" fillId="5" borderId="31" xfId="0" applyFont="1" applyFill="1" applyBorder="1" applyAlignment="1" applyProtection="1">
      <alignment vertical="center"/>
    </xf>
    <xf numFmtId="42" fontId="5" fillId="8" borderId="289" xfId="0" applyNumberFormat="1" applyFont="1" applyFill="1" applyBorder="1" applyAlignment="1" applyProtection="1">
      <alignment wrapText="1"/>
    </xf>
    <xf numFmtId="42" fontId="5" fillId="8" borderId="440" xfId="0" applyNumberFormat="1" applyFont="1" applyFill="1" applyBorder="1" applyAlignment="1" applyProtection="1">
      <alignment wrapText="1"/>
    </xf>
    <xf numFmtId="1" fontId="8" fillId="5" borderId="305" xfId="0" applyNumberFormat="1" applyFont="1" applyFill="1" applyBorder="1" applyAlignment="1" applyProtection="1">
      <protection locked="0"/>
    </xf>
    <xf numFmtId="42" fontId="8" fillId="0" borderId="305" xfId="0" applyNumberFormat="1" applyFont="1" applyBorder="1" applyAlignment="1" applyProtection="1">
      <protection locked="0"/>
    </xf>
    <xf numFmtId="42" fontId="5" fillId="6" borderId="305" xfId="0" applyNumberFormat="1" applyFont="1" applyFill="1" applyBorder="1" applyAlignment="1" applyProtection="1">
      <alignment wrapText="1"/>
    </xf>
    <xf numFmtId="42" fontId="5" fillId="6" borderId="363" xfId="0" applyNumberFormat="1" applyFont="1" applyFill="1" applyBorder="1" applyAlignment="1" applyProtection="1">
      <alignment wrapText="1"/>
    </xf>
    <xf numFmtId="10" fontId="8" fillId="16" borderId="362" xfId="0" applyNumberFormat="1" applyFont="1" applyFill="1" applyBorder="1" applyAlignment="1" applyProtection="1">
      <alignment horizontal="center" vertical="center" wrapText="1"/>
    </xf>
    <xf numFmtId="9" fontId="8" fillId="0" borderId="540" xfId="0" applyNumberFormat="1" applyFont="1" applyBorder="1" applyAlignment="1" applyProtection="1">
      <alignment vertical="center"/>
      <protection locked="0"/>
    </xf>
    <xf numFmtId="1" fontId="8" fillId="0" borderId="449" xfId="0" applyNumberFormat="1" applyFont="1" applyBorder="1" applyAlignment="1" applyProtection="1">
      <protection locked="0"/>
    </xf>
    <xf numFmtId="42" fontId="8" fillId="0" borderId="449" xfId="0" applyNumberFormat="1" applyFont="1" applyBorder="1" applyAlignment="1" applyProtection="1">
      <protection locked="0"/>
    </xf>
    <xf numFmtId="42" fontId="5" fillId="6" borderId="449" xfId="0" applyNumberFormat="1" applyFont="1" applyFill="1" applyBorder="1" applyAlignment="1" applyProtection="1">
      <alignment wrapText="1"/>
    </xf>
    <xf numFmtId="42" fontId="5" fillId="6" borderId="436" xfId="0" applyNumberFormat="1" applyFont="1" applyFill="1" applyBorder="1" applyAlignment="1" applyProtection="1">
      <alignment wrapText="1"/>
    </xf>
    <xf numFmtId="0" fontId="16" fillId="0" borderId="0" xfId="0" applyFont="1" applyFill="1" applyBorder="1" applyAlignment="1" applyProtection="1"/>
    <xf numFmtId="0" fontId="20" fillId="16" borderId="140" xfId="0" applyFont="1" applyFill="1" applyBorder="1" applyAlignment="1" applyProtection="1">
      <alignment wrapText="1"/>
    </xf>
    <xf numFmtId="0" fontId="20" fillId="16" borderId="141" xfId="0" applyFont="1" applyFill="1" applyBorder="1" applyAlignment="1" applyProtection="1">
      <alignment wrapText="1"/>
    </xf>
    <xf numFmtId="0" fontId="0" fillId="0" borderId="0" xfId="0" applyProtection="1"/>
    <xf numFmtId="0" fontId="16" fillId="0" borderId="398" xfId="0" applyFont="1" applyFill="1" applyBorder="1" applyAlignment="1" applyProtection="1">
      <protection locked="0"/>
    </xf>
    <xf numFmtId="0" fontId="16" fillId="0" borderId="333" xfId="0" applyFont="1" applyFill="1" applyBorder="1" applyAlignment="1" applyProtection="1">
      <protection locked="0"/>
    </xf>
    <xf numFmtId="44" fontId="16" fillId="0" borderId="398" xfId="0" applyNumberFormat="1" applyFont="1" applyFill="1" applyBorder="1" applyAlignment="1" applyProtection="1">
      <protection locked="0"/>
    </xf>
    <xf numFmtId="44" fontId="16" fillId="0" borderId="399" xfId="0" applyNumberFormat="1" applyFont="1" applyFill="1" applyBorder="1" applyAlignment="1" applyProtection="1">
      <protection locked="0"/>
    </xf>
    <xf numFmtId="166" fontId="16" fillId="0" borderId="398" xfId="0" applyNumberFormat="1" applyFont="1" applyFill="1" applyBorder="1" applyAlignment="1" applyProtection="1">
      <protection locked="0"/>
    </xf>
    <xf numFmtId="0" fontId="16" fillId="0" borderId="294" xfId="0" applyFont="1" applyFill="1" applyBorder="1" applyAlignment="1" applyProtection="1">
      <protection locked="0"/>
    </xf>
    <xf numFmtId="0" fontId="16" fillId="0" borderId="620" xfId="0" applyFont="1" applyFill="1" applyBorder="1" applyAlignment="1" applyProtection="1">
      <protection locked="0"/>
    </xf>
    <xf numFmtId="166" fontId="16" fillId="0" borderId="621" xfId="0" applyNumberFormat="1" applyFont="1" applyFill="1" applyBorder="1" applyAlignment="1" applyProtection="1">
      <alignment wrapText="1"/>
      <protection locked="0"/>
    </xf>
    <xf numFmtId="166" fontId="16" fillId="0" borderId="592" xfId="0" applyNumberFormat="1" applyFont="1" applyFill="1" applyBorder="1" applyAlignment="1" applyProtection="1">
      <alignment wrapText="1"/>
      <protection locked="0"/>
    </xf>
    <xf numFmtId="0" fontId="16" fillId="0" borderId="622" xfId="0" applyFont="1" applyFill="1" applyBorder="1" applyAlignment="1" applyProtection="1">
      <protection locked="0"/>
    </xf>
    <xf numFmtId="0" fontId="16" fillId="0" borderId="623" xfId="0" applyFont="1" applyFill="1" applyBorder="1" applyAlignment="1" applyProtection="1">
      <protection locked="0"/>
    </xf>
    <xf numFmtId="0" fontId="17" fillId="0" borderId="0" xfId="0" applyFont="1" applyFill="1" applyBorder="1" applyAlignment="1" applyProtection="1"/>
    <xf numFmtId="0" fontId="17" fillId="0" borderId="0" xfId="0" applyFont="1" applyFill="1" applyBorder="1" applyAlignment="1" applyProtection="1">
      <alignment horizontal="left"/>
    </xf>
    <xf numFmtId="0" fontId="17" fillId="22" borderId="0" xfId="0" applyFont="1" applyFill="1" applyBorder="1" applyAlignment="1" applyProtection="1"/>
    <xf numFmtId="0" fontId="20" fillId="16" borderId="229" xfId="0" applyFont="1" applyFill="1" applyBorder="1" applyAlignment="1" applyProtection="1">
      <alignment wrapText="1"/>
    </xf>
    <xf numFmtId="44" fontId="16" fillId="8" borderId="85" xfId="0" applyNumberFormat="1" applyFont="1" applyFill="1" applyBorder="1" applyAlignment="1" applyProtection="1"/>
    <xf numFmtId="44" fontId="16" fillId="6" borderId="145" xfId="0" applyNumberFormat="1" applyFont="1" applyFill="1" applyBorder="1" applyAlignment="1" applyProtection="1"/>
    <xf numFmtId="0" fontId="17" fillId="0" borderId="0" xfId="0" applyFont="1" applyFill="1" applyBorder="1" applyProtection="1"/>
    <xf numFmtId="0" fontId="17" fillId="0" borderId="0" xfId="0" applyFont="1" applyFill="1" applyBorder="1" applyAlignment="1" applyProtection="1">
      <alignment vertical="center"/>
    </xf>
    <xf numFmtId="0" fontId="16" fillId="0" borderId="0" xfId="0" applyFont="1" applyFill="1" applyBorder="1" applyAlignment="1" applyProtection="1"/>
    <xf numFmtId="0" fontId="16" fillId="0" borderId="0" xfId="0" applyFont="1" applyFill="1" applyBorder="1" applyAlignment="1" applyProtection="1">
      <alignment horizontal="left"/>
    </xf>
    <xf numFmtId="0" fontId="17" fillId="0" borderId="73" xfId="0" applyFont="1" applyFill="1" applyBorder="1" applyAlignment="1" applyProtection="1"/>
    <xf numFmtId="0" fontId="21" fillId="16" borderId="0" xfId="0" applyFont="1" applyFill="1" applyBorder="1" applyAlignment="1" applyProtection="1"/>
    <xf numFmtId="0" fontId="20" fillId="16" borderId="140" xfId="0" applyFont="1" applyFill="1" applyBorder="1" applyAlignment="1" applyProtection="1">
      <alignment wrapText="1"/>
    </xf>
    <xf numFmtId="0" fontId="16" fillId="16" borderId="155" xfId="0" applyFont="1" applyFill="1" applyBorder="1" applyAlignment="1" applyProtection="1">
      <alignment wrapText="1"/>
    </xf>
    <xf numFmtId="0" fontId="16" fillId="0" borderId="237" xfId="0" applyFont="1" applyFill="1" applyBorder="1" applyAlignment="1" applyProtection="1">
      <alignment wrapText="1"/>
      <protection locked="0"/>
    </xf>
    <xf numFmtId="0" fontId="16" fillId="0" borderId="242" xfId="0" applyFont="1" applyFill="1" applyBorder="1" applyProtection="1">
      <protection locked="0"/>
    </xf>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165" fontId="16" fillId="0" borderId="253" xfId="0" applyNumberFormat="1" applyFont="1" applyFill="1" applyBorder="1" applyProtection="1"/>
    <xf numFmtId="44" fontId="41" fillId="0" borderId="319" xfId="0" applyNumberFormat="1" applyFont="1" applyFill="1" applyBorder="1" applyAlignment="1" applyProtection="1">
      <alignment horizontal="right" vertical="center"/>
    </xf>
    <xf numFmtId="44" fontId="41" fillId="0" borderId="320" xfId="0" applyNumberFormat="1" applyFont="1" applyFill="1" applyBorder="1" applyAlignment="1" applyProtection="1">
      <alignment horizontal="right" vertical="center"/>
    </xf>
    <xf numFmtId="165" fontId="16" fillId="0" borderId="77" xfId="0" applyNumberFormat="1" applyFont="1" applyFill="1" applyBorder="1" applyProtection="1"/>
    <xf numFmtId="165" fontId="16" fillId="0" borderId="370" xfId="0" applyNumberFormat="1" applyFont="1" applyFill="1" applyBorder="1" applyProtection="1"/>
    <xf numFmtId="44" fontId="41" fillId="0" borderId="322" xfId="0" applyNumberFormat="1" applyFont="1" applyFill="1" applyBorder="1" applyAlignment="1" applyProtection="1">
      <alignment horizontal="right" vertical="center"/>
    </xf>
    <xf numFmtId="44" fontId="41" fillId="0" borderId="323" xfId="0" applyNumberFormat="1" applyFont="1" applyFill="1" applyBorder="1" applyAlignment="1" applyProtection="1">
      <alignment horizontal="right" vertical="center"/>
    </xf>
    <xf numFmtId="44" fontId="41" fillId="0" borderId="325" xfId="0" applyNumberFormat="1" applyFont="1" applyFill="1" applyBorder="1" applyAlignment="1" applyProtection="1">
      <alignment horizontal="right" vertical="center"/>
    </xf>
    <xf numFmtId="44" fontId="41" fillId="0" borderId="326" xfId="0" applyNumberFormat="1" applyFont="1" applyFill="1" applyBorder="1" applyAlignment="1" applyProtection="1">
      <alignment horizontal="right" vertical="center"/>
    </xf>
    <xf numFmtId="44" fontId="41" fillId="0" borderId="418" xfId="0" applyNumberFormat="1" applyFont="1" applyFill="1" applyBorder="1" applyAlignment="1" applyProtection="1">
      <alignment horizontal="right" vertical="center"/>
    </xf>
    <xf numFmtId="44" fontId="41" fillId="0"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xf>
    <xf numFmtId="44" fontId="41" fillId="0" borderId="419" xfId="0" applyNumberFormat="1" applyFont="1" applyFill="1" applyBorder="1" applyAlignment="1" applyProtection="1">
      <alignment horizontal="right" vertical="center"/>
    </xf>
    <xf numFmtId="44" fontId="41" fillId="0" borderId="330" xfId="0" applyNumberFormat="1" applyFont="1" applyFill="1" applyBorder="1" applyAlignment="1" applyProtection="1">
      <alignment horizontal="right" vertical="center"/>
    </xf>
    <xf numFmtId="44" fontId="41" fillId="0" borderId="331" xfId="0" applyNumberFormat="1" applyFont="1" applyFill="1" applyBorder="1" applyAlignment="1" applyProtection="1">
      <alignment horizontal="right" vertical="center"/>
    </xf>
    <xf numFmtId="44" fontId="41" fillId="0" borderId="189" xfId="0" applyNumberFormat="1" applyFont="1" applyFill="1" applyBorder="1" applyAlignment="1" applyProtection="1">
      <alignment vertical="center"/>
    </xf>
    <xf numFmtId="44" fontId="41" fillId="0" borderId="179" xfId="0" applyNumberFormat="1" applyFont="1" applyFill="1" applyBorder="1" applyAlignment="1" applyProtection="1">
      <alignment vertical="center"/>
    </xf>
    <xf numFmtId="44" fontId="41" fillId="0" borderId="180" xfId="0" applyNumberFormat="1" applyFont="1" applyFill="1" applyBorder="1" applyAlignment="1" applyProtection="1">
      <alignment vertical="center"/>
    </xf>
    <xf numFmtId="165" fontId="16" fillId="0" borderId="376" xfId="0" applyNumberFormat="1" applyFont="1" applyFill="1" applyBorder="1" applyProtection="1"/>
    <xf numFmtId="44" fontId="41" fillId="0" borderId="188" xfId="0" applyNumberFormat="1" applyFont="1" applyFill="1" applyBorder="1" applyAlignment="1" applyProtection="1">
      <alignment vertical="center"/>
    </xf>
    <xf numFmtId="44" fontId="41" fillId="0" borderId="145" xfId="0" applyNumberFormat="1" applyFont="1" applyFill="1" applyBorder="1" applyAlignment="1" applyProtection="1">
      <alignment vertical="center"/>
    </xf>
    <xf numFmtId="0" fontId="0" fillId="0" borderId="633" xfId="0" applyBorder="1" applyProtection="1"/>
    <xf numFmtId="44" fontId="41" fillId="0" borderId="365" xfId="0" applyNumberFormat="1" applyFont="1" applyFill="1" applyBorder="1" applyAlignment="1" applyProtection="1">
      <alignment vertical="center"/>
    </xf>
    <xf numFmtId="44" fontId="41" fillId="0" borderId="366" xfId="0" applyNumberFormat="1" applyFont="1" applyFill="1" applyBorder="1" applyAlignment="1" applyProtection="1">
      <alignment vertical="center"/>
    </xf>
    <xf numFmtId="165" fontId="41" fillId="0" borderId="250" xfId="0" applyNumberFormat="1" applyFont="1" applyFill="1" applyBorder="1" applyAlignment="1" applyProtection="1">
      <alignment vertical="center"/>
    </xf>
    <xf numFmtId="0" fontId="0" fillId="0" borderId="634" xfId="0" applyBorder="1" applyProtection="1"/>
    <xf numFmtId="44" fontId="41" fillId="0" borderId="368" xfId="0" applyNumberFormat="1" applyFont="1" applyFill="1" applyBorder="1" applyAlignment="1" applyProtection="1">
      <alignment vertical="center"/>
    </xf>
    <xf numFmtId="44" fontId="41" fillId="0" borderId="369" xfId="0" applyNumberFormat="1" applyFont="1" applyFill="1" applyBorder="1" applyAlignment="1" applyProtection="1">
      <alignment vertical="center"/>
    </xf>
    <xf numFmtId="44" fontId="41" fillId="0" borderId="367" xfId="0" applyNumberFormat="1" applyFont="1" applyFill="1" applyBorder="1" applyAlignment="1" applyProtection="1">
      <alignment vertical="center"/>
    </xf>
    <xf numFmtId="165" fontId="41" fillId="0" borderId="370" xfId="0" applyNumberFormat="1" applyFont="1" applyFill="1" applyBorder="1" applyAlignment="1" applyProtection="1">
      <alignment vertical="center"/>
    </xf>
    <xf numFmtId="44" fontId="41" fillId="0" borderId="371" xfId="0" applyNumberFormat="1" applyFont="1" applyFill="1" applyBorder="1" applyAlignment="1" applyProtection="1">
      <alignment vertical="center"/>
    </xf>
    <xf numFmtId="44" fontId="41" fillId="0" borderId="372" xfId="0" applyNumberFormat="1" applyFont="1" applyFill="1" applyBorder="1" applyAlignment="1" applyProtection="1">
      <alignment vertical="center"/>
    </xf>
    <xf numFmtId="44" fontId="41" fillId="0" borderId="373" xfId="0" applyNumberFormat="1" applyFont="1" applyFill="1" applyBorder="1" applyAlignment="1" applyProtection="1">
      <alignment vertical="center"/>
    </xf>
    <xf numFmtId="44" fontId="41" fillId="0" borderId="318"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xf>
    <xf numFmtId="44" fontId="41" fillId="0" borderId="375" xfId="0" applyNumberFormat="1" applyFont="1" applyFill="1" applyBorder="1" applyAlignment="1" applyProtection="1">
      <alignment vertical="center"/>
    </xf>
    <xf numFmtId="44" fontId="41" fillId="0" borderId="329" xfId="0" applyNumberFormat="1" applyFont="1" applyFill="1" applyBorder="1" applyAlignment="1" applyProtection="1">
      <alignment horizontal="right" vertical="center"/>
    </xf>
    <xf numFmtId="165" fontId="41" fillId="0" borderId="143" xfId="0" applyNumberFormat="1" applyFont="1" applyFill="1" applyBorder="1" applyAlignment="1" applyProtection="1">
      <alignment vertical="center"/>
    </xf>
    <xf numFmtId="44" fontId="41" fillId="0" borderId="203" xfId="0" applyNumberFormat="1" applyFont="1" applyFill="1" applyBorder="1" applyAlignment="1" applyProtection="1">
      <alignment vertical="center"/>
    </xf>
    <xf numFmtId="44" fontId="41" fillId="0" borderId="183" xfId="0" applyNumberFormat="1" applyFont="1" applyFill="1" applyBorder="1" applyAlignment="1" applyProtection="1">
      <alignment horizontal="right" vertical="center"/>
    </xf>
    <xf numFmtId="165" fontId="41" fillId="0" borderId="201" xfId="0" applyNumberFormat="1" applyFont="1" applyFill="1" applyBorder="1" applyAlignment="1" applyProtection="1">
      <alignment vertical="center"/>
    </xf>
    <xf numFmtId="44" fontId="41" fillId="0" borderId="189" xfId="0" applyNumberFormat="1" applyFont="1" applyFill="1" applyBorder="1" applyAlignment="1" applyProtection="1">
      <alignment horizontal="right" vertical="center"/>
    </xf>
    <xf numFmtId="44" fontId="41" fillId="0" borderId="179" xfId="0" applyNumberFormat="1" applyFont="1" applyFill="1" applyBorder="1" applyAlignment="1" applyProtection="1">
      <alignment horizontal="right" vertical="center"/>
    </xf>
    <xf numFmtId="44" fontId="41" fillId="0" borderId="180" xfId="0" applyNumberFormat="1" applyFont="1" applyFill="1" applyBorder="1" applyAlignment="1" applyProtection="1">
      <alignment horizontal="right" vertical="center"/>
    </xf>
    <xf numFmtId="42" fontId="5" fillId="6" borderId="220" xfId="0" applyNumberFormat="1" applyFont="1" applyFill="1" applyBorder="1" applyAlignment="1" applyProtection="1">
      <alignment wrapText="1"/>
    </xf>
    <xf numFmtId="42" fontId="5" fillId="6" borderId="221" xfId="0" applyNumberFormat="1" applyFont="1" applyFill="1" applyBorder="1" applyAlignment="1" applyProtection="1">
      <alignment wrapText="1"/>
    </xf>
    <xf numFmtId="10" fontId="8" fillId="16" borderId="247" xfId="0" applyNumberFormat="1" applyFont="1" applyFill="1" applyBorder="1" applyAlignment="1" applyProtection="1">
      <alignment horizontal="center" vertical="center" wrapText="1"/>
    </xf>
    <xf numFmtId="1" fontId="8" fillId="0" borderId="289" xfId="0" applyNumberFormat="1" applyFont="1" applyFill="1" applyBorder="1" applyAlignment="1" applyProtection="1">
      <protection locked="0"/>
    </xf>
    <xf numFmtId="42" fontId="5" fillId="6" borderId="429" xfId="0" applyNumberFormat="1" applyFont="1" applyFill="1" applyBorder="1" applyAlignment="1" applyProtection="1">
      <alignment wrapText="1"/>
    </xf>
    <xf numFmtId="42" fontId="5" fillId="6" borderId="212" xfId="0" applyNumberFormat="1" applyFont="1" applyFill="1" applyBorder="1" applyAlignment="1" applyProtection="1">
      <alignment wrapText="1"/>
    </xf>
    <xf numFmtId="42" fontId="5" fillId="9" borderId="220" xfId="0" applyNumberFormat="1" applyFont="1" applyFill="1" applyBorder="1" applyAlignment="1" applyProtection="1">
      <alignment wrapText="1"/>
    </xf>
    <xf numFmtId="42" fontId="0" fillId="9" borderId="17" xfId="0" applyNumberFormat="1" applyFont="1" applyFill="1" applyBorder="1" applyAlignment="1" applyProtection="1">
      <alignment wrapText="1"/>
    </xf>
    <xf numFmtId="42" fontId="5" fillId="9" borderId="83" xfId="0" applyNumberFormat="1" applyFont="1" applyFill="1" applyBorder="1" applyAlignment="1" applyProtection="1">
      <alignment wrapText="1"/>
    </xf>
    <xf numFmtId="42" fontId="8" fillId="0" borderId="305" xfId="0" applyNumberFormat="1" applyFont="1" applyFill="1" applyBorder="1" applyAlignment="1" applyProtection="1">
      <protection locked="0"/>
    </xf>
    <xf numFmtId="42" fontId="5" fillId="6" borderId="292" xfId="0" applyNumberFormat="1" applyFont="1" applyFill="1" applyBorder="1" applyAlignment="1" applyProtection="1">
      <alignment wrapText="1"/>
    </xf>
    <xf numFmtId="0" fontId="20" fillId="0" borderId="155" xfId="0" applyFont="1" applyFill="1" applyBorder="1" applyProtection="1"/>
    <xf numFmtId="0" fontId="16" fillId="0" borderId="429" xfId="0" applyFont="1" applyFill="1" applyBorder="1" applyProtection="1"/>
    <xf numFmtId="0" fontId="16" fillId="0" borderId="430" xfId="0" applyFont="1" applyFill="1" applyBorder="1" applyProtection="1"/>
    <xf numFmtId="44" fontId="41" fillId="0" borderId="364" xfId="0" applyNumberFormat="1" applyFont="1" applyFill="1" applyBorder="1" applyAlignment="1" applyProtection="1">
      <alignment vertical="center"/>
    </xf>
    <xf numFmtId="44" fontId="41" fillId="0" borderId="181" xfId="0" applyNumberFormat="1" applyFont="1" applyFill="1" applyBorder="1" applyAlignment="1" applyProtection="1">
      <alignment horizontal="right" vertical="center"/>
    </xf>
    <xf numFmtId="44" fontId="41" fillId="0" borderId="321" xfId="0" applyNumberFormat="1" applyFont="1" applyFill="1" applyBorder="1" applyAlignment="1" applyProtection="1">
      <alignment vertical="center"/>
    </xf>
    <xf numFmtId="44" fontId="41" fillId="0" borderId="324" xfId="0" applyNumberFormat="1" applyFont="1" applyFill="1" applyBorder="1" applyAlignment="1" applyProtection="1">
      <alignment horizontal="right" vertical="center"/>
    </xf>
    <xf numFmtId="44" fontId="41" fillId="0" borderId="187" xfId="0" applyNumberFormat="1" applyFont="1" applyFill="1" applyBorder="1" applyAlignment="1" applyProtection="1">
      <alignment horizontal="right" vertical="center"/>
    </xf>
    <xf numFmtId="44" fontId="41" fillId="0" borderId="354" xfId="0" applyNumberFormat="1" applyFont="1" applyFill="1" applyBorder="1" applyAlignment="1" applyProtection="1">
      <alignment horizontal="right" vertical="center"/>
    </xf>
    <xf numFmtId="44" fontId="41" fillId="0" borderId="355" xfId="0" applyNumberFormat="1" applyFont="1" applyFill="1" applyBorder="1" applyAlignment="1" applyProtection="1">
      <alignment horizontal="right" vertical="center"/>
    </xf>
    <xf numFmtId="44" fontId="41" fillId="0" borderId="356" xfId="0" applyNumberFormat="1" applyFont="1" applyFill="1" applyBorder="1" applyAlignment="1" applyProtection="1">
      <alignment horizontal="right" vertical="center"/>
    </xf>
    <xf numFmtId="44" fontId="41" fillId="0" borderId="173" xfId="0" applyNumberFormat="1" applyFont="1" applyFill="1" applyBorder="1" applyAlignment="1" applyProtection="1">
      <alignment horizontal="right" vertical="center"/>
    </xf>
    <xf numFmtId="44" fontId="41" fillId="0" borderId="174"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horizontal="right" vertical="center"/>
    </xf>
    <xf numFmtId="44" fontId="41" fillId="6" borderId="613" xfId="0" applyNumberFormat="1" applyFont="1" applyFill="1" applyBorder="1" applyProtection="1"/>
    <xf numFmtId="44" fontId="41" fillId="5" borderId="2" xfId="0" applyNumberFormat="1" applyFont="1" applyFill="1" applyBorder="1" applyProtection="1">
      <protection locked="0"/>
    </xf>
    <xf numFmtId="44" fontId="41" fillId="5" borderId="449" xfId="0" applyNumberFormat="1" applyFont="1" applyFill="1" applyBorder="1" applyProtection="1">
      <protection locked="0"/>
    </xf>
    <xf numFmtId="44" fontId="41" fillId="6" borderId="635" xfId="0" applyNumberFormat="1" applyFont="1" applyFill="1" applyBorder="1" applyProtection="1"/>
    <xf numFmtId="5" fontId="108" fillId="7" borderId="0" xfId="0" applyNumberFormat="1" applyFont="1" applyFill="1" applyBorder="1" applyProtection="1"/>
    <xf numFmtId="0" fontId="0" fillId="7" borderId="0" xfId="0" applyFill="1" applyBorder="1" applyProtection="1"/>
    <xf numFmtId="5" fontId="108" fillId="40" borderId="0" xfId="0" applyNumberFormat="1" applyFont="1" applyFill="1" applyBorder="1" applyProtection="1"/>
    <xf numFmtId="44" fontId="41" fillId="40" borderId="429" xfId="0" applyNumberFormat="1" applyFont="1" applyFill="1" applyBorder="1" applyProtection="1">
      <protection locked="0"/>
    </xf>
    <xf numFmtId="44" fontId="41" fillId="40" borderId="429" xfId="0" applyNumberFormat="1" applyFont="1" applyFill="1" applyBorder="1" applyProtection="1"/>
    <xf numFmtId="44" fontId="2" fillId="6" borderId="83" xfId="0" applyNumberFormat="1" applyFont="1" applyFill="1" applyBorder="1" applyProtection="1"/>
    <xf numFmtId="44" fontId="20" fillId="0" borderId="143" xfId="0" applyNumberFormat="1" applyFont="1" applyFill="1" applyBorder="1" applyAlignment="1" applyProtection="1"/>
    <xf numFmtId="0" fontId="0" fillId="0" borderId="28" xfId="0" applyFont="1" applyFill="1" applyBorder="1" applyProtection="1"/>
    <xf numFmtId="0" fontId="0" fillId="22" borderId="0" xfId="0" applyFont="1" applyFill="1" applyProtection="1"/>
    <xf numFmtId="0" fontId="0" fillId="22" borderId="0" xfId="0" applyFont="1" applyFill="1" applyBorder="1" applyProtection="1"/>
    <xf numFmtId="0" fontId="16" fillId="0" borderId="237" xfId="0" applyFont="1" applyFill="1" applyBorder="1" applyAlignment="1" applyProtection="1">
      <alignment vertical="center"/>
    </xf>
    <xf numFmtId="0" fontId="16" fillId="0" borderId="271" xfId="0" applyFont="1" applyFill="1" applyBorder="1" applyAlignment="1" applyProtection="1">
      <alignment vertical="center"/>
    </xf>
    <xf numFmtId="44" fontId="16" fillId="0" borderId="237" xfId="0" applyNumberFormat="1" applyFont="1" applyFill="1" applyBorder="1" applyAlignment="1" applyProtection="1">
      <alignment vertical="center"/>
    </xf>
    <xf numFmtId="44" fontId="16" fillId="0" borderId="341" xfId="0" applyNumberFormat="1" applyFont="1" applyFill="1" applyBorder="1" applyAlignment="1" applyProtection="1"/>
    <xf numFmtId="0" fontId="16" fillId="0" borderId="242" xfId="0" applyFont="1" applyFill="1" applyBorder="1" applyAlignment="1" applyProtection="1">
      <alignment vertical="center"/>
    </xf>
    <xf numFmtId="0" fontId="16" fillId="0" borderId="274" xfId="0" applyFont="1" applyFill="1" applyBorder="1" applyAlignment="1" applyProtection="1">
      <alignment vertical="center"/>
    </xf>
    <xf numFmtId="44" fontId="16" fillId="0" borderId="242" xfId="0" applyNumberFormat="1" applyFont="1" applyFill="1" applyBorder="1" applyAlignment="1" applyProtection="1">
      <alignment vertical="center"/>
    </xf>
    <xf numFmtId="44" fontId="16" fillId="0" borderId="323" xfId="0" applyNumberFormat="1" applyFont="1" applyFill="1" applyBorder="1" applyAlignment="1" applyProtection="1"/>
    <xf numFmtId="0" fontId="16" fillId="0" borderId="237" xfId="0" applyFont="1" applyFill="1" applyBorder="1" applyAlignment="1" applyProtection="1"/>
    <xf numFmtId="0" fontId="16" fillId="0" borderId="271" xfId="0" applyFont="1" applyFill="1" applyBorder="1" applyAlignment="1" applyProtection="1"/>
    <xf numFmtId="44" fontId="16" fillId="0" borderId="237" xfId="0" applyNumberFormat="1" applyFont="1" applyFill="1" applyBorder="1" applyAlignment="1" applyProtection="1"/>
    <xf numFmtId="0" fontId="49" fillId="22" borderId="0" xfId="0" applyFont="1" applyFill="1" applyBorder="1" applyProtection="1"/>
    <xf numFmtId="0" fontId="16" fillId="0" borderId="242" xfId="0" applyFont="1" applyFill="1" applyBorder="1" applyAlignment="1" applyProtection="1"/>
    <xf numFmtId="0" fontId="16" fillId="0" borderId="274" xfId="0" applyFont="1" applyFill="1" applyBorder="1" applyAlignment="1" applyProtection="1"/>
    <xf numFmtId="44" fontId="16" fillId="0" borderId="242" xfId="0" applyNumberFormat="1" applyFont="1" applyFill="1" applyBorder="1" applyAlignment="1" applyProtection="1"/>
    <xf numFmtId="0" fontId="16" fillId="0" borderId="398" xfId="0" applyFont="1" applyFill="1" applyBorder="1" applyAlignment="1" applyProtection="1"/>
    <xf numFmtId="0" fontId="16" fillId="0" borderId="333" xfId="0" applyFont="1" applyFill="1" applyBorder="1" applyAlignment="1" applyProtection="1"/>
    <xf numFmtId="44" fontId="16" fillId="0" borderId="398" xfId="0" applyNumberFormat="1" applyFont="1" applyFill="1" applyBorder="1" applyAlignment="1" applyProtection="1"/>
    <xf numFmtId="44" fontId="16" fillId="0" borderId="320" xfId="0" applyNumberFormat="1" applyFont="1" applyFill="1" applyBorder="1" applyAlignment="1" applyProtection="1"/>
    <xf numFmtId="44" fontId="2" fillId="6" borderId="624" xfId="0" applyNumberFormat="1" applyFont="1" applyFill="1" applyBorder="1" applyProtection="1"/>
    <xf numFmtId="44" fontId="2" fillId="6" borderId="625" xfId="0" applyNumberFormat="1" applyFont="1" applyFill="1" applyBorder="1" applyProtection="1"/>
    <xf numFmtId="44" fontId="2" fillId="6" borderId="626" xfId="0" applyNumberFormat="1" applyFont="1" applyFill="1" applyBorder="1" applyProtection="1"/>
    <xf numFmtId="44" fontId="2" fillId="6" borderId="44" xfId="1" applyFont="1" applyFill="1" applyBorder="1" applyProtection="1"/>
    <xf numFmtId="44" fontId="24" fillId="6" borderId="626" xfId="0" applyNumberFormat="1" applyFont="1" applyFill="1" applyBorder="1" applyProtection="1"/>
    <xf numFmtId="44" fontId="24" fillId="6" borderId="44" xfId="1" applyFont="1" applyFill="1" applyBorder="1" applyProtection="1"/>
    <xf numFmtId="0" fontId="24" fillId="8" borderId="44" xfId="0" applyFont="1" applyFill="1" applyBorder="1" applyProtection="1"/>
    <xf numFmtId="44" fontId="2" fillId="6" borderId="628" xfId="0" applyNumberFormat="1" applyFont="1" applyFill="1" applyBorder="1" applyProtection="1"/>
    <xf numFmtId="44" fontId="2" fillId="6" borderId="627" xfId="0" applyNumberFormat="1" applyFont="1" applyFill="1" applyBorder="1" applyProtection="1"/>
    <xf numFmtId="0" fontId="0" fillId="0" borderId="33" xfId="0" applyFont="1" applyFill="1" applyBorder="1" applyProtection="1"/>
    <xf numFmtId="3" fontId="15" fillId="0" borderId="24" xfId="0" applyNumberFormat="1" applyFont="1" applyBorder="1" applyAlignment="1" applyProtection="1">
      <alignment vertical="center" wrapText="1"/>
      <protection locked="0"/>
    </xf>
    <xf numFmtId="3" fontId="15" fillId="0" borderId="449" xfId="0" applyNumberFormat="1" applyFont="1" applyBorder="1" applyAlignment="1" applyProtection="1">
      <alignment vertical="center" wrapText="1"/>
      <protection locked="0"/>
    </xf>
    <xf numFmtId="3" fontId="15" fillId="0" borderId="24" xfId="0" applyNumberFormat="1" applyFont="1" applyBorder="1" applyAlignment="1" applyProtection="1">
      <alignment vertical="center"/>
      <protection locked="0"/>
    </xf>
    <xf numFmtId="3" fontId="15" fillId="0" borderId="449" xfId="0" applyNumberFormat="1" applyFont="1" applyBorder="1" applyAlignment="1" applyProtection="1">
      <alignment vertical="center"/>
      <protection locked="0"/>
    </xf>
    <xf numFmtId="3" fontId="15" fillId="0" borderId="432" xfId="0" applyNumberFormat="1" applyFont="1" applyBorder="1" applyAlignment="1" applyProtection="1">
      <alignment vertical="center" wrapText="1"/>
      <protection locked="0"/>
    </xf>
    <xf numFmtId="3" fontId="15" fillId="0" borderId="289" xfId="0" applyNumberFormat="1" applyFont="1" applyBorder="1" applyAlignment="1" applyProtection="1">
      <alignment vertical="center" wrapText="1"/>
      <protection locked="0"/>
    </xf>
    <xf numFmtId="3" fontId="15" fillId="0" borderId="432" xfId="0" applyNumberFormat="1" applyFont="1" applyBorder="1" applyAlignment="1" applyProtection="1">
      <alignment vertical="center"/>
      <protection locked="0"/>
    </xf>
    <xf numFmtId="3" fontId="15" fillId="0" borderId="289" xfId="0" applyNumberFormat="1" applyFont="1" applyBorder="1" applyAlignment="1" applyProtection="1">
      <alignment vertical="center"/>
      <protection locked="0"/>
    </xf>
    <xf numFmtId="3" fontId="15" fillId="0" borderId="315" xfId="0" applyNumberFormat="1" applyFont="1" applyBorder="1" applyAlignment="1" applyProtection="1">
      <alignment vertical="center"/>
      <protection locked="0"/>
    </xf>
    <xf numFmtId="3" fontId="15" fillId="0" borderId="393" xfId="0" applyNumberFormat="1" applyFont="1" applyBorder="1" applyAlignment="1" applyProtection="1">
      <alignment vertical="center"/>
      <protection locked="0"/>
    </xf>
    <xf numFmtId="3" fontId="15" fillId="0" borderId="315" xfId="0" applyNumberFormat="1" applyFont="1" applyBorder="1" applyAlignment="1" applyProtection="1">
      <alignment vertical="center" wrapText="1"/>
      <protection locked="0"/>
    </xf>
    <xf numFmtId="3" fontId="15" fillId="0" borderId="393" xfId="0" applyNumberFormat="1" applyFont="1" applyBorder="1" applyAlignment="1" applyProtection="1">
      <alignment vertical="center" wrapText="1"/>
      <protection locked="0"/>
    </xf>
    <xf numFmtId="0" fontId="15" fillId="6" borderId="540" xfId="0" applyFont="1" applyFill="1" applyBorder="1" applyAlignment="1" applyProtection="1">
      <alignment horizontal="center"/>
    </xf>
    <xf numFmtId="3" fontId="15" fillId="6" borderId="24" xfId="0" applyNumberFormat="1" applyFont="1" applyFill="1" applyBorder="1" applyAlignment="1" applyProtection="1">
      <alignment vertical="center" wrapText="1"/>
    </xf>
    <xf numFmtId="3" fontId="15" fillId="27" borderId="24" xfId="0" applyNumberFormat="1" applyFont="1" applyFill="1" applyBorder="1" applyAlignment="1" applyProtection="1">
      <alignment vertical="center" wrapText="1"/>
    </xf>
    <xf numFmtId="3" fontId="15" fillId="6" borderId="77" xfId="0" applyNumberFormat="1" applyFont="1" applyFill="1" applyBorder="1" applyAlignment="1" applyProtection="1">
      <alignment vertical="center"/>
    </xf>
    <xf numFmtId="0" fontId="15" fillId="6" borderId="247" xfId="0" applyFont="1" applyFill="1" applyBorder="1" applyAlignment="1" applyProtection="1">
      <alignment horizontal="center"/>
    </xf>
    <xf numFmtId="3" fontId="15" fillId="6" borderId="432" xfId="0" applyNumberFormat="1" applyFont="1" applyFill="1" applyBorder="1" applyAlignment="1" applyProtection="1">
      <alignment vertical="center" wrapText="1"/>
    </xf>
    <xf numFmtId="3" fontId="15" fillId="27" borderId="432" xfId="0" applyNumberFormat="1" applyFont="1" applyFill="1" applyBorder="1" applyAlignment="1" applyProtection="1">
      <alignment vertical="center" wrapText="1"/>
    </xf>
    <xf numFmtId="3" fontId="15" fillId="6" borderId="613" xfId="0" applyNumberFormat="1" applyFont="1" applyFill="1" applyBorder="1" applyAlignment="1" applyProtection="1">
      <alignment vertical="center"/>
    </xf>
    <xf numFmtId="0" fontId="15" fillId="6" borderId="402" xfId="0" applyFont="1" applyFill="1" applyBorder="1" applyAlignment="1" applyProtection="1">
      <alignment horizontal="center"/>
    </xf>
    <xf numFmtId="3" fontId="15" fillId="6" borderId="315" xfId="0" applyNumberFormat="1" applyFont="1" applyFill="1" applyBorder="1" applyAlignment="1" applyProtection="1">
      <alignment vertical="center" wrapText="1"/>
    </xf>
    <xf numFmtId="3" fontId="15" fillId="27" borderId="315" xfId="0" applyNumberFormat="1" applyFont="1" applyFill="1" applyBorder="1" applyAlignment="1" applyProtection="1">
      <alignment vertical="center" wrapText="1"/>
    </xf>
    <xf numFmtId="3" fontId="15" fillId="6" borderId="413" xfId="0" applyNumberFormat="1" applyFont="1" applyFill="1" applyBorder="1" applyAlignment="1" applyProtection="1">
      <alignment vertical="center"/>
    </xf>
    <xf numFmtId="3" fontId="0" fillId="6" borderId="0" xfId="0" applyNumberFormat="1" applyFont="1" applyFill="1" applyBorder="1" applyAlignment="1" applyProtection="1"/>
    <xf numFmtId="0" fontId="0" fillId="6" borderId="0" xfId="0" applyFont="1" applyFill="1" applyBorder="1" applyAlignment="1" applyProtection="1"/>
    <xf numFmtId="0" fontId="0" fillId="20" borderId="225" xfId="0" applyFont="1" applyFill="1" applyBorder="1" applyAlignment="1" applyProtection="1"/>
    <xf numFmtId="3" fontId="0" fillId="6" borderId="3" xfId="0" applyNumberFormat="1" applyFont="1" applyFill="1" applyBorder="1" applyAlignment="1" applyProtection="1"/>
    <xf numFmtId="0" fontId="0" fillId="6" borderId="402" xfId="0" applyFont="1" applyFill="1" applyBorder="1" applyAlignment="1" applyProtection="1">
      <alignment horizontal="center"/>
    </xf>
    <xf numFmtId="3" fontId="15" fillId="6" borderId="533" xfId="0" applyNumberFormat="1" applyFont="1" applyFill="1" applyBorder="1" applyAlignment="1" applyProtection="1">
      <alignment vertical="center" wrapText="1"/>
    </xf>
    <xf numFmtId="3" fontId="15" fillId="6" borderId="616" xfId="0" applyNumberFormat="1" applyFont="1" applyFill="1" applyBorder="1" applyAlignment="1" applyProtection="1">
      <alignment vertical="center" wrapText="1"/>
    </xf>
    <xf numFmtId="3" fontId="15" fillId="27" borderId="533" xfId="0" applyNumberFormat="1" applyFont="1" applyFill="1" applyBorder="1" applyAlignment="1" applyProtection="1">
      <alignment vertical="center" wrapText="1"/>
    </xf>
    <xf numFmtId="3" fontId="15" fillId="20" borderId="535" xfId="0" applyNumberFormat="1" applyFont="1" applyFill="1" applyBorder="1" applyAlignment="1" applyProtection="1">
      <alignment vertical="center"/>
    </xf>
    <xf numFmtId="3" fontId="15" fillId="6" borderId="169" xfId="0" applyNumberFormat="1" applyFont="1" applyFill="1" applyBorder="1" applyAlignment="1" applyProtection="1">
      <alignment vertical="center"/>
    </xf>
    <xf numFmtId="3" fontId="15" fillId="6" borderId="617" xfId="0" applyNumberFormat="1" applyFont="1" applyFill="1" applyBorder="1" applyAlignment="1" applyProtection="1">
      <alignment vertical="center"/>
    </xf>
    <xf numFmtId="0" fontId="24" fillId="5" borderId="603" xfId="0" applyFont="1" applyFill="1" applyBorder="1" applyAlignment="1" applyProtection="1">
      <protection locked="0"/>
    </xf>
    <xf numFmtId="0" fontId="24" fillId="5" borderId="607" xfId="0" applyFont="1" applyFill="1" applyBorder="1" applyAlignment="1" applyProtection="1">
      <protection locked="0"/>
    </xf>
    <xf numFmtId="0" fontId="16" fillId="0" borderId="607" xfId="0" applyFont="1" applyBorder="1" applyAlignment="1" applyProtection="1">
      <protection locked="0"/>
    </xf>
    <xf numFmtId="0" fontId="0" fillId="5" borderId="608" xfId="0" applyFont="1" applyFill="1" applyBorder="1" applyAlignment="1" applyProtection="1">
      <protection locked="0"/>
    </xf>
    <xf numFmtId="0" fontId="0" fillId="5" borderId="247" xfId="0" applyFont="1" applyFill="1" applyBorder="1" applyAlignment="1" applyProtection="1">
      <protection locked="0"/>
    </xf>
    <xf numFmtId="0" fontId="0" fillId="5" borderId="289" xfId="0" applyFont="1" applyFill="1" applyBorder="1" applyAlignment="1" applyProtection="1">
      <protection locked="0"/>
    </xf>
    <xf numFmtId="0" fontId="16" fillId="0" borderId="289" xfId="0" applyFont="1" applyBorder="1" applyAlignment="1" applyProtection="1">
      <protection locked="0"/>
    </xf>
    <xf numFmtId="0" fontId="0" fillId="5" borderId="440" xfId="0" applyFont="1" applyFill="1" applyBorder="1" applyAlignment="1" applyProtection="1">
      <protection locked="0"/>
    </xf>
    <xf numFmtId="0" fontId="0" fillId="5" borderId="393" xfId="0" applyFont="1" applyFill="1" applyBorder="1" applyAlignment="1" applyProtection="1">
      <protection locked="0"/>
    </xf>
    <xf numFmtId="0" fontId="17" fillId="16" borderId="209" xfId="0" applyFont="1" applyFill="1" applyBorder="1" applyAlignment="1" applyProtection="1"/>
    <xf numFmtId="0" fontId="17" fillId="16" borderId="439" xfId="0" applyFont="1" applyFill="1" applyBorder="1" applyAlignment="1" applyProtection="1">
      <alignment horizontal="center" wrapText="1"/>
    </xf>
    <xf numFmtId="0" fontId="17" fillId="16" borderId="439" xfId="0" applyFont="1" applyFill="1" applyBorder="1" applyAlignment="1" applyProtection="1"/>
    <xf numFmtId="0" fontId="17" fillId="16" borderId="131" xfId="0" applyFont="1" applyFill="1" applyBorder="1" applyAlignment="1" applyProtection="1">
      <alignment wrapText="1"/>
    </xf>
    <xf numFmtId="0" fontId="0" fillId="9" borderId="83" xfId="0" applyFill="1" applyBorder="1" applyProtection="1"/>
    <xf numFmtId="42" fontId="23" fillId="9" borderId="214" xfId="0" applyNumberFormat="1" applyFont="1" applyFill="1" applyBorder="1" applyAlignment="1" applyProtection="1">
      <alignment vertical="center"/>
    </xf>
    <xf numFmtId="42" fontId="23" fillId="0" borderId="404" xfId="0" applyNumberFormat="1" applyFont="1" applyFill="1" applyBorder="1" applyAlignment="1" applyProtection="1">
      <alignment vertical="center"/>
    </xf>
    <xf numFmtId="42" fontId="23" fillId="0" borderId="238" xfId="0" applyNumberFormat="1" applyFont="1" applyFill="1" applyBorder="1" applyAlignment="1" applyProtection="1">
      <alignment vertical="center"/>
    </xf>
    <xf numFmtId="42" fontId="23" fillId="0" borderId="271" xfId="0" applyNumberFormat="1" applyFont="1" applyFill="1" applyBorder="1" applyAlignment="1" applyProtection="1">
      <alignment vertical="center"/>
    </xf>
    <xf numFmtId="42" fontId="23" fillId="9" borderId="387" xfId="0" applyNumberFormat="1" applyFont="1" applyFill="1" applyBorder="1" applyAlignment="1" applyProtection="1">
      <alignment vertical="center"/>
    </xf>
    <xf numFmtId="42" fontId="23" fillId="0" borderId="390" xfId="0" applyNumberFormat="1" applyFont="1" applyFill="1" applyBorder="1" applyAlignment="1" applyProtection="1">
      <alignment vertical="center"/>
    </xf>
    <xf numFmtId="42" fontId="23" fillId="0" borderId="243" xfId="0" applyNumberFormat="1" applyFont="1" applyFill="1" applyBorder="1" applyAlignment="1" applyProtection="1">
      <alignment vertical="center"/>
    </xf>
    <xf numFmtId="42" fontId="23" fillId="0" borderId="274" xfId="0" applyNumberFormat="1" applyFont="1" applyFill="1" applyBorder="1" applyAlignment="1" applyProtection="1">
      <alignment vertical="center"/>
    </xf>
    <xf numFmtId="42" fontId="23" fillId="9" borderId="388" xfId="0" applyNumberFormat="1" applyFont="1" applyFill="1" applyBorder="1" applyAlignment="1" applyProtection="1">
      <alignment vertical="center"/>
    </xf>
    <xf numFmtId="42" fontId="23" fillId="0" borderId="315" xfId="0" applyNumberFormat="1" applyFont="1" applyFill="1" applyBorder="1" applyAlignment="1" applyProtection="1">
      <alignment vertical="center" wrapText="1"/>
    </xf>
    <xf numFmtId="42" fontId="23" fillId="0" borderId="407" xfId="0" applyNumberFormat="1" applyFont="1" applyFill="1" applyBorder="1" applyAlignment="1" applyProtection="1">
      <alignment vertical="center" wrapText="1"/>
    </xf>
    <xf numFmtId="42" fontId="23" fillId="0" borderId="408" xfId="0" applyNumberFormat="1" applyFont="1" applyFill="1" applyBorder="1" applyAlignment="1" applyProtection="1">
      <alignment vertical="center" wrapText="1"/>
    </xf>
    <xf numFmtId="42" fontId="23" fillId="0" borderId="269" xfId="0" applyNumberFormat="1" applyFont="1" applyFill="1" applyBorder="1" applyAlignment="1" applyProtection="1">
      <alignment vertical="center"/>
    </xf>
    <xf numFmtId="42" fontId="23" fillId="0" borderId="272" xfId="0" applyNumberFormat="1" applyFont="1" applyFill="1" applyBorder="1" applyAlignment="1" applyProtection="1">
      <alignment vertical="center"/>
    </xf>
    <xf numFmtId="42" fontId="23" fillId="0" borderId="315" xfId="0" applyNumberFormat="1" applyFont="1" applyFill="1" applyBorder="1" applyAlignment="1" applyProtection="1">
      <alignment vertical="center"/>
    </xf>
    <xf numFmtId="42" fontId="23" fillId="0" borderId="393" xfId="0" applyNumberFormat="1" applyFont="1" applyFill="1" applyBorder="1" applyAlignment="1" applyProtection="1">
      <alignment vertical="center"/>
    </xf>
    <xf numFmtId="42" fontId="23" fillId="0" borderId="408" xfId="0" applyNumberFormat="1" applyFont="1" applyFill="1" applyBorder="1" applyAlignment="1" applyProtection="1">
      <alignment vertical="center"/>
    </xf>
    <xf numFmtId="42" fontId="23" fillId="0" borderId="390" xfId="0" applyNumberFormat="1" applyFont="1" applyFill="1" applyBorder="1" applyAlignment="1" applyProtection="1">
      <alignment vertical="center" wrapText="1"/>
    </xf>
    <xf numFmtId="42" fontId="23" fillId="0" borderId="272" xfId="0" applyNumberFormat="1" applyFont="1" applyFill="1" applyBorder="1" applyAlignment="1" applyProtection="1">
      <alignment vertical="center" wrapText="1"/>
    </xf>
    <xf numFmtId="42" fontId="23" fillId="0" borderId="274" xfId="0" applyNumberFormat="1" applyFont="1" applyFill="1" applyBorder="1" applyAlignment="1" applyProtection="1">
      <alignment vertical="center" wrapText="1"/>
    </xf>
    <xf numFmtId="42" fontId="23" fillId="0" borderId="393" xfId="0" applyNumberFormat="1" applyFont="1" applyFill="1" applyBorder="1" applyAlignment="1" applyProtection="1">
      <alignment vertical="center" wrapText="1"/>
    </xf>
    <xf numFmtId="42" fontId="23" fillId="9" borderId="636" xfId="0" applyNumberFormat="1" applyFont="1" applyFill="1" applyBorder="1" applyAlignment="1" applyProtection="1">
      <alignment vertical="center"/>
    </xf>
    <xf numFmtId="1" fontId="54" fillId="6" borderId="253" xfId="0" applyNumberFormat="1" applyFont="1" applyFill="1" applyBorder="1" applyProtection="1"/>
    <xf numFmtId="0" fontId="16" fillId="0" borderId="0" xfId="0" applyFont="1" applyBorder="1" applyProtection="1">
      <protection locked="0"/>
    </xf>
    <xf numFmtId="0" fontId="17" fillId="0" borderId="0" xfId="0" applyFont="1" applyBorder="1" applyAlignment="1" applyProtection="1">
      <alignment vertical="center"/>
    </xf>
    <xf numFmtId="42" fontId="8" fillId="0" borderId="307" xfId="0" applyNumberFormat="1" applyFont="1" applyFill="1" applyBorder="1" applyAlignment="1" applyProtection="1">
      <protection locked="0"/>
    </xf>
    <xf numFmtId="9" fontId="8" fillId="8" borderId="247" xfId="0" applyNumberFormat="1" applyFont="1" applyFill="1" applyBorder="1" applyAlignment="1" applyProtection="1">
      <alignment vertical="center"/>
    </xf>
    <xf numFmtId="1" fontId="8" fillId="8" borderId="289" xfId="0" applyNumberFormat="1" applyFont="1" applyFill="1" applyBorder="1" applyAlignment="1" applyProtection="1"/>
    <xf numFmtId="42" fontId="8" fillId="8" borderId="289" xfId="0" applyNumberFormat="1" applyFont="1" applyFill="1" applyBorder="1" applyAlignment="1" applyProtection="1"/>
    <xf numFmtId="10" fontId="7" fillId="0" borderId="155" xfId="0" applyNumberFormat="1" applyFont="1" applyFill="1" applyBorder="1" applyAlignment="1" applyProtection="1">
      <alignment vertical="center"/>
    </xf>
    <xf numFmtId="1" fontId="8" fillId="0" borderId="305" xfId="0" applyNumberFormat="1" applyFont="1" applyFill="1" applyBorder="1" applyAlignment="1" applyProtection="1">
      <protection locked="0"/>
    </xf>
    <xf numFmtId="42" fontId="8" fillId="0" borderId="292" xfId="0" applyNumberFormat="1" applyFont="1" applyFill="1" applyBorder="1" applyAlignment="1" applyProtection="1">
      <protection locked="0"/>
    </xf>
    <xf numFmtId="1" fontId="7" fillId="6" borderId="143" xfId="7" applyNumberFormat="1" applyFont="1" applyFill="1" applyBorder="1" applyAlignment="1" applyProtection="1">
      <alignment vertical="center"/>
    </xf>
    <xf numFmtId="1" fontId="7" fillId="6" borderId="224" xfId="7" applyNumberFormat="1" applyFont="1" applyFill="1" applyBorder="1" applyAlignment="1" applyProtection="1">
      <alignment vertical="center"/>
    </xf>
    <xf numFmtId="37" fontId="5" fillId="9" borderId="83" xfId="0" applyNumberFormat="1" applyFont="1" applyFill="1" applyBorder="1" applyAlignment="1" applyProtection="1">
      <alignment wrapText="1"/>
    </xf>
    <xf numFmtId="17" fontId="16" fillId="0" borderId="244" xfId="0" applyNumberFormat="1" applyFont="1" applyFill="1" applyBorder="1" applyAlignment="1" applyProtection="1">
      <protection locked="0"/>
    </xf>
    <xf numFmtId="17" fontId="16" fillId="0" borderId="262" xfId="0" applyNumberFormat="1" applyFont="1" applyFill="1" applyBorder="1" applyAlignment="1" applyProtection="1">
      <protection locked="0"/>
    </xf>
    <xf numFmtId="10" fontId="16" fillId="0" borderId="260" xfId="0" applyNumberFormat="1" applyFont="1" applyFill="1" applyBorder="1" applyAlignment="1" applyProtection="1">
      <protection locked="0"/>
    </xf>
    <xf numFmtId="10" fontId="16" fillId="0" borderId="265" xfId="0" applyNumberFormat="1" applyFont="1" applyFill="1" applyBorder="1" applyAlignment="1" applyProtection="1">
      <protection locked="0"/>
    </xf>
    <xf numFmtId="42" fontId="16" fillId="6" borderId="377" xfId="0" applyNumberFormat="1" applyFont="1" applyFill="1" applyBorder="1" applyAlignment="1" applyProtection="1">
      <alignment horizontal="left" wrapText="1"/>
      <protection locked="0"/>
    </xf>
    <xf numFmtId="9" fontId="16" fillId="0" borderId="322" xfId="2" applyFont="1" applyFill="1" applyBorder="1" applyAlignment="1" applyProtection="1">
      <alignment horizontal="right" wrapText="1"/>
      <protection locked="0"/>
    </xf>
    <xf numFmtId="42" fontId="16" fillId="0" borderId="322" xfId="0" applyNumberFormat="1" applyFont="1" applyFill="1" applyBorder="1" applyAlignment="1" applyProtection="1">
      <alignment horizontal="left" wrapText="1"/>
      <protection locked="0"/>
    </xf>
    <xf numFmtId="44" fontId="16" fillId="0" borderId="322" xfId="1" applyFont="1" applyFill="1" applyBorder="1" applyAlignment="1" applyProtection="1">
      <alignment horizontal="left" wrapText="1"/>
      <protection locked="0"/>
    </xf>
    <xf numFmtId="42" fontId="16" fillId="6" borderId="330" xfId="0" applyNumberFormat="1" applyFont="1" applyFill="1" applyBorder="1" applyAlignment="1" applyProtection="1">
      <alignment horizontal="left" wrapText="1"/>
      <protection locked="0"/>
    </xf>
    <xf numFmtId="0" fontId="16" fillId="5" borderId="237" xfId="0" applyFont="1" applyFill="1" applyBorder="1" applyAlignment="1" applyProtection="1"/>
    <xf numFmtId="0" fontId="16" fillId="5" borderId="271" xfId="0" applyFont="1" applyFill="1" applyBorder="1" applyAlignment="1" applyProtection="1"/>
    <xf numFmtId="0" fontId="16" fillId="5" borderId="242" xfId="0" applyFont="1" applyFill="1" applyBorder="1" applyAlignment="1" applyProtection="1"/>
    <xf numFmtId="0" fontId="16" fillId="5" borderId="274" xfId="0" applyFont="1" applyFill="1" applyBorder="1" applyAlignment="1" applyProtection="1"/>
    <xf numFmtId="17" fontId="16" fillId="0" borderId="269" xfId="0" applyNumberFormat="1" applyFont="1" applyFill="1" applyBorder="1" applyAlignment="1" applyProtection="1">
      <protection locked="0"/>
    </xf>
    <xf numFmtId="17" fontId="16" fillId="0" borderId="257" xfId="0" applyNumberFormat="1" applyFont="1" applyFill="1" applyBorder="1" applyAlignment="1" applyProtection="1">
      <protection locked="0"/>
    </xf>
    <xf numFmtId="14" fontId="16" fillId="0" borderId="294" xfId="0" applyNumberFormat="1" applyFont="1" applyFill="1" applyBorder="1" applyAlignment="1" applyProtection="1">
      <protection locked="0"/>
    </xf>
    <xf numFmtId="49" fontId="16" fillId="0" borderId="637" xfId="0" applyNumberFormat="1" applyFont="1" applyFill="1" applyBorder="1" applyAlignment="1" applyProtection="1">
      <alignment horizontal="center" wrapText="1"/>
      <protection locked="0"/>
    </xf>
    <xf numFmtId="49" fontId="16" fillId="0" borderId="638" xfId="0" applyNumberFormat="1" applyFont="1" applyFill="1" applyBorder="1" applyAlignment="1" applyProtection="1">
      <alignment horizontal="center" wrapText="1"/>
      <protection locked="0"/>
    </xf>
    <xf numFmtId="0" fontId="16" fillId="0" borderId="164" xfId="0" applyFont="1" applyFill="1" applyBorder="1" applyAlignment="1" applyProtection="1">
      <alignment wrapText="1"/>
      <protection locked="0"/>
    </xf>
    <xf numFmtId="0" fontId="16" fillId="0" borderId="207" xfId="0" applyFont="1" applyFill="1" applyBorder="1" applyAlignment="1" applyProtection="1">
      <alignment wrapText="1"/>
      <protection locked="0"/>
    </xf>
    <xf numFmtId="0" fontId="16" fillId="0" borderId="165" xfId="0" applyFont="1" applyBorder="1" applyAlignment="1" applyProtection="1">
      <alignment wrapText="1"/>
      <protection locked="0"/>
    </xf>
    <xf numFmtId="0" fontId="16" fillId="0" borderId="162" xfId="0" applyFont="1" applyBorder="1" applyAlignment="1" applyProtection="1">
      <alignment wrapText="1"/>
      <protection locked="0"/>
    </xf>
    <xf numFmtId="0" fontId="16" fillId="0" borderId="0" xfId="0" applyFont="1" applyFill="1" applyBorder="1" applyAlignment="1" applyProtection="1">
      <alignment wrapText="1"/>
      <protection locked="0"/>
    </xf>
    <xf numFmtId="0" fontId="41" fillId="0" borderId="162" xfId="0" applyFont="1" applyBorder="1" applyAlignment="1" applyProtection="1">
      <alignment wrapText="1"/>
      <protection locked="0"/>
    </xf>
    <xf numFmtId="0" fontId="41" fillId="0" borderId="0" xfId="0" applyFont="1" applyFill="1" applyBorder="1" applyAlignment="1" applyProtection="1">
      <alignment wrapText="1"/>
      <protection locked="0"/>
    </xf>
    <xf numFmtId="0" fontId="41" fillId="0" borderId="0" xfId="0" applyFont="1" applyAlignment="1" applyProtection="1">
      <alignment wrapText="1"/>
      <protection locked="0"/>
    </xf>
    <xf numFmtId="0" fontId="18" fillId="0" borderId="220" xfId="0" applyFont="1" applyFill="1" applyBorder="1" applyAlignment="1" applyProtection="1">
      <protection locked="0"/>
    </xf>
    <xf numFmtId="0" fontId="18" fillId="0" borderId="0" xfId="0" applyFont="1" applyFill="1" applyBorder="1" applyAlignment="1" applyProtection="1">
      <protection locked="0"/>
    </xf>
    <xf numFmtId="0" fontId="18" fillId="0" borderId="0" xfId="0" applyFont="1" applyFill="1" applyBorder="1" applyAlignment="1" applyProtection="1">
      <alignment wrapText="1"/>
      <protection locked="0"/>
    </xf>
    <xf numFmtId="0" fontId="43" fillId="16" borderId="155" xfId="0" applyFont="1" applyFill="1" applyBorder="1" applyAlignment="1" applyProtection="1">
      <alignment horizontal="left" vertical="center"/>
      <protection locked="0"/>
    </xf>
    <xf numFmtId="0" fontId="43" fillId="16" borderId="228" xfId="0" applyFont="1" applyFill="1" applyBorder="1" applyAlignment="1" applyProtection="1">
      <alignment horizontal="center" vertical="center" wrapText="1"/>
      <protection locked="0"/>
    </xf>
    <xf numFmtId="0" fontId="43" fillId="16" borderId="168" xfId="0" applyFont="1" applyFill="1" applyBorder="1" applyAlignment="1" applyProtection="1">
      <alignment horizontal="center" vertical="center" wrapText="1"/>
      <protection locked="0"/>
    </xf>
    <xf numFmtId="0" fontId="43" fillId="16" borderId="140" xfId="0" applyFont="1" applyFill="1" applyBorder="1" applyAlignment="1" applyProtection="1">
      <alignment horizontal="center" vertical="center" wrapText="1"/>
      <protection locked="0"/>
    </xf>
    <xf numFmtId="0" fontId="43" fillId="16" borderId="141" xfId="0" applyFont="1" applyFill="1" applyBorder="1" applyAlignment="1" applyProtection="1">
      <alignment horizontal="center" vertical="center" wrapText="1"/>
      <protection locked="0"/>
    </xf>
    <xf numFmtId="0" fontId="20" fillId="8" borderId="346" xfId="0" applyFont="1" applyFill="1" applyBorder="1" applyAlignment="1" applyProtection="1">
      <alignment wrapText="1"/>
      <protection locked="0"/>
    </xf>
    <xf numFmtId="0" fontId="20" fillId="8" borderId="347" xfId="0" applyFont="1" applyFill="1" applyBorder="1" applyAlignment="1" applyProtection="1">
      <alignment horizontal="left" wrapText="1"/>
      <protection locked="0"/>
    </xf>
    <xf numFmtId="0" fontId="20" fillId="8" borderId="347" xfId="0" applyFont="1" applyFill="1" applyBorder="1" applyAlignment="1" applyProtection="1">
      <alignment horizontal="center" wrapText="1"/>
      <protection locked="0"/>
    </xf>
    <xf numFmtId="0" fontId="20" fillId="8" borderId="347" xfId="0" applyFont="1" applyFill="1" applyBorder="1" applyAlignment="1" applyProtection="1">
      <alignment wrapText="1"/>
      <protection locked="0"/>
    </xf>
    <xf numFmtId="49" fontId="16" fillId="8" borderId="347" xfId="0" applyNumberFormat="1" applyFont="1" applyFill="1" applyBorder="1" applyAlignment="1" applyProtection="1">
      <alignment horizontal="center" wrapText="1"/>
      <protection locked="0"/>
    </xf>
    <xf numFmtId="49" fontId="16" fillId="8" borderId="350" xfId="0" applyNumberFormat="1" applyFont="1" applyFill="1" applyBorder="1" applyAlignment="1" applyProtection="1">
      <alignment horizontal="center" wrapText="1"/>
      <protection locked="0"/>
    </xf>
    <xf numFmtId="0" fontId="20" fillId="0" borderId="0" xfId="0" applyFont="1" applyBorder="1" applyAlignment="1" applyProtection="1">
      <alignment wrapText="1"/>
      <protection locked="0"/>
    </xf>
    <xf numFmtId="0" fontId="20" fillId="0" borderId="0" xfId="0" applyFont="1" applyBorder="1" applyAlignment="1" applyProtection="1">
      <alignment horizontal="center" wrapText="1"/>
      <protection locked="0"/>
    </xf>
    <xf numFmtId="49" fontId="16" fillId="0" borderId="0" xfId="0" applyNumberFormat="1" applyFont="1" applyFill="1" applyBorder="1" applyAlignment="1" applyProtection="1">
      <alignment horizontal="center" wrapText="1"/>
      <protection locked="0"/>
    </xf>
    <xf numFmtId="0" fontId="20" fillId="8" borderId="346" xfId="0" applyFont="1" applyFill="1" applyBorder="1" applyAlignment="1" applyProtection="1">
      <alignment horizontal="left"/>
      <protection locked="0"/>
    </xf>
    <xf numFmtId="49" fontId="16" fillId="8" borderId="347" xfId="0" applyNumberFormat="1" applyFont="1" applyFill="1" applyBorder="1" applyAlignment="1" applyProtection="1">
      <alignment horizontal="left" wrapText="1"/>
      <protection locked="0"/>
    </xf>
    <xf numFmtId="0" fontId="20" fillId="0" borderId="166" xfId="0" applyFont="1" applyBorder="1" applyAlignment="1" applyProtection="1">
      <alignment wrapText="1"/>
      <protection locked="0"/>
    </xf>
    <xf numFmtId="0" fontId="16" fillId="0" borderId="167" xfId="0" applyFont="1" applyBorder="1" applyAlignment="1" applyProtection="1">
      <alignment wrapText="1"/>
      <protection locked="0"/>
    </xf>
    <xf numFmtId="0" fontId="16" fillId="5" borderId="639" xfId="0" applyFont="1" applyFill="1" applyBorder="1" applyAlignment="1" applyProtection="1">
      <alignment wrapText="1"/>
      <protection locked="0"/>
    </xf>
    <xf numFmtId="0" fontId="16" fillId="5" borderId="242" xfId="0" applyFont="1" applyFill="1" applyBorder="1" applyAlignment="1" applyProtection="1">
      <alignment wrapText="1"/>
      <protection locked="0"/>
    </xf>
    <xf numFmtId="0" fontId="16" fillId="5" borderId="242" xfId="0" applyFont="1" applyFill="1" applyBorder="1" applyAlignment="1" applyProtection="1">
      <alignment wrapText="1"/>
      <protection locked="0"/>
    </xf>
    <xf numFmtId="0" fontId="16" fillId="5" borderId="242" xfId="0" applyFont="1" applyFill="1" applyBorder="1" applyAlignment="1" applyProtection="1">
      <alignment wrapText="1"/>
      <protection locked="0"/>
    </xf>
    <xf numFmtId="0" fontId="16" fillId="5" borderId="242" xfId="0" applyFont="1" applyFill="1" applyBorder="1" applyAlignment="1" applyProtection="1">
      <alignment wrapText="1"/>
      <protection locked="0"/>
    </xf>
    <xf numFmtId="0" fontId="16" fillId="5" borderId="242" xfId="0" applyFont="1" applyFill="1" applyBorder="1" applyAlignment="1" applyProtection="1">
      <alignment wrapText="1"/>
      <protection locked="0"/>
    </xf>
    <xf numFmtId="0" fontId="16" fillId="5" borderId="643" xfId="0" applyFont="1" applyFill="1" applyBorder="1" applyAlignment="1" applyProtection="1">
      <alignment horizontal="left" wrapText="1"/>
      <protection locked="0"/>
    </xf>
    <xf numFmtId="0" fontId="16" fillId="5" borderId="422" xfId="0" applyFont="1" applyFill="1" applyBorder="1" applyAlignment="1" applyProtection="1">
      <alignment horizontal="left" wrapText="1"/>
      <protection locked="0"/>
    </xf>
    <xf numFmtId="0" fontId="16" fillId="0" borderId="642" xfId="0" applyFont="1" applyBorder="1" applyAlignment="1" applyProtection="1">
      <alignment horizontal="center" wrapText="1"/>
      <protection locked="0"/>
    </xf>
    <xf numFmtId="0" fontId="16" fillId="0" borderId="642" xfId="0" applyFont="1" applyBorder="1" applyAlignment="1" applyProtection="1">
      <alignment horizontal="left" wrapText="1"/>
      <protection locked="0"/>
    </xf>
    <xf numFmtId="49" fontId="16" fillId="0" borderId="642" xfId="0" applyNumberFormat="1" applyFont="1" applyFill="1" applyBorder="1" applyAlignment="1" applyProtection="1">
      <alignment horizontal="center" wrapText="1"/>
      <protection locked="0"/>
    </xf>
    <xf numFmtId="49" fontId="16" fillId="0" borderId="641" xfId="0" applyNumberFormat="1" applyFont="1" applyFill="1" applyBorder="1" applyAlignment="1" applyProtection="1">
      <alignment horizontal="center" wrapText="1"/>
      <protection locked="0"/>
    </xf>
    <xf numFmtId="0" fontId="16" fillId="0" borderId="322" xfId="0" applyFont="1" applyBorder="1" applyAlignment="1" applyProtection="1">
      <alignment horizontal="center" wrapText="1"/>
      <protection locked="0"/>
    </xf>
    <xf numFmtId="0" fontId="16" fillId="0" borderId="322" xfId="0" applyFont="1" applyBorder="1" applyAlignment="1" applyProtection="1">
      <alignment horizontal="left" wrapText="1"/>
      <protection locked="0"/>
    </xf>
    <xf numFmtId="49" fontId="16" fillId="0" borderId="322" xfId="0" applyNumberFormat="1" applyFont="1" applyFill="1" applyBorder="1" applyAlignment="1" applyProtection="1">
      <alignment horizontal="center" wrapText="1"/>
      <protection locked="0"/>
    </xf>
    <xf numFmtId="49" fontId="16" fillId="0" borderId="323" xfId="0" applyNumberFormat="1" applyFont="1" applyFill="1" applyBorder="1" applyAlignment="1" applyProtection="1">
      <alignment horizontal="center" wrapText="1"/>
      <protection locked="0"/>
    </xf>
    <xf numFmtId="0" fontId="16" fillId="0" borderId="322" xfId="0" applyFont="1" applyFill="1" applyBorder="1" applyAlignment="1" applyProtection="1">
      <alignment horizontal="center" wrapText="1"/>
      <protection locked="0"/>
    </xf>
    <xf numFmtId="49" fontId="16" fillId="0" borderId="640" xfId="0" applyNumberFormat="1" applyFont="1" applyFill="1" applyBorder="1" applyAlignment="1" applyProtection="1">
      <alignment horizontal="center" wrapText="1"/>
      <protection locked="0"/>
    </xf>
    <xf numFmtId="49" fontId="16" fillId="0" borderId="243" xfId="0" applyNumberFormat="1" applyFont="1" applyFill="1" applyBorder="1" applyAlignment="1" applyProtection="1">
      <alignment horizontal="center" wrapText="1"/>
      <protection locked="0"/>
    </xf>
    <xf numFmtId="0" fontId="16" fillId="0" borderId="322" xfId="0" applyFont="1" applyFill="1" applyBorder="1" applyAlignment="1" applyProtection="1">
      <alignment horizontal="center" wrapText="1"/>
      <protection locked="0"/>
    </xf>
    <xf numFmtId="0" fontId="16" fillId="5" borderId="639" xfId="0" applyFont="1" applyFill="1" applyBorder="1" applyAlignment="1" applyProtection="1">
      <alignment horizontal="left"/>
      <protection locked="0"/>
    </xf>
    <xf numFmtId="49" fontId="16" fillId="0" borderId="323" xfId="0" applyNumberFormat="1" applyFont="1" applyFill="1" applyBorder="1" applyAlignment="1" applyProtection="1">
      <alignment horizontal="center" wrapText="1"/>
      <protection locked="0"/>
    </xf>
    <xf numFmtId="17" fontId="16" fillId="0" borderId="294" xfId="0" applyNumberFormat="1" applyFont="1" applyFill="1" applyBorder="1" applyAlignment="1" applyProtection="1">
      <protection locked="0"/>
    </xf>
    <xf numFmtId="17" fontId="16" fillId="0" borderId="620" xfId="0" applyNumberFormat="1" applyFont="1" applyFill="1" applyBorder="1" applyAlignment="1" applyProtection="1">
      <protection locked="0"/>
    </xf>
    <xf numFmtId="9" fontId="16" fillId="0" borderId="623" xfId="0" applyNumberFormat="1" applyFont="1" applyFill="1" applyBorder="1" applyAlignment="1" applyProtection="1">
      <protection locked="0"/>
    </xf>
    <xf numFmtId="17" fontId="16" fillId="0" borderId="225" xfId="0" applyNumberFormat="1" applyFont="1" applyBorder="1" applyProtection="1">
      <protection locked="0"/>
    </xf>
    <xf numFmtId="0" fontId="16" fillId="0" borderId="237" xfId="0" applyFont="1" applyFill="1" applyBorder="1" applyAlignment="1" applyProtection="1">
      <alignment wrapText="1"/>
      <protection locked="0"/>
    </xf>
    <xf numFmtId="0" fontId="16" fillId="0" borderId="242" xfId="0" applyFont="1" applyFill="1" applyBorder="1" applyProtection="1">
      <protection locked="0"/>
    </xf>
    <xf numFmtId="42" fontId="0" fillId="0" borderId="0" xfId="0" applyNumberFormat="1" applyFont="1" applyProtection="1">
      <protection locked="0"/>
    </xf>
    <xf numFmtId="42" fontId="76" fillId="0" borderId="0" xfId="0" applyNumberFormat="1" applyFont="1" applyProtection="1">
      <protection locked="0"/>
    </xf>
    <xf numFmtId="10" fontId="16" fillId="0" borderId="377" xfId="0" applyNumberFormat="1" applyFont="1" applyFill="1" applyBorder="1" applyAlignment="1" applyProtection="1">
      <alignment horizontal="right" wrapText="1"/>
      <protection locked="0"/>
    </xf>
    <xf numFmtId="10" fontId="16" fillId="0" borderId="322" xfId="0" applyNumberFormat="1" applyFont="1" applyFill="1" applyBorder="1" applyAlignment="1" applyProtection="1">
      <alignment horizontal="right" wrapText="1"/>
      <protection locked="0"/>
    </xf>
    <xf numFmtId="10" fontId="16" fillId="0" borderId="428" xfId="0" applyNumberFormat="1" applyFont="1" applyFill="1" applyBorder="1" applyAlignment="1" applyProtection="1">
      <alignment horizontal="right" wrapText="1"/>
      <protection locked="0"/>
    </xf>
    <xf numFmtId="44" fontId="41" fillId="16" borderId="318" xfId="0" applyNumberFormat="1" applyFont="1" applyFill="1" applyBorder="1" applyAlignment="1" applyProtection="1">
      <alignment horizontal="right" vertical="center"/>
      <protection locked="0"/>
    </xf>
    <xf numFmtId="44" fontId="41" fillId="16" borderId="367" xfId="0" applyNumberFormat="1" applyFont="1" applyFill="1" applyBorder="1" applyAlignment="1" applyProtection="1">
      <alignment vertical="center"/>
      <protection locked="0"/>
    </xf>
    <xf numFmtId="44" fontId="42" fillId="16" borderId="367" xfId="0" applyNumberFormat="1" applyFont="1" applyFill="1" applyBorder="1" applyAlignment="1" applyProtection="1">
      <alignment vertical="center"/>
      <protection locked="0"/>
    </xf>
    <xf numFmtId="165" fontId="16" fillId="0" borderId="377" xfId="0" applyNumberFormat="1" applyFont="1" applyFill="1" applyBorder="1" applyAlignment="1" applyProtection="1">
      <alignment horizontal="right" wrapText="1"/>
      <protection locked="0"/>
    </xf>
    <xf numFmtId="165" fontId="16" fillId="0" borderId="322" xfId="0" applyNumberFormat="1" applyFont="1" applyFill="1" applyBorder="1" applyAlignment="1" applyProtection="1">
      <alignment horizontal="right" wrapText="1"/>
      <protection locked="0"/>
    </xf>
    <xf numFmtId="0" fontId="16" fillId="0" borderId="215" xfId="0" applyFont="1" applyFill="1" applyBorder="1" applyProtection="1">
      <protection locked="0"/>
    </xf>
    <xf numFmtId="0" fontId="16" fillId="0" borderId="61" xfId="0" applyFont="1" applyFill="1" applyBorder="1" applyProtection="1">
      <protection locked="0"/>
    </xf>
    <xf numFmtId="0" fontId="16" fillId="0" borderId="82" xfId="0" applyFont="1" applyFill="1" applyBorder="1" applyProtection="1">
      <protection locked="0"/>
    </xf>
    <xf numFmtId="0" fontId="16" fillId="0" borderId="286" xfId="0" applyFont="1" applyFill="1" applyBorder="1" applyProtection="1">
      <protection locked="0"/>
    </xf>
    <xf numFmtId="0" fontId="0" fillId="13" borderId="0" xfId="0" applyFill="1" applyProtection="1">
      <protection locked="0"/>
    </xf>
    <xf numFmtId="0" fontId="0" fillId="40" borderId="0" xfId="0" applyFont="1" applyFill="1" applyProtection="1">
      <protection locked="0"/>
    </xf>
    <xf numFmtId="0" fontId="16" fillId="0" borderId="237" xfId="0" applyFont="1" applyFill="1" applyBorder="1" applyAlignment="1" applyProtection="1">
      <alignment vertical="center" wrapText="1"/>
      <protection locked="0"/>
    </xf>
    <xf numFmtId="165" fontId="16" fillId="0" borderId="237" xfId="0" applyNumberFormat="1" applyFont="1" applyFill="1" applyBorder="1" applyAlignment="1" applyProtection="1">
      <protection locked="0"/>
    </xf>
    <xf numFmtId="42" fontId="41" fillId="5" borderId="209" xfId="0" applyNumberFormat="1" applyFont="1" applyFill="1" applyBorder="1" applyProtection="1">
      <protection locked="0"/>
    </xf>
    <xf numFmtId="42" fontId="41" fillId="5" borderId="439" xfId="0" applyNumberFormat="1" applyFont="1" applyFill="1" applyBorder="1" applyProtection="1">
      <protection locked="0"/>
    </xf>
    <xf numFmtId="42" fontId="41" fillId="5" borderId="247" xfId="0" applyNumberFormat="1" applyFont="1" applyFill="1" applyBorder="1" applyProtection="1">
      <protection locked="0"/>
    </xf>
    <xf numFmtId="42" fontId="41" fillId="5" borderId="289" xfId="0" applyNumberFormat="1" applyFont="1" applyFill="1" applyBorder="1" applyProtection="1">
      <protection locked="0"/>
    </xf>
    <xf numFmtId="42" fontId="41" fillId="5" borderId="346" xfId="0" applyNumberFormat="1" applyFont="1" applyFill="1" applyBorder="1" applyProtection="1">
      <protection locked="0"/>
    </xf>
    <xf numFmtId="42" fontId="41" fillId="5" borderId="305" xfId="0" applyNumberFormat="1" applyFont="1" applyFill="1" applyBorder="1" applyProtection="1">
      <protection locked="0"/>
    </xf>
    <xf numFmtId="42" fontId="41" fillId="6" borderId="154" xfId="0" applyNumberFormat="1" applyFont="1" applyFill="1" applyBorder="1" applyProtection="1"/>
    <xf numFmtId="42" fontId="41" fillId="6" borderId="153" xfId="0" applyNumberFormat="1" applyFont="1" applyFill="1" applyBorder="1" applyProtection="1"/>
    <xf numFmtId="42" fontId="41" fillId="6" borderId="152" xfId="0" applyNumberFormat="1" applyFont="1" applyFill="1" applyBorder="1" applyProtection="1"/>
    <xf numFmtId="165" fontId="16" fillId="0" borderId="209" xfId="0" applyNumberFormat="1" applyFont="1" applyFill="1" applyBorder="1" applyAlignment="1" applyProtection="1">
      <protection locked="0"/>
    </xf>
    <xf numFmtId="165" fontId="16" fillId="0" borderId="398" xfId="0" applyNumberFormat="1" applyFont="1" applyFill="1" applyBorder="1" applyAlignment="1" applyProtection="1">
      <protection locked="0"/>
    </xf>
    <xf numFmtId="165" fontId="16" fillId="0" borderId="644" xfId="0" applyNumberFormat="1" applyFont="1" applyFill="1" applyBorder="1" applyAlignment="1" applyProtection="1">
      <protection locked="0"/>
    </xf>
    <xf numFmtId="42" fontId="41" fillId="6" borderId="143" xfId="0" applyNumberFormat="1" applyFont="1" applyFill="1" applyBorder="1" applyProtection="1"/>
    <xf numFmtId="42" fontId="41" fillId="0" borderId="0" xfId="0" applyNumberFormat="1" applyFont="1" applyFill="1" applyBorder="1" applyProtection="1"/>
    <xf numFmtId="42" fontId="41" fillId="0" borderId="0" xfId="0" applyNumberFormat="1" applyFont="1" applyBorder="1" applyProtection="1"/>
    <xf numFmtId="42" fontId="41" fillId="6" borderId="229" xfId="0" applyNumberFormat="1" applyFont="1" applyFill="1" applyBorder="1" applyProtection="1"/>
    <xf numFmtId="42" fontId="41" fillId="0" borderId="209" xfId="0" applyNumberFormat="1" applyFont="1" applyBorder="1" applyProtection="1">
      <protection locked="0"/>
    </xf>
    <xf numFmtId="42" fontId="41" fillId="0" borderId="439" xfId="0" applyNumberFormat="1" applyFont="1" applyBorder="1" applyProtection="1">
      <protection locked="0"/>
    </xf>
    <xf numFmtId="42" fontId="41" fillId="0" borderId="247" xfId="0" applyNumberFormat="1" applyFont="1" applyBorder="1" applyProtection="1">
      <protection locked="0"/>
    </xf>
    <xf numFmtId="42" fontId="41" fillId="0" borderId="289" xfId="0" applyNumberFormat="1" applyFont="1" applyBorder="1" applyProtection="1">
      <protection locked="0"/>
    </xf>
    <xf numFmtId="42" fontId="41" fillId="0" borderId="346" xfId="0" applyNumberFormat="1" applyFont="1" applyBorder="1" applyProtection="1">
      <protection locked="0"/>
    </xf>
    <xf numFmtId="42" fontId="41" fillId="0" borderId="305" xfId="0" applyNumberFormat="1" applyFont="1" applyBorder="1" applyProtection="1">
      <protection locked="0"/>
    </xf>
    <xf numFmtId="41" fontId="41" fillId="6" borderId="153" xfId="0" applyNumberFormat="1" applyFont="1" applyFill="1" applyBorder="1" applyProtection="1"/>
    <xf numFmtId="41" fontId="41" fillId="0" borderId="0" xfId="0" applyNumberFormat="1" applyFont="1" applyFill="1" applyBorder="1" applyProtection="1"/>
    <xf numFmtId="44" fontId="0" fillId="0" borderId="0" xfId="1" applyFont="1" applyProtection="1">
      <protection locked="0"/>
    </xf>
    <xf numFmtId="44" fontId="0" fillId="0" borderId="0" xfId="0" applyNumberFormat="1" applyFont="1" applyProtection="1">
      <protection locked="0"/>
    </xf>
    <xf numFmtId="42" fontId="41" fillId="5" borderId="2" xfId="0" applyNumberFormat="1" applyFont="1" applyFill="1" applyBorder="1" applyProtection="1">
      <protection locked="0"/>
    </xf>
    <xf numFmtId="42" fontId="41" fillId="5" borderId="449" xfId="0" applyNumberFormat="1" applyFont="1" applyFill="1" applyBorder="1" applyProtection="1">
      <protection locked="0"/>
    </xf>
    <xf numFmtId="15" fontId="16" fillId="0" borderId="225" xfId="0" applyNumberFormat="1" applyFont="1" applyBorder="1" applyProtection="1">
      <protection locked="0"/>
    </xf>
    <xf numFmtId="44" fontId="23" fillId="17" borderId="69" xfId="0" applyNumberFormat="1" applyFont="1" applyFill="1" applyBorder="1" applyAlignment="1" applyProtection="1">
      <alignment vertical="center"/>
    </xf>
    <xf numFmtId="0" fontId="16" fillId="0" borderId="250" xfId="0" applyFont="1" applyFill="1" applyBorder="1" applyAlignment="1" applyProtection="1">
      <alignment wrapText="1"/>
      <protection locked="0"/>
    </xf>
    <xf numFmtId="0" fontId="0" fillId="0" borderId="31" xfId="0" applyFont="1" applyFill="1" applyBorder="1" applyProtection="1">
      <protection locked="0"/>
    </xf>
    <xf numFmtId="0" fontId="0" fillId="0" borderId="645" xfId="0" applyFont="1" applyFill="1" applyBorder="1" applyProtection="1">
      <protection locked="0"/>
    </xf>
    <xf numFmtId="0" fontId="0" fillId="0" borderId="646" xfId="0" applyFont="1" applyFill="1" applyBorder="1" applyProtection="1">
      <protection locked="0"/>
    </xf>
    <xf numFmtId="0" fontId="0" fillId="0" borderId="18" xfId="0" applyFont="1" applyFill="1" applyBorder="1" applyProtection="1">
      <protection locked="0"/>
    </xf>
    <xf numFmtId="42" fontId="0" fillId="0" borderId="0" xfId="0" applyNumberFormat="1" applyFont="1" applyFill="1" applyProtection="1">
      <protection locked="0"/>
    </xf>
    <xf numFmtId="42" fontId="0" fillId="0" borderId="646" xfId="0" applyNumberFormat="1" applyFont="1" applyFill="1" applyBorder="1" applyProtection="1">
      <protection locked="0"/>
    </xf>
    <xf numFmtId="42" fontId="0" fillId="0" borderId="18" xfId="0" applyNumberFormat="1" applyFont="1" applyFill="1" applyBorder="1" applyProtection="1">
      <protection locked="0"/>
    </xf>
    <xf numFmtId="9" fontId="0" fillId="0" borderId="646" xfId="0" applyNumberFormat="1" applyFont="1" applyFill="1" applyBorder="1" applyProtection="1">
      <protection locked="0"/>
    </xf>
    <xf numFmtId="44" fontId="23" fillId="12" borderId="129" xfId="0" applyNumberFormat="1" applyFont="1" applyFill="1" applyBorder="1" applyAlignment="1" applyProtection="1">
      <alignment vertical="center"/>
    </xf>
    <xf numFmtId="42" fontId="0" fillId="0" borderId="0" xfId="0" applyNumberFormat="1" applyFill="1" applyProtection="1">
      <protection locked="0"/>
    </xf>
    <xf numFmtId="44" fontId="0" fillId="0" borderId="0" xfId="0" applyNumberFormat="1" applyFill="1" applyProtection="1">
      <protection locked="0"/>
    </xf>
    <xf numFmtId="10" fontId="54" fillId="0" borderId="408" xfId="0" applyNumberFormat="1" applyFont="1" applyFill="1" applyBorder="1" applyProtection="1">
      <protection locked="0"/>
    </xf>
    <xf numFmtId="44" fontId="23" fillId="6" borderId="67" xfId="0" applyNumberFormat="1" applyFont="1" applyFill="1" applyBorder="1" applyAlignment="1" applyProtection="1">
      <alignment vertical="center"/>
    </xf>
    <xf numFmtId="44" fontId="23" fillId="12" borderId="136" xfId="0" applyNumberFormat="1" applyFont="1" applyFill="1" applyBorder="1" applyAlignment="1" applyProtection="1">
      <alignment vertical="center"/>
    </xf>
    <xf numFmtId="44" fontId="23" fillId="12" borderId="127" xfId="0" applyNumberFormat="1" applyFont="1" applyFill="1" applyBorder="1" applyAlignment="1" applyProtection="1">
      <alignment vertical="center"/>
    </xf>
    <xf numFmtId="44" fontId="23" fillId="17" borderId="128" xfId="0" applyNumberFormat="1" applyFont="1" applyFill="1" applyBorder="1" applyAlignment="1" applyProtection="1">
      <alignment vertical="center"/>
    </xf>
    <xf numFmtId="5" fontId="111" fillId="16" borderId="51" xfId="0" applyNumberFormat="1" applyFont="1" applyFill="1" applyBorder="1" applyAlignment="1" applyProtection="1">
      <alignment vertical="center" wrapText="1"/>
    </xf>
    <xf numFmtId="5" fontId="111" fillId="16" borderId="61" xfId="0" applyNumberFormat="1" applyFont="1" applyFill="1" applyBorder="1" applyAlignment="1" applyProtection="1">
      <alignment vertical="center" wrapText="1"/>
    </xf>
    <xf numFmtId="0" fontId="0" fillId="0" borderId="0" xfId="0" applyFont="1" applyFill="1" applyBorder="1" applyProtection="1">
      <protection locked="0"/>
    </xf>
    <xf numFmtId="0" fontId="16" fillId="0" borderId="0" xfId="0" applyFont="1" applyFill="1" applyBorder="1" applyAlignment="1" applyProtection="1">
      <protection locked="0"/>
    </xf>
    <xf numFmtId="0" fontId="0" fillId="22" borderId="0" xfId="0" applyFont="1" applyFill="1" applyBorder="1" applyProtection="1">
      <protection locked="0"/>
    </xf>
    <xf numFmtId="0" fontId="20" fillId="16" borderId="144" xfId="0" applyFont="1" applyFill="1" applyBorder="1" applyAlignment="1" applyProtection="1">
      <protection locked="0"/>
    </xf>
    <xf numFmtId="0" fontId="20" fillId="16" borderId="228" xfId="0" applyFont="1" applyFill="1" applyBorder="1" applyAlignment="1" applyProtection="1">
      <alignment wrapText="1"/>
      <protection locked="0"/>
    </xf>
    <xf numFmtId="0" fontId="20" fillId="16" borderId="229" xfId="0" applyFont="1" applyFill="1" applyBorder="1" applyAlignment="1" applyProtection="1">
      <alignment wrapText="1"/>
      <protection locked="0"/>
    </xf>
    <xf numFmtId="0" fontId="16" fillId="0" borderId="639" xfId="0" applyFont="1" applyFill="1" applyBorder="1" applyAlignment="1" applyProtection="1">
      <protection locked="0"/>
    </xf>
    <xf numFmtId="44" fontId="16" fillId="0" borderId="639" xfId="0" applyNumberFormat="1" applyFont="1" applyFill="1" applyBorder="1" applyAlignment="1" applyProtection="1">
      <protection locked="0"/>
    </xf>
    <xf numFmtId="44" fontId="16" fillId="0" borderId="641" xfId="0" applyNumberFormat="1" applyFont="1" applyFill="1" applyBorder="1" applyAlignment="1" applyProtection="1">
      <protection locked="0"/>
    </xf>
    <xf numFmtId="44" fontId="16" fillId="0" borderId="320" xfId="0" applyNumberFormat="1" applyFont="1" applyFill="1" applyBorder="1" applyAlignment="1" applyProtection="1">
      <protection locked="0"/>
    </xf>
    <xf numFmtId="44" fontId="16" fillId="0" borderId="323" xfId="0" applyNumberFormat="1" applyFont="1" applyFill="1" applyBorder="1" applyAlignment="1" applyProtection="1">
      <protection locked="0"/>
    </xf>
    <xf numFmtId="0" fontId="16" fillId="8" borderId="346" xfId="0" applyFont="1" applyFill="1" applyBorder="1" applyAlignment="1" applyProtection="1">
      <protection locked="0"/>
    </xf>
    <xf numFmtId="0" fontId="16" fillId="8" borderId="350" xfId="0" applyFont="1" applyFill="1" applyBorder="1" applyAlignment="1" applyProtection="1">
      <protection locked="0"/>
    </xf>
    <xf numFmtId="44" fontId="16" fillId="8" borderId="11" xfId="0" applyNumberFormat="1" applyFont="1" applyFill="1" applyBorder="1" applyAlignment="1" applyProtection="1">
      <protection locked="0"/>
    </xf>
    <xf numFmtId="44" fontId="16" fillId="8" borderId="85" xfId="0" applyNumberFormat="1" applyFont="1" applyFill="1" applyBorder="1" applyAlignment="1" applyProtection="1">
      <protection locked="0"/>
    </xf>
    <xf numFmtId="0" fontId="20" fillId="0" borderId="647" xfId="0" applyFont="1" applyFill="1" applyBorder="1" applyAlignment="1" applyProtection="1">
      <protection locked="0"/>
    </xf>
    <xf numFmtId="44" fontId="20" fillId="6" borderId="647" xfId="0" applyNumberFormat="1" applyFont="1" applyFill="1" applyBorder="1" applyAlignment="1" applyProtection="1">
      <protection locked="0"/>
    </xf>
    <xf numFmtId="44" fontId="20" fillId="6" borderId="648" xfId="0" applyNumberFormat="1" applyFont="1" applyFill="1" applyBorder="1" applyAlignment="1" applyProtection="1">
      <protection locked="0"/>
    </xf>
    <xf numFmtId="0" fontId="43" fillId="0" borderId="0" xfId="0" applyFont="1" applyFill="1" applyBorder="1" applyAlignment="1" applyProtection="1">
      <protection locked="0"/>
    </xf>
    <xf numFmtId="44" fontId="16" fillId="0" borderId="0" xfId="0" applyNumberFormat="1" applyFont="1" applyFill="1" applyBorder="1" applyAlignment="1" applyProtection="1">
      <alignment horizontal="left"/>
      <protection locked="0"/>
    </xf>
    <xf numFmtId="44" fontId="20" fillId="0" borderId="0" xfId="0" applyNumberFormat="1" applyFont="1" applyFill="1" applyBorder="1" applyAlignment="1" applyProtection="1">
      <alignment horizontal="left"/>
      <protection locked="0"/>
    </xf>
    <xf numFmtId="0" fontId="43" fillId="0" borderId="0" xfId="0" applyFont="1" applyFill="1" applyBorder="1" applyAlignment="1" applyProtection="1">
      <alignment horizontal="right"/>
      <protection locked="0"/>
    </xf>
    <xf numFmtId="44" fontId="20" fillId="6" borderId="143" xfId="0" applyNumberFormat="1" applyFont="1" applyFill="1" applyBorder="1" applyAlignment="1" applyProtection="1">
      <protection locked="0"/>
    </xf>
    <xf numFmtId="42" fontId="41" fillId="5" borderId="417" xfId="0" applyNumberFormat="1" applyFont="1" applyFill="1" applyBorder="1" applyProtection="1">
      <protection locked="0"/>
    </xf>
    <xf numFmtId="42" fontId="41" fillId="5" borderId="295" xfId="0" applyNumberFormat="1" applyFont="1" applyFill="1" applyBorder="1" applyProtection="1">
      <protection locked="0"/>
    </xf>
    <xf numFmtId="42" fontId="41" fillId="5" borderId="285" xfId="0" applyNumberFormat="1" applyFont="1" applyFill="1" applyBorder="1" applyProtection="1">
      <protection locked="0"/>
    </xf>
    <xf numFmtId="42" fontId="41" fillId="5" borderId="284" xfId="0" applyNumberFormat="1" applyFont="1" applyFill="1" applyBorder="1" applyProtection="1">
      <protection locked="0"/>
    </xf>
    <xf numFmtId="49" fontId="16" fillId="0" borderId="320" xfId="0" applyNumberFormat="1" applyFont="1" applyFill="1" applyBorder="1" applyAlignment="1" applyProtection="1">
      <alignment horizontal="center" wrapText="1"/>
      <protection locked="0"/>
    </xf>
    <xf numFmtId="49" fontId="16" fillId="0" borderId="649" xfId="0" applyNumberFormat="1" applyFont="1" applyFill="1" applyBorder="1" applyAlignment="1" applyProtection="1">
      <alignment horizontal="center" wrapText="1"/>
      <protection locked="0"/>
    </xf>
    <xf numFmtId="0" fontId="16" fillId="0" borderId="650" xfId="0" applyFont="1" applyBorder="1" applyAlignment="1" applyProtection="1">
      <alignment horizontal="center" wrapText="1"/>
      <protection locked="0"/>
    </xf>
    <xf numFmtId="49" fontId="16" fillId="0" borderId="651" xfId="0" applyNumberFormat="1" applyFont="1" applyFill="1" applyBorder="1" applyAlignment="1" applyProtection="1">
      <alignment horizontal="center" wrapText="1"/>
      <protection locked="0"/>
    </xf>
    <xf numFmtId="0" fontId="0" fillId="0" borderId="447" xfId="0" applyBorder="1" applyAlignment="1" applyProtection="1">
      <alignment vertical="top"/>
    </xf>
    <xf numFmtId="0" fontId="0" fillId="0" borderId="448" xfId="0" applyBorder="1" applyAlignment="1" applyProtection="1">
      <alignment vertical="top"/>
    </xf>
    <xf numFmtId="0" fontId="0" fillId="0" borderId="73" xfId="0" applyBorder="1" applyAlignment="1" applyProtection="1">
      <alignment vertical="top" wrapText="1"/>
    </xf>
    <xf numFmtId="0" fontId="0" fillId="0" borderId="193" xfId="0" applyBorder="1" applyAlignment="1" applyProtection="1">
      <alignment vertical="top"/>
    </xf>
    <xf numFmtId="0" fontId="0" fillId="0" borderId="73" xfId="0" applyBorder="1" applyAlignment="1" applyProtection="1">
      <alignment vertical="top"/>
    </xf>
    <xf numFmtId="0" fontId="0" fillId="0" borderId="429" xfId="0" applyBorder="1" applyAlignment="1" applyProtection="1">
      <alignment vertical="top"/>
    </xf>
    <xf numFmtId="0" fontId="16" fillId="0" borderId="6" xfId="0" applyFont="1" applyFill="1" applyBorder="1" applyAlignment="1" applyProtection="1">
      <alignment horizontal="left"/>
      <protection locked="0"/>
    </xf>
    <xf numFmtId="0" fontId="16" fillId="0" borderId="6" xfId="0" quotePrefix="1" applyFont="1" applyFill="1" applyBorder="1" applyAlignment="1" applyProtection="1">
      <alignment horizontal="left"/>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4" xfId="0" applyFont="1" applyFill="1" applyBorder="1" applyAlignment="1" applyProtection="1">
      <alignment horizontal="right" vertical="center"/>
    </xf>
    <xf numFmtId="0" fontId="16" fillId="0" borderId="25" xfId="0" applyFont="1" applyFill="1" applyBorder="1" applyAlignment="1" applyProtection="1">
      <alignment horizontal="right" vertical="center"/>
    </xf>
    <xf numFmtId="0" fontId="16" fillId="0" borderId="6" xfId="0" applyFont="1" applyFill="1" applyBorder="1" applyProtection="1">
      <protection locked="0"/>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0" xfId="0" applyFont="1" applyFill="1" applyBorder="1" applyAlignment="1" applyProtection="1">
      <alignment horizontal="left"/>
    </xf>
    <xf numFmtId="0" fontId="48" fillId="0" borderId="51" xfId="0" applyFont="1" applyFill="1" applyBorder="1" applyAlignment="1" applyProtection="1">
      <alignment vertical="top"/>
      <protection locked="0"/>
    </xf>
    <xf numFmtId="0" fontId="48" fillId="0" borderId="226" xfId="0" applyFont="1" applyFill="1" applyBorder="1" applyAlignment="1" applyProtection="1">
      <alignment vertical="top"/>
      <protection locked="0"/>
    </xf>
    <xf numFmtId="0" fontId="48" fillId="0" borderId="52" xfId="0" applyFont="1" applyFill="1" applyBorder="1" applyAlignment="1" applyProtection="1">
      <alignment vertical="top"/>
      <protection locked="0"/>
    </xf>
    <xf numFmtId="0" fontId="17" fillId="0" borderId="220" xfId="0" applyFont="1" applyBorder="1" applyAlignment="1" applyProtection="1"/>
    <xf numFmtId="0" fontId="3" fillId="20" borderId="51" xfId="0" applyNumberFormat="1" applyFont="1" applyFill="1" applyBorder="1" applyAlignment="1" applyProtection="1">
      <alignment horizontal="center"/>
      <protection locked="0"/>
    </xf>
    <xf numFmtId="0" fontId="3" fillId="20" borderId="227" xfId="0" applyNumberFormat="1" applyFont="1" applyFill="1" applyBorder="1" applyAlignment="1" applyProtection="1">
      <alignment horizontal="center"/>
      <protection locked="0"/>
    </xf>
    <xf numFmtId="0" fontId="3" fillId="20" borderId="315" xfId="0" applyNumberFormat="1" applyFont="1" applyFill="1" applyBorder="1" applyAlignment="1" applyProtection="1">
      <alignment horizontal="center"/>
      <protection locked="0"/>
    </xf>
    <xf numFmtId="0" fontId="3" fillId="20" borderId="565" xfId="0" applyNumberFormat="1" applyFont="1" applyFill="1" applyBorder="1" applyAlignment="1" applyProtection="1">
      <alignment horizontal="center"/>
      <protection locked="0"/>
    </xf>
    <xf numFmtId="0" fontId="0" fillId="20" borderId="106" xfId="0" applyFont="1" applyFill="1" applyBorder="1" applyAlignment="1" applyProtection="1">
      <alignment horizontal="center"/>
      <protection locked="0"/>
    </xf>
    <xf numFmtId="0" fontId="0" fillId="20" borderId="226" xfId="0" applyFont="1" applyFill="1" applyBorder="1" applyAlignment="1" applyProtection="1">
      <alignment horizontal="center"/>
      <protection locked="0"/>
    </xf>
    <xf numFmtId="0" fontId="0" fillId="20" borderId="612" xfId="0" applyFont="1" applyFill="1" applyBorder="1" applyAlignment="1" applyProtection="1">
      <alignment horizontal="center"/>
      <protection locked="0"/>
    </xf>
    <xf numFmtId="0" fontId="0" fillId="20" borderId="402" xfId="0" applyFont="1" applyFill="1" applyBorder="1" applyAlignment="1" applyProtection="1">
      <alignment horizontal="center"/>
      <protection locked="0"/>
    </xf>
    <xf numFmtId="0" fontId="0" fillId="20" borderId="316" xfId="0" applyFont="1" applyFill="1" applyBorder="1" applyAlignment="1" applyProtection="1">
      <alignment horizontal="center"/>
      <protection locked="0"/>
    </xf>
    <xf numFmtId="0" fontId="0" fillId="20" borderId="317" xfId="0" applyFont="1" applyFill="1" applyBorder="1" applyAlignment="1" applyProtection="1">
      <alignment horizontal="center"/>
      <protection locked="0"/>
    </xf>
    <xf numFmtId="0" fontId="5" fillId="6" borderId="106" xfId="0" applyFont="1" applyFill="1" applyBorder="1" applyAlignment="1" applyProtection="1">
      <alignment horizontal="left"/>
    </xf>
    <xf numFmtId="0" fontId="5" fillId="6" borderId="226" xfId="0" applyFont="1" applyFill="1" applyBorder="1" applyAlignment="1" applyProtection="1">
      <alignment horizontal="left"/>
    </xf>
    <xf numFmtId="0" fontId="5" fillId="6" borderId="227" xfId="0" applyFont="1" applyFill="1" applyBorder="1" applyAlignment="1" applyProtection="1">
      <alignment horizontal="left"/>
    </xf>
    <xf numFmtId="0" fontId="40" fillId="6" borderId="214" xfId="0" applyFont="1" applyFill="1" applyBorder="1" applyAlignment="1" applyProtection="1">
      <alignment horizontal="center" vertical="center" wrapText="1"/>
    </xf>
    <xf numFmtId="0" fontId="40" fillId="6" borderId="75" xfId="0" applyFont="1" applyFill="1" applyBorder="1" applyAlignment="1" applyProtection="1">
      <alignment horizontal="center" vertical="center" wrapText="1"/>
    </xf>
    <xf numFmtId="0" fontId="24" fillId="27" borderId="214" xfId="0" applyFont="1" applyFill="1" applyBorder="1" applyAlignment="1" applyProtection="1">
      <alignment horizontal="center" vertical="center"/>
    </xf>
    <xf numFmtId="0" fontId="24" fillId="27" borderId="75" xfId="0" applyFont="1" applyFill="1" applyBorder="1" applyAlignment="1" applyProtection="1">
      <alignment horizontal="center" vertical="center"/>
    </xf>
    <xf numFmtId="0" fontId="40" fillId="16" borderId="214" xfId="0" applyFont="1" applyFill="1" applyBorder="1" applyAlignment="1" applyProtection="1">
      <alignment horizontal="center" vertical="center" wrapText="1"/>
    </xf>
    <xf numFmtId="0" fontId="40" fillId="16" borderId="75" xfId="0" applyFont="1" applyFill="1" applyBorder="1" applyAlignment="1" applyProtection="1">
      <alignment horizontal="center" vertical="center" wrapText="1"/>
    </xf>
    <xf numFmtId="0" fontId="17" fillId="6" borderId="106" xfId="0" applyFont="1" applyFill="1" applyBorder="1" applyAlignment="1" applyProtection="1">
      <alignment horizontal="left"/>
    </xf>
    <xf numFmtId="0" fontId="17" fillId="6" borderId="226" xfId="0" applyFont="1" applyFill="1" applyBorder="1" applyAlignment="1" applyProtection="1">
      <alignment horizontal="left"/>
    </xf>
    <xf numFmtId="0" fontId="17" fillId="6" borderId="227" xfId="0" applyFont="1" applyFill="1" applyBorder="1" applyAlignment="1" applyProtection="1">
      <alignment horizontal="left"/>
    </xf>
    <xf numFmtId="0" fontId="0" fillId="20" borderId="533" xfId="0" applyFont="1" applyFill="1" applyBorder="1" applyAlignment="1" applyProtection="1">
      <alignment horizontal="center"/>
    </xf>
    <xf numFmtId="0" fontId="0" fillId="20" borderId="534" xfId="0" applyFont="1" applyFill="1" applyBorder="1" applyAlignment="1" applyProtection="1">
      <alignment horizontal="center"/>
    </xf>
    <xf numFmtId="0" fontId="0" fillId="20" borderId="24" xfId="0" applyFont="1" applyFill="1" applyBorder="1" applyAlignment="1" applyProtection="1">
      <alignment horizontal="center"/>
    </xf>
    <xf numFmtId="0" fontId="0" fillId="20" borderId="25" xfId="0" applyFont="1" applyFill="1" applyBorder="1" applyAlignment="1" applyProtection="1">
      <alignment horizontal="center"/>
    </xf>
    <xf numFmtId="0" fontId="21" fillId="16" borderId="0" xfId="0" applyFont="1" applyFill="1" applyBorder="1" applyAlignment="1" applyProtection="1">
      <alignment vertical="center"/>
    </xf>
    <xf numFmtId="0" fontId="2" fillId="13" borderId="137"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0" xfId="0" applyFont="1" applyFill="1" applyBorder="1" applyAlignment="1" applyProtection="1"/>
    <xf numFmtId="0" fontId="2" fillId="7" borderId="155" xfId="0" applyFont="1" applyFill="1" applyBorder="1" applyAlignment="1" applyProtection="1"/>
    <xf numFmtId="0" fontId="2" fillId="7" borderId="429" xfId="0" applyFont="1" applyFill="1" applyBorder="1" applyAlignment="1" applyProtection="1"/>
    <xf numFmtId="0" fontId="2" fillId="7" borderId="435" xfId="0" applyFont="1" applyFill="1" applyBorder="1" applyAlignment="1" applyProtection="1"/>
    <xf numFmtId="0" fontId="40" fillId="16" borderId="218" xfId="0" applyFont="1" applyFill="1" applyBorder="1" applyAlignment="1" applyProtection="1">
      <alignment horizontal="center" vertical="center" wrapText="1"/>
    </xf>
    <xf numFmtId="0" fontId="40" fillId="16" borderId="25" xfId="0" applyFont="1" applyFill="1" applyBorder="1" applyAlignment="1" applyProtection="1">
      <alignment horizontal="center" vertical="center" wrapText="1"/>
    </xf>
    <xf numFmtId="0" fontId="40" fillId="16" borderId="215" xfId="0" applyFont="1" applyFill="1" applyBorder="1" applyAlignment="1" applyProtection="1">
      <alignment horizontal="center" vertical="center" wrapText="1"/>
    </xf>
    <xf numFmtId="0" fontId="40" fillId="16" borderId="82" xfId="0" applyFont="1" applyFill="1" applyBorder="1" applyAlignment="1" applyProtection="1">
      <alignment horizontal="center" vertical="center" wrapText="1"/>
    </xf>
    <xf numFmtId="0" fontId="40" fillId="6" borderId="212" xfId="0" applyFont="1" applyFill="1" applyBorder="1" applyAlignment="1" applyProtection="1">
      <alignment horizontal="center" vertical="center" wrapText="1"/>
    </xf>
    <xf numFmtId="0" fontId="40" fillId="6" borderId="3" xfId="0" applyFont="1" applyFill="1" applyBorder="1" applyAlignment="1" applyProtection="1">
      <alignment horizontal="center" vertical="center" wrapText="1"/>
    </xf>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1" xfId="0" applyFont="1" applyFill="1" applyBorder="1" applyAlignment="1" applyProtection="1">
      <alignment horizontal="center"/>
      <protection locked="0"/>
    </xf>
    <xf numFmtId="0" fontId="15" fillId="0" borderId="52" xfId="0" applyFont="1" applyFill="1" applyBorder="1" applyAlignment="1" applyProtection="1">
      <alignment horizontal="center"/>
      <protection locked="0"/>
    </xf>
    <xf numFmtId="16" fontId="0" fillId="0" borderId="479"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0" fillId="0" borderId="460" xfId="0" applyNumberFormat="1" applyFont="1" applyFill="1" applyBorder="1" applyProtection="1"/>
    <xf numFmtId="16" fontId="1" fillId="0" borderId="461" xfId="0" applyNumberFormat="1" applyFont="1" applyFill="1" applyBorder="1" applyProtection="1"/>
    <xf numFmtId="16" fontId="1" fillId="0" borderId="462" xfId="0" applyNumberFormat="1" applyFont="1" applyFill="1" applyBorder="1" applyProtection="1"/>
    <xf numFmtId="16" fontId="0" fillId="0" borderId="466" xfId="0" applyNumberFormat="1" applyFont="1" applyFill="1" applyBorder="1" applyProtection="1"/>
    <xf numFmtId="16" fontId="1" fillId="0" borderId="467" xfId="0" applyNumberFormat="1" applyFont="1" applyFill="1" applyBorder="1" applyProtection="1"/>
    <xf numFmtId="16" fontId="1" fillId="0" borderId="468" xfId="0" applyNumberFormat="1" applyFont="1" applyFill="1" applyBorder="1" applyProtection="1"/>
    <xf numFmtId="0" fontId="1" fillId="0" borderId="466" xfId="0" applyFont="1" applyFill="1" applyBorder="1" applyProtection="1"/>
    <xf numFmtId="0" fontId="1" fillId="0" borderId="467" xfId="0" applyFont="1" applyFill="1" applyBorder="1" applyProtection="1"/>
    <xf numFmtId="0" fontId="1" fillId="0" borderId="468" xfId="0" applyFont="1" applyFill="1" applyBorder="1" applyProtection="1"/>
    <xf numFmtId="0" fontId="0" fillId="0" borderId="466" xfId="0" applyFont="1" applyFill="1" applyBorder="1" applyProtection="1"/>
    <xf numFmtId="0" fontId="0" fillId="0" borderId="472" xfId="0" applyFont="1" applyFill="1" applyBorder="1" applyProtection="1"/>
    <xf numFmtId="0" fontId="1" fillId="0" borderId="473" xfId="0" applyFont="1" applyFill="1" applyBorder="1" applyProtection="1"/>
    <xf numFmtId="0" fontId="1" fillId="0" borderId="474" xfId="0" applyFont="1" applyFill="1" applyBorder="1" applyProtection="1"/>
    <xf numFmtId="16" fontId="0" fillId="0" borderId="475" xfId="0" applyNumberFormat="1" applyFont="1" applyFill="1" applyBorder="1" applyProtection="1"/>
    <xf numFmtId="16" fontId="1" fillId="0" borderId="476" xfId="0" applyNumberFormat="1" applyFont="1" applyFill="1" applyBorder="1" applyProtection="1"/>
    <xf numFmtId="16" fontId="1" fillId="0" borderId="477" xfId="0" applyNumberFormat="1" applyFont="1" applyFill="1" applyBorder="1" applyProtection="1"/>
    <xf numFmtId="16" fontId="1" fillId="0" borderId="479" xfId="0" applyNumberFormat="1" applyFont="1" applyFill="1" applyBorder="1" applyProtection="1"/>
    <xf numFmtId="16" fontId="24" fillId="0" borderId="479" xfId="0" applyNumberFormat="1" applyFont="1" applyFill="1" applyBorder="1" applyAlignment="1" applyProtection="1">
      <alignment vertical="top"/>
    </xf>
    <xf numFmtId="16" fontId="24" fillId="0" borderId="480" xfId="0" applyNumberFormat="1" applyFont="1" applyFill="1" applyBorder="1" applyAlignment="1" applyProtection="1">
      <alignment vertical="top"/>
    </xf>
    <xf numFmtId="16" fontId="24" fillId="0" borderId="481" xfId="0" applyNumberFormat="1" applyFont="1" applyFill="1" applyBorder="1" applyAlignment="1" applyProtection="1">
      <alignment vertical="top"/>
    </xf>
    <xf numFmtId="16" fontId="1" fillId="0" borderId="482" xfId="0" applyNumberFormat="1" applyFont="1" applyFill="1" applyBorder="1" applyProtection="1"/>
    <xf numFmtId="16" fontId="1" fillId="0" borderId="483" xfId="0" applyNumberFormat="1" applyFont="1" applyFill="1" applyBorder="1" applyProtection="1"/>
    <xf numFmtId="16" fontId="1" fillId="0" borderId="484" xfId="0" applyNumberFormat="1" applyFont="1" applyFill="1" applyBorder="1" applyProtection="1"/>
    <xf numFmtId="16" fontId="1" fillId="0" borderId="475" xfId="0" applyNumberFormat="1" applyFont="1" applyFill="1" applyBorder="1" applyProtection="1"/>
    <xf numFmtId="16" fontId="1" fillId="0" borderId="492" xfId="0" applyNumberFormat="1" applyFont="1" applyFill="1" applyBorder="1" applyProtection="1"/>
    <xf numFmtId="16" fontId="1" fillId="0" borderId="503" xfId="0" applyNumberFormat="1" applyFont="1" applyFill="1" applyBorder="1" applyProtection="1"/>
    <xf numFmtId="16" fontId="1" fillId="0" borderId="488" xfId="0" applyNumberFormat="1" applyFont="1" applyFill="1" applyBorder="1" applyProtection="1"/>
    <xf numFmtId="16" fontId="0" fillId="0" borderId="492" xfId="0" applyNumberFormat="1" applyFont="1" applyFill="1" applyBorder="1" applyProtection="1"/>
    <xf numFmtId="16" fontId="0" fillId="0" borderId="493" xfId="0" applyNumberFormat="1" applyFont="1" applyFill="1" applyBorder="1" applyProtection="1"/>
    <xf numFmtId="16" fontId="1" fillId="0" borderId="494" xfId="0" applyNumberFormat="1" applyFont="1" applyFill="1" applyBorder="1" applyProtection="1"/>
    <xf numFmtId="16" fontId="1" fillId="0" borderId="495" xfId="0" applyNumberFormat="1" applyFont="1" applyFill="1" applyBorder="1" applyProtection="1"/>
    <xf numFmtId="16" fontId="0" fillId="0" borderId="500" xfId="0" applyNumberFormat="1" applyFont="1" applyFill="1" applyBorder="1" applyProtection="1"/>
    <xf numFmtId="16" fontId="0" fillId="0" borderId="476" xfId="0" applyNumberFormat="1" applyFont="1" applyFill="1" applyBorder="1" applyProtection="1"/>
    <xf numFmtId="16" fontId="0" fillId="0" borderId="501" xfId="0" applyNumberFormat="1" applyFont="1" applyFill="1" applyBorder="1" applyProtection="1"/>
    <xf numFmtId="16" fontId="0" fillId="0" borderId="480" xfId="0" applyNumberFormat="1" applyFont="1" applyFill="1" applyBorder="1" applyProtection="1"/>
    <xf numFmtId="16" fontId="0" fillId="0" borderId="503" xfId="0" applyNumberFormat="1" applyFont="1" applyFill="1" applyBorder="1" applyProtection="1"/>
    <xf numFmtId="0" fontId="15" fillId="0" borderId="492" xfId="0" applyFont="1" applyFill="1" applyBorder="1" applyProtection="1"/>
    <xf numFmtId="0" fontId="15" fillId="0" borderId="480" xfId="0" applyFont="1" applyFill="1" applyBorder="1" applyProtection="1"/>
    <xf numFmtId="0" fontId="15" fillId="0" borderId="503" xfId="0" applyFont="1" applyFill="1" applyBorder="1" applyProtection="1"/>
    <xf numFmtId="0" fontId="15" fillId="0" borderId="492" xfId="0" applyFont="1" applyFill="1" applyBorder="1" applyAlignment="1" applyProtection="1"/>
    <xf numFmtId="0" fontId="15" fillId="0" borderId="480" xfId="0" applyFont="1" applyFill="1" applyBorder="1" applyAlignment="1" applyProtection="1"/>
    <xf numFmtId="0" fontId="15" fillId="0" borderId="503" xfId="0" applyFont="1" applyFill="1" applyBorder="1" applyAlignment="1" applyProtection="1"/>
    <xf numFmtId="16" fontId="0" fillId="0" borderId="492" xfId="0" applyNumberFormat="1" applyFont="1" applyFill="1" applyBorder="1" applyAlignment="1" applyProtection="1"/>
    <xf numFmtId="16" fontId="1" fillId="0" borderId="480" xfId="0" applyNumberFormat="1" applyFont="1" applyFill="1" applyBorder="1" applyAlignment="1" applyProtection="1"/>
    <xf numFmtId="16" fontId="1" fillId="0" borderId="503" xfId="0" applyNumberFormat="1" applyFont="1" applyFill="1" applyBorder="1" applyAlignment="1" applyProtection="1"/>
    <xf numFmtId="0" fontId="15" fillId="0" borderId="505" xfId="0" applyFont="1" applyFill="1" applyBorder="1" applyAlignment="1" applyProtection="1"/>
    <xf numFmtId="0" fontId="15" fillId="0" borderId="483" xfId="0" applyFont="1" applyFill="1" applyBorder="1" applyAlignment="1" applyProtection="1"/>
    <xf numFmtId="0" fontId="15" fillId="0" borderId="506" xfId="0" applyFont="1" applyFill="1" applyBorder="1" applyAlignment="1" applyProtection="1"/>
    <xf numFmtId="16" fontId="1" fillId="0" borderId="500" xfId="0" applyNumberFormat="1" applyFont="1" applyFill="1" applyBorder="1" applyProtection="1"/>
    <xf numFmtId="16" fontId="1" fillId="0" borderId="501" xfId="0" applyNumberFormat="1" applyFont="1" applyFill="1" applyBorder="1" applyProtection="1"/>
    <xf numFmtId="16" fontId="0" fillId="0" borderId="500" xfId="0" applyNumberFormat="1" applyFont="1" applyFill="1" applyBorder="1" applyAlignment="1" applyProtection="1"/>
    <xf numFmtId="16" fontId="0" fillId="0" borderId="476" xfId="0" applyNumberFormat="1" applyFont="1" applyFill="1" applyBorder="1" applyAlignment="1" applyProtection="1"/>
    <xf numFmtId="16" fontId="0" fillId="0" borderId="501" xfId="0" applyNumberFormat="1" applyFont="1" applyFill="1" applyBorder="1" applyAlignment="1" applyProtection="1"/>
    <xf numFmtId="16" fontId="1" fillId="0" borderId="505" xfId="0" applyNumberFormat="1" applyFont="1" applyFill="1" applyBorder="1" applyProtection="1"/>
    <xf numFmtId="16" fontId="1" fillId="0" borderId="506" xfId="0" applyNumberFormat="1" applyFont="1" applyFill="1" applyBorder="1" applyProtection="1"/>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17" fillId="0" borderId="220" xfId="0" applyFont="1" applyBorder="1" applyProtection="1"/>
    <xf numFmtId="0" fontId="2" fillId="6" borderId="106" xfId="0" applyFont="1" applyFill="1" applyBorder="1" applyAlignment="1" applyProtection="1"/>
    <xf numFmtId="0" fontId="2" fillId="6" borderId="226" xfId="0" applyFont="1" applyFill="1" applyBorder="1" applyAlignment="1" applyProtection="1"/>
    <xf numFmtId="0" fontId="2" fillId="6" borderId="227" xfId="0" applyFont="1" applyFill="1" applyBorder="1" applyAlignment="1" applyProtection="1"/>
    <xf numFmtId="0" fontId="5" fillId="6" borderId="618" xfId="0" applyFont="1" applyFill="1" applyBorder="1" applyProtection="1"/>
    <xf numFmtId="0" fontId="5" fillId="6" borderId="6" xfId="0" applyFont="1" applyFill="1" applyBorder="1" applyProtection="1"/>
    <xf numFmtId="0" fontId="5" fillId="6" borderId="26" xfId="0" applyFont="1" applyFill="1" applyBorder="1" applyProtection="1"/>
    <xf numFmtId="0" fontId="17" fillId="0" borderId="73" xfId="0" applyFont="1" applyFill="1" applyBorder="1" applyAlignment="1" applyProtection="1"/>
    <xf numFmtId="0" fontId="21" fillId="16" borderId="0" xfId="0" applyFont="1" applyFill="1" applyBorder="1" applyAlignment="1" applyProtection="1">
      <alignment horizontal="left"/>
    </xf>
    <xf numFmtId="0" fontId="109" fillId="3" borderId="14" xfId="0" applyFont="1" applyFill="1" applyBorder="1" applyAlignment="1" applyProtection="1">
      <alignment horizontal="left" vertical="top" wrapText="1"/>
      <protection locked="0"/>
    </xf>
    <xf numFmtId="0" fontId="5" fillId="3" borderId="18"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5"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21" fillId="16" borderId="0" xfId="0" applyFont="1" applyFill="1" applyBorder="1" applyAlignment="1" applyProtection="1"/>
    <xf numFmtId="0" fontId="21" fillId="40" borderId="51" xfId="0" applyFont="1" applyFill="1" applyBorder="1" applyProtection="1"/>
    <xf numFmtId="0" fontId="21" fillId="40" borderId="226" xfId="0" applyFont="1" applyFill="1" applyBorder="1" applyProtection="1"/>
    <xf numFmtId="0" fontId="21" fillId="40" borderId="52" xfId="0" applyFont="1" applyFill="1" applyBorder="1" applyProtection="1"/>
    <xf numFmtId="0" fontId="27" fillId="10" borderId="123" xfId="0" applyFont="1" applyFill="1" applyBorder="1" applyAlignment="1" applyProtection="1">
      <alignment horizontal="center" vertical="center" wrapText="1"/>
    </xf>
    <xf numFmtId="0" fontId="27" fillId="10" borderId="77"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0" fillId="7" borderId="74" xfId="0" applyNumberFormat="1" applyFont="1" applyFill="1" applyBorder="1" applyAlignment="1" applyProtection="1">
      <alignment horizontal="center" vertical="center" wrapText="1"/>
    </xf>
    <xf numFmtId="5" fontId="20" fillId="7" borderId="16" xfId="0" applyNumberFormat="1" applyFont="1" applyFill="1" applyBorder="1" applyAlignment="1" applyProtection="1">
      <alignment horizontal="center" vertical="center" wrapText="1"/>
    </xf>
    <xf numFmtId="5" fontId="20" fillId="13" borderId="81" xfId="0" applyNumberFormat="1" applyFont="1" applyFill="1" applyBorder="1" applyAlignment="1" applyProtection="1">
      <alignment horizontal="center" vertical="center" wrapText="1"/>
    </xf>
    <xf numFmtId="5" fontId="20" fillId="13" borderId="22" xfId="0" applyNumberFormat="1" applyFont="1" applyFill="1" applyBorder="1" applyAlignment="1" applyProtection="1">
      <alignment horizontal="center" vertical="center" wrapText="1"/>
    </xf>
    <xf numFmtId="0" fontId="17" fillId="0" borderId="73" xfId="0" applyFont="1" applyFill="1" applyBorder="1" applyProtection="1"/>
    <xf numFmtId="0" fontId="20" fillId="16" borderId="209" xfId="0" applyFont="1" applyFill="1" applyBorder="1" applyAlignment="1" applyProtection="1">
      <alignment horizontal="center"/>
    </xf>
    <xf numFmtId="0" fontId="20" fillId="16" borderId="193" xfId="0" applyFont="1" applyFill="1" applyBorder="1" applyAlignment="1" applyProtection="1">
      <alignment horizontal="center"/>
    </xf>
    <xf numFmtId="5" fontId="27" fillId="6" borderId="632" xfId="0" applyNumberFormat="1" applyFont="1" applyFill="1" applyBorder="1" applyAlignment="1" applyProtection="1">
      <alignment horizontal="center" vertical="center" wrapText="1"/>
    </xf>
    <xf numFmtId="5" fontId="27" fillId="6" borderId="23" xfId="0" applyNumberFormat="1" applyFont="1" applyFill="1" applyBorder="1" applyAlignment="1" applyProtection="1">
      <alignment horizontal="center" vertical="center" wrapText="1"/>
    </xf>
    <xf numFmtId="0" fontId="20" fillId="16" borderId="210" xfId="0" applyFont="1" applyFill="1" applyBorder="1" applyAlignment="1" applyProtection="1">
      <alignment horizontal="center"/>
    </xf>
    <xf numFmtId="0" fontId="20" fillId="16" borderId="216" xfId="0" applyFont="1" applyFill="1" applyBorder="1" applyAlignment="1" applyProtection="1">
      <alignment horizontal="center"/>
    </xf>
    <xf numFmtId="0" fontId="20" fillId="16" borderId="126" xfId="0" applyFont="1" applyFill="1" applyBorder="1" applyAlignment="1" applyProtection="1">
      <alignment horizontal="center"/>
    </xf>
    <xf numFmtId="5" fontId="16" fillId="5" borderId="81" xfId="0" applyNumberFormat="1" applyFont="1" applyFill="1" applyBorder="1" applyAlignment="1" applyProtection="1">
      <alignment horizontal="center" vertical="center" wrapText="1"/>
      <protection locked="0"/>
    </xf>
    <xf numFmtId="5" fontId="16" fillId="5" borderId="22" xfId="0" applyNumberFormat="1" applyFont="1" applyFill="1" applyBorder="1" applyAlignment="1" applyProtection="1">
      <alignment horizontal="center" vertical="center" wrapText="1"/>
      <protection locked="0"/>
    </xf>
    <xf numFmtId="5" fontId="16" fillId="5" borderId="74" xfId="0" applyNumberFormat="1" applyFont="1" applyFill="1" applyBorder="1" applyAlignment="1" applyProtection="1">
      <alignment horizontal="center" vertical="center" wrapText="1"/>
      <protection locked="0"/>
    </xf>
    <xf numFmtId="5" fontId="16" fillId="5" borderId="16" xfId="0" applyNumberFormat="1" applyFont="1" applyFill="1" applyBorder="1" applyAlignment="1" applyProtection="1">
      <alignment horizontal="center" vertical="center" wrapText="1"/>
      <protection locked="0"/>
    </xf>
    <xf numFmtId="0" fontId="28" fillId="7" borderId="120" xfId="0" applyFont="1" applyFill="1" applyBorder="1" applyAlignment="1" applyProtection="1">
      <alignment horizontal="center"/>
    </xf>
    <xf numFmtId="0" fontId="28" fillId="7" borderId="48" xfId="0" applyFont="1" applyFill="1" applyBorder="1" applyAlignment="1" applyProtection="1">
      <alignment horizontal="center"/>
    </xf>
    <xf numFmtId="0" fontId="28" fillId="13" borderId="193" xfId="0" applyFont="1" applyFill="1" applyBorder="1" applyAlignment="1" applyProtection="1">
      <alignment horizontal="center"/>
    </xf>
    <xf numFmtId="0" fontId="28" fillId="13" borderId="212" xfId="0" applyFont="1" applyFill="1" applyBorder="1" applyAlignment="1" applyProtection="1">
      <alignment horizontal="center"/>
    </xf>
    <xf numFmtId="5" fontId="27" fillId="7" borderId="76" xfId="0" applyNumberFormat="1" applyFont="1" applyFill="1" applyBorder="1" applyAlignment="1" applyProtection="1">
      <alignment horizontal="center" vertical="center" wrapText="1"/>
    </xf>
    <xf numFmtId="5" fontId="27" fillId="7" borderId="23" xfId="0" applyNumberFormat="1" applyFont="1" applyFill="1" applyBorder="1" applyAlignment="1" applyProtection="1">
      <alignment horizontal="center" vertical="center" wrapText="1"/>
    </xf>
    <xf numFmtId="5" fontId="27" fillId="13" borderId="25" xfId="0" applyNumberFormat="1" applyFont="1" applyFill="1" applyBorder="1" applyAlignment="1" applyProtection="1">
      <alignment horizontal="center" vertical="center" wrapText="1"/>
    </xf>
    <xf numFmtId="5" fontId="27" fillId="13" borderId="619" xfId="0" applyNumberFormat="1" applyFont="1" applyFill="1" applyBorder="1" applyAlignment="1" applyProtection="1">
      <alignment horizontal="center" vertical="center" wrapText="1"/>
    </xf>
    <xf numFmtId="0" fontId="25" fillId="0" borderId="51"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52" xfId="0" applyFont="1" applyBorder="1" applyAlignment="1" applyProtection="1">
      <alignment vertical="center"/>
      <protection locked="0"/>
    </xf>
    <xf numFmtId="5" fontId="16" fillId="5" borderId="14"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44" fontId="23" fillId="0" borderId="390" xfId="0" applyNumberFormat="1" applyFont="1" applyFill="1" applyBorder="1" applyAlignment="1" applyProtection="1">
      <alignment vertical="center"/>
      <protection locked="0"/>
    </xf>
    <xf numFmtId="44" fontId="23" fillId="0" borderId="246" xfId="0" applyNumberFormat="1" applyFont="1" applyFill="1" applyBorder="1" applyAlignment="1" applyProtection="1">
      <alignment vertical="center"/>
      <protection locked="0"/>
    </xf>
    <xf numFmtId="44" fontId="23" fillId="0" borderId="409" xfId="0" applyNumberFormat="1" applyFont="1" applyFill="1" applyBorder="1" applyAlignment="1" applyProtection="1">
      <alignment vertical="center"/>
      <protection locked="0"/>
    </xf>
    <xf numFmtId="44" fontId="23" fillId="0" borderId="350" xfId="0" applyNumberFormat="1" applyFont="1" applyFill="1" applyBorder="1" applyAlignment="1" applyProtection="1">
      <alignment vertical="center"/>
      <protection locked="0"/>
    </xf>
    <xf numFmtId="44" fontId="23" fillId="0" borderId="404" xfId="0" applyNumberFormat="1" applyFont="1" applyFill="1" applyBorder="1" applyAlignment="1" applyProtection="1">
      <alignment vertical="center"/>
      <protection locked="0"/>
    </xf>
    <xf numFmtId="44" fontId="23" fillId="0" borderId="241" xfId="0" applyNumberFormat="1" applyFont="1" applyFill="1" applyBorder="1" applyAlignment="1" applyProtection="1">
      <alignment vertical="center"/>
      <protection locked="0"/>
    </xf>
    <xf numFmtId="44" fontId="23" fillId="0" borderId="404" xfId="0" applyNumberFormat="1" applyFont="1" applyFill="1" applyBorder="1" applyAlignment="1" applyProtection="1">
      <alignment vertical="center" wrapText="1"/>
      <protection locked="0"/>
    </xf>
    <xf numFmtId="44" fontId="23" fillId="0" borderId="241" xfId="0" applyNumberFormat="1" applyFont="1" applyFill="1" applyBorder="1" applyAlignment="1" applyProtection="1">
      <alignment vertical="center" wrapText="1"/>
      <protection locked="0"/>
    </xf>
    <xf numFmtId="44" fontId="23" fillId="0" borderId="390" xfId="0" applyNumberFormat="1" applyFont="1" applyFill="1" applyBorder="1" applyAlignment="1" applyProtection="1">
      <alignment vertical="center" wrapText="1"/>
      <protection locked="0"/>
    </xf>
    <xf numFmtId="44" fontId="23" fillId="0" borderId="246" xfId="0" applyNumberFormat="1" applyFont="1" applyFill="1" applyBorder="1" applyAlignment="1" applyProtection="1">
      <alignment vertical="center" wrapText="1"/>
      <protection locked="0"/>
    </xf>
    <xf numFmtId="0" fontId="17" fillId="0" borderId="73" xfId="0" applyFont="1" applyBorder="1" applyAlignment="1" applyProtection="1"/>
    <xf numFmtId="0" fontId="5" fillId="7" borderId="128" xfId="0" applyFont="1" applyFill="1" applyBorder="1" applyAlignment="1" applyProtection="1">
      <alignment horizontal="center"/>
    </xf>
    <xf numFmtId="0" fontId="5" fillId="7" borderId="216" xfId="0" applyFont="1" applyFill="1" applyBorder="1" applyAlignment="1" applyProtection="1">
      <alignment horizontal="center"/>
    </xf>
    <xf numFmtId="0" fontId="5" fillId="7" borderId="126" xfId="0" applyFont="1" applyFill="1" applyBorder="1" applyAlignment="1" applyProtection="1">
      <alignment horizontal="center"/>
    </xf>
    <xf numFmtId="5" fontId="9" fillId="16" borderId="55" xfId="0" applyNumberFormat="1" applyFont="1" applyFill="1" applyBorder="1" applyAlignment="1" applyProtection="1">
      <alignment horizontal="center" vertical="center" wrapText="1"/>
    </xf>
    <xf numFmtId="5" fontId="9" fillId="16" borderId="54" xfId="0" applyNumberFormat="1" applyFont="1" applyFill="1" applyBorder="1" applyAlignment="1" applyProtection="1">
      <alignment horizontal="center" vertical="center" wrapText="1"/>
    </xf>
    <xf numFmtId="0" fontId="28" fillId="7" borderId="121" xfId="0" applyFont="1" applyFill="1" applyBorder="1" applyAlignment="1" applyProtection="1">
      <alignment horizontal="center"/>
    </xf>
    <xf numFmtId="0" fontId="8" fillId="0" borderId="14"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17" fillId="16" borderId="51" xfId="0" applyFont="1" applyFill="1" applyBorder="1" applyAlignment="1" applyProtection="1">
      <alignment horizontal="center"/>
    </xf>
    <xf numFmtId="0" fontId="17" fillId="16" borderId="46" xfId="0" applyFont="1" applyFill="1" applyBorder="1" applyAlignment="1" applyProtection="1">
      <alignment horizontal="center"/>
    </xf>
    <xf numFmtId="5" fontId="17" fillId="16" borderId="74" xfId="0" applyNumberFormat="1" applyFont="1" applyFill="1" applyBorder="1" applyAlignment="1" applyProtection="1">
      <alignment horizontal="center" vertical="center"/>
    </xf>
    <xf numFmtId="5" fontId="17" fillId="16" borderId="75" xfId="0" applyNumberFormat="1" applyFont="1" applyFill="1" applyBorder="1" applyAlignment="1" applyProtection="1">
      <alignment horizontal="center" vertical="center"/>
    </xf>
    <xf numFmtId="5" fontId="17" fillId="16" borderId="16" xfId="0" applyNumberFormat="1" applyFont="1" applyFill="1" applyBorder="1" applyAlignment="1" applyProtection="1">
      <alignment horizontal="center" vertical="center"/>
    </xf>
    <xf numFmtId="0" fontId="17" fillId="7" borderId="76" xfId="0" applyFont="1" applyFill="1" applyBorder="1" applyAlignment="1" applyProtection="1">
      <alignment horizontal="center" vertical="center" wrapText="1"/>
    </xf>
    <xf numFmtId="0" fontId="17" fillId="7" borderId="23" xfId="0" applyFont="1" applyFill="1" applyBorder="1" applyAlignment="1" applyProtection="1">
      <alignment horizontal="center" vertical="center" wrapText="1"/>
    </xf>
    <xf numFmtId="5" fontId="17" fillId="16" borderId="81" xfId="0" applyNumberFormat="1" applyFont="1" applyFill="1" applyBorder="1" applyAlignment="1" applyProtection="1">
      <alignment horizontal="center" vertical="center" wrapText="1"/>
    </xf>
    <xf numFmtId="5" fontId="17" fillId="16" borderId="82" xfId="0" applyNumberFormat="1" applyFont="1" applyFill="1" applyBorder="1" applyAlignment="1" applyProtection="1">
      <alignment horizontal="center" vertical="center" wrapText="1"/>
    </xf>
    <xf numFmtId="5" fontId="17" fillId="16" borderId="22" xfId="0" applyNumberFormat="1" applyFont="1" applyFill="1" applyBorder="1" applyAlignment="1" applyProtection="1">
      <alignment horizontal="center" vertical="center" wrapText="1"/>
    </xf>
    <xf numFmtId="169" fontId="25" fillId="0" borderId="51" xfId="0" applyNumberFormat="1" applyFont="1" applyBorder="1" applyAlignment="1" applyProtection="1">
      <alignment vertical="center"/>
    </xf>
    <xf numFmtId="169" fontId="25" fillId="0" borderId="49" xfId="0" applyNumberFormat="1" applyFont="1" applyBorder="1" applyAlignment="1" applyProtection="1">
      <alignment vertical="center"/>
    </xf>
    <xf numFmtId="169" fontId="25" fillId="0" borderId="52"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2" xfId="0" applyFont="1" applyBorder="1" applyAlignment="1" applyProtection="1">
      <alignment horizontal="right" wrapText="1"/>
    </xf>
    <xf numFmtId="0" fontId="39" fillId="16" borderId="155" xfId="0" applyFont="1" applyFill="1" applyBorder="1" applyProtection="1"/>
    <xf numFmtId="0" fontId="39" fillId="16" borderId="217" xfId="0" applyFont="1" applyFill="1" applyBorder="1" applyProtection="1"/>
    <xf numFmtId="0" fontId="52" fillId="16" borderId="155" xfId="0" applyFont="1" applyFill="1" applyBorder="1" applyProtection="1"/>
    <xf numFmtId="0" fontId="52" fillId="16" borderId="429" xfId="0" applyFont="1" applyFill="1" applyBorder="1" applyProtection="1"/>
    <xf numFmtId="0" fontId="52" fillId="0" borderId="73" xfId="0" applyFont="1" applyBorder="1" applyProtection="1"/>
    <xf numFmtId="0" fontId="25" fillId="0" borderId="0" xfId="0" applyFont="1" applyFill="1" applyBorder="1" applyAlignment="1" applyProtection="1">
      <alignment horizontal="right"/>
    </xf>
    <xf numFmtId="0" fontId="17" fillId="0" borderId="92" xfId="0" applyFont="1" applyBorder="1" applyAlignment="1" applyProtection="1">
      <alignment horizontal="center" vertical="top" wrapText="1"/>
    </xf>
    <xf numFmtId="0" fontId="17" fillId="0" borderId="0" xfId="0" applyFont="1" applyAlignment="1" applyProtection="1">
      <alignment horizontal="center" vertical="top" wrapText="1"/>
    </xf>
    <xf numFmtId="0" fontId="17" fillId="0" borderId="220" xfId="0" applyFont="1" applyFill="1" applyBorder="1" applyProtection="1"/>
    <xf numFmtId="0" fontId="2" fillId="0" borderId="629" xfId="0" applyFont="1" applyFill="1" applyBorder="1" applyProtection="1"/>
    <xf numFmtId="0" fontId="2" fillId="0" borderId="124" xfId="0" applyFont="1" applyFill="1" applyBorder="1" applyProtection="1"/>
    <xf numFmtId="0" fontId="2" fillId="0" borderId="630" xfId="0" applyFont="1" applyFill="1" applyBorder="1" applyProtection="1"/>
    <xf numFmtId="0" fontId="2" fillId="0" borderId="57" xfId="0" applyFont="1" applyFill="1" applyBorder="1" applyProtection="1"/>
    <xf numFmtId="0" fontId="0" fillId="0" borderId="630" xfId="0" applyFont="1" applyFill="1" applyBorder="1" applyAlignment="1" applyProtection="1">
      <alignment horizontal="left" indent="1"/>
    </xf>
    <xf numFmtId="0" fontId="0" fillId="0" borderId="57" xfId="0" applyFont="1" applyFill="1" applyBorder="1" applyAlignment="1" applyProtection="1">
      <alignment horizontal="left" indent="1"/>
    </xf>
    <xf numFmtId="0" fontId="18" fillId="16" borderId="155" xfId="0" applyFont="1" applyFill="1" applyBorder="1" applyAlignment="1" applyProtection="1"/>
    <xf numFmtId="0" fontId="18" fillId="16" borderId="435" xfId="0" applyFont="1" applyFill="1" applyBorder="1" applyAlignment="1" applyProtection="1"/>
    <xf numFmtId="0" fontId="17" fillId="0" borderId="220" xfId="0" applyFont="1" applyFill="1" applyBorder="1" applyAlignment="1" applyProtection="1">
      <alignment horizontal="left"/>
    </xf>
    <xf numFmtId="0" fontId="17" fillId="0" borderId="73" xfId="0" applyFont="1" applyFill="1" applyBorder="1" applyAlignment="1" applyProtection="1">
      <alignment horizontal="left"/>
    </xf>
    <xf numFmtId="0" fontId="2" fillId="0" borderId="58" xfId="0" applyFont="1" applyFill="1" applyBorder="1" applyProtection="1"/>
    <xf numFmtId="0" fontId="2" fillId="0" borderId="631" xfId="0" applyFont="1" applyFill="1" applyBorder="1" applyProtection="1"/>
    <xf numFmtId="0" fontId="0" fillId="0" borderId="14"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17" fillId="0" borderId="546" xfId="0" applyFont="1" applyFill="1" applyBorder="1" applyAlignment="1" applyProtection="1">
      <protection locked="0"/>
    </xf>
    <xf numFmtId="0" fontId="16" fillId="0" borderId="244" xfId="0" applyFont="1" applyFill="1" applyBorder="1" applyAlignment="1" applyProtection="1">
      <protection locked="0"/>
    </xf>
    <xf numFmtId="0" fontId="16" fillId="0" borderId="245" xfId="0" applyFont="1" applyFill="1" applyBorder="1" applyAlignment="1" applyProtection="1">
      <protection locked="0"/>
    </xf>
    <xf numFmtId="0" fontId="16" fillId="0" borderId="246" xfId="0" applyFont="1" applyFill="1" applyBorder="1" applyAlignment="1" applyProtection="1">
      <protection locked="0"/>
    </xf>
    <xf numFmtId="0" fontId="16" fillId="8" borderId="252" xfId="0" applyFont="1" applyFill="1" applyBorder="1" applyAlignment="1" applyProtection="1"/>
    <xf numFmtId="0" fontId="16" fillId="8" borderId="546" xfId="0" applyFont="1" applyFill="1" applyBorder="1" applyAlignment="1" applyProtection="1"/>
    <xf numFmtId="0" fontId="16" fillId="8" borderId="220" xfId="0" applyFont="1" applyFill="1" applyBorder="1" applyAlignment="1" applyProtection="1"/>
    <xf numFmtId="0" fontId="16" fillId="8" borderId="221" xfId="0" applyFont="1" applyFill="1" applyBorder="1" applyAlignment="1" applyProtection="1"/>
    <xf numFmtId="0" fontId="17" fillId="0" borderId="546" xfId="0" applyFont="1" applyFill="1" applyBorder="1" applyAlignment="1" applyProtection="1"/>
    <xf numFmtId="0" fontId="17" fillId="0" borderId="546" xfId="0" applyFont="1" applyFill="1" applyBorder="1" applyAlignment="1" applyProtection="1">
      <alignment horizontal="left"/>
    </xf>
    <xf numFmtId="0" fontId="20" fillId="16" borderId="140" xfId="0" applyFont="1" applyFill="1" applyBorder="1" applyAlignment="1" applyProtection="1">
      <alignment wrapText="1"/>
    </xf>
    <xf numFmtId="0" fontId="20" fillId="16" borderId="142" xfId="0" applyFont="1" applyFill="1" applyBorder="1" applyAlignment="1" applyProtection="1">
      <alignment wrapText="1"/>
    </xf>
    <xf numFmtId="0" fontId="20" fillId="16" borderId="141" xfId="0" applyFont="1" applyFill="1" applyBorder="1" applyAlignment="1" applyProtection="1">
      <alignment wrapText="1"/>
    </xf>
    <xf numFmtId="0" fontId="16" fillId="0" borderId="239" xfId="0" applyFont="1" applyFill="1" applyBorder="1" applyAlignment="1" applyProtection="1">
      <protection locked="0"/>
    </xf>
    <xf numFmtId="0" fontId="16" fillId="0" borderId="240" xfId="0" applyFont="1" applyFill="1" applyBorder="1" applyAlignment="1" applyProtection="1">
      <protection locked="0"/>
    </xf>
    <xf numFmtId="0" fontId="16" fillId="0" borderId="241" xfId="0" applyFont="1" applyFill="1" applyBorder="1" applyAlignment="1" applyProtection="1">
      <protection locked="0"/>
    </xf>
    <xf numFmtId="0" fontId="47" fillId="0" borderId="14" xfId="0" applyFont="1" applyBorder="1" applyAlignment="1" applyProtection="1">
      <alignment horizontal="left" vertical="top" wrapText="1"/>
      <protection locked="0"/>
    </xf>
    <xf numFmtId="0" fontId="47" fillId="0" borderId="18" xfId="0" applyFont="1" applyBorder="1" applyAlignment="1" applyProtection="1">
      <alignment horizontal="left" vertical="top" wrapText="1"/>
      <protection locked="0"/>
    </xf>
    <xf numFmtId="0" fontId="47" fillId="0" borderId="20" xfId="0" applyFont="1" applyBorder="1" applyAlignment="1" applyProtection="1">
      <alignment horizontal="left" vertical="top" wrapText="1"/>
      <protection locked="0"/>
    </xf>
    <xf numFmtId="0" fontId="47" fillId="0" borderId="24"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15"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17" fillId="0" borderId="220" xfId="0" applyFont="1" applyBorder="1" applyAlignment="1" applyProtection="1">
      <alignment vertical="center"/>
    </xf>
    <xf numFmtId="0" fontId="19" fillId="0" borderId="220" xfId="0" applyFont="1" applyFill="1" applyBorder="1" applyProtection="1"/>
    <xf numFmtId="0" fontId="19" fillId="0" borderId="220" xfId="0" applyFont="1" applyBorder="1" applyProtection="1"/>
    <xf numFmtId="9" fontId="7" fillId="6" borderId="155" xfId="0" applyNumberFormat="1" applyFont="1" applyFill="1" applyBorder="1" applyAlignment="1" applyProtection="1">
      <alignment vertical="center"/>
    </xf>
    <xf numFmtId="9" fontId="7" fillId="6" borderId="429" xfId="0" applyNumberFormat="1" applyFont="1" applyFill="1" applyBorder="1" applyAlignment="1" applyProtection="1">
      <alignment vertical="center"/>
    </xf>
    <xf numFmtId="9" fontId="7" fillId="6" borderId="430" xfId="0" applyNumberFormat="1" applyFont="1" applyFill="1" applyBorder="1" applyAlignment="1" applyProtection="1">
      <alignment vertical="center"/>
    </xf>
    <xf numFmtId="0" fontId="20" fillId="16" borderId="224" xfId="0" applyFont="1" applyFill="1" applyBorder="1" applyAlignment="1" applyProtection="1">
      <alignment horizontal="center" vertical="center" wrapText="1"/>
    </xf>
    <xf numFmtId="0" fontId="20" fillId="16" borderId="77" xfId="0" applyFont="1" applyFill="1" applyBorder="1" applyAlignment="1" applyProtection="1">
      <alignment horizontal="center" vertical="center" wrapText="1"/>
    </xf>
    <xf numFmtId="0" fontId="20" fillId="16" borderId="209"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3" xfId="0" applyFont="1" applyFill="1" applyBorder="1" applyAlignment="1" applyProtection="1">
      <alignment vertical="center"/>
    </xf>
    <xf numFmtId="0" fontId="20" fillId="16" borderId="11" xfId="0" applyFont="1" applyFill="1" applyBorder="1" applyAlignment="1" applyProtection="1">
      <alignment horizontal="center" vertical="center"/>
    </xf>
    <xf numFmtId="0" fontId="17" fillId="0" borderId="220" xfId="0" applyFont="1" applyFill="1" applyBorder="1" applyAlignment="1" applyProtection="1">
      <alignment vertical="center"/>
    </xf>
    <xf numFmtId="0" fontId="16" fillId="0" borderId="209" xfId="0" applyFont="1" applyFill="1" applyBorder="1" applyAlignment="1" applyProtection="1">
      <alignment horizontal="left" vertical="top" wrapText="1"/>
      <protection locked="0"/>
    </xf>
    <xf numFmtId="0" fontId="16" fillId="0" borderId="193" xfId="0" applyFont="1" applyFill="1" applyBorder="1" applyAlignment="1" applyProtection="1">
      <alignment horizontal="left" vertical="top" wrapText="1"/>
      <protection locked="0"/>
    </xf>
    <xf numFmtId="0" fontId="16" fillId="0" borderId="212"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73" xfId="0" applyFont="1" applyFill="1" applyBorder="1" applyAlignment="1" applyProtection="1">
      <alignment horizontal="left" vertical="top" wrapText="1"/>
      <protection locked="0"/>
    </xf>
    <xf numFmtId="0" fontId="16" fillId="0" borderId="546"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0" fillId="0" borderId="312" xfId="0" applyFont="1" applyFill="1" applyBorder="1" applyProtection="1">
      <protection locked="0"/>
    </xf>
    <xf numFmtId="0" fontId="0" fillId="0" borderId="313" xfId="0" applyFont="1" applyFill="1" applyBorder="1" applyProtection="1">
      <protection locked="0"/>
    </xf>
    <xf numFmtId="0" fontId="0" fillId="0" borderId="314" xfId="0" applyFont="1" applyFill="1" applyBorder="1" applyProtection="1">
      <protection locked="0"/>
    </xf>
    <xf numFmtId="0" fontId="0" fillId="0" borderId="390" xfId="0" applyFont="1" applyFill="1" applyBorder="1" applyProtection="1">
      <protection locked="0"/>
    </xf>
    <xf numFmtId="0" fontId="0" fillId="0" borderId="245" xfId="0" applyFont="1" applyFill="1" applyBorder="1" applyProtection="1">
      <protection locked="0"/>
    </xf>
    <xf numFmtId="0" fontId="0" fillId="0" borderId="389" xfId="0" applyFont="1" applyFill="1" applyBorder="1" applyProtection="1">
      <protection locked="0"/>
    </xf>
    <xf numFmtId="0" fontId="51" fillId="0" borderId="193"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55" xfId="0" applyNumberFormat="1" applyFont="1" applyFill="1" applyBorder="1" applyAlignment="1" applyProtection="1"/>
    <xf numFmtId="3" fontId="18" fillId="0" borderId="429" xfId="0" applyNumberFormat="1" applyFont="1" applyFill="1" applyBorder="1" applyAlignment="1" applyProtection="1"/>
    <xf numFmtId="3" fontId="18" fillId="0" borderId="579" xfId="0" applyNumberFormat="1" applyFont="1" applyFill="1" applyBorder="1" applyAlignment="1" applyProtection="1"/>
    <xf numFmtId="0" fontId="16" fillId="0" borderId="242" xfId="0" applyFont="1" applyFill="1" applyBorder="1" applyProtection="1">
      <protection locked="0"/>
    </xf>
    <xf numFmtId="0" fontId="16" fillId="0" borderId="572" xfId="0" applyFont="1" applyFill="1" applyBorder="1" applyProtection="1">
      <protection locked="0"/>
    </xf>
    <xf numFmtId="3" fontId="15" fillId="0" borderId="190"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44" xfId="0" applyNumberFormat="1" applyFont="1" applyFill="1" applyBorder="1" applyAlignment="1" applyProtection="1">
      <alignment horizontal="left"/>
    </xf>
    <xf numFmtId="0" fontId="0" fillId="0" borderId="315" xfId="0" applyFont="1" applyFill="1" applyBorder="1" applyProtection="1">
      <protection locked="0"/>
    </xf>
    <xf numFmtId="0" fontId="0" fillId="0" borderId="316" xfId="0" applyFont="1" applyFill="1" applyBorder="1" applyProtection="1">
      <protection locked="0"/>
    </xf>
    <xf numFmtId="0" fontId="0" fillId="0" borderId="317" xfId="0" applyFont="1" applyFill="1" applyBorder="1" applyProtection="1">
      <protection locked="0"/>
    </xf>
    <xf numFmtId="0" fontId="16" fillId="0" borderId="402" xfId="0" applyFont="1" applyFill="1" applyBorder="1" applyProtection="1">
      <protection locked="0"/>
    </xf>
    <xf numFmtId="0" fontId="16" fillId="0" borderId="419" xfId="0" applyFont="1" applyFill="1" applyBorder="1" applyProtection="1">
      <protection locked="0"/>
    </xf>
    <xf numFmtId="0" fontId="2" fillId="0" borderId="220" xfId="0" applyFont="1" applyFill="1" applyBorder="1" applyProtection="1"/>
    <xf numFmtId="3" fontId="18" fillId="16" borderId="155" xfId="0" applyNumberFormat="1" applyFont="1" applyFill="1" applyBorder="1" applyAlignment="1" applyProtection="1">
      <alignment horizontal="center" vertical="center"/>
    </xf>
    <xf numFmtId="3" fontId="18" fillId="16" borderId="429" xfId="0" applyNumberFormat="1" applyFont="1" applyFill="1" applyBorder="1" applyAlignment="1" applyProtection="1">
      <alignment horizontal="center" vertical="center"/>
    </xf>
    <xf numFmtId="3" fontId="18" fillId="16" borderId="430" xfId="0" applyNumberFormat="1" applyFont="1" applyFill="1" applyBorder="1" applyAlignment="1" applyProtection="1">
      <alignment horizontal="center" vertical="center"/>
    </xf>
    <xf numFmtId="0" fontId="17" fillId="0" borderId="546" xfId="0" applyFont="1" applyFill="1" applyBorder="1" applyAlignment="1" applyProtection="1">
      <alignment vertical="center"/>
    </xf>
    <xf numFmtId="0" fontId="18" fillId="16" borderId="155" xfId="0" applyFont="1" applyFill="1" applyBorder="1" applyAlignment="1" applyProtection="1">
      <alignment horizontal="center"/>
    </xf>
    <xf numFmtId="0" fontId="18" fillId="16" borderId="429" xfId="0" applyFont="1" applyFill="1" applyBorder="1" applyAlignment="1" applyProtection="1">
      <alignment horizontal="center"/>
    </xf>
    <xf numFmtId="0" fontId="18" fillId="16" borderId="137" xfId="0" applyFont="1" applyFill="1" applyBorder="1" applyAlignment="1" applyProtection="1">
      <alignment horizontal="center"/>
    </xf>
    <xf numFmtId="0" fontId="18" fillId="16" borderId="138" xfId="0" applyFont="1" applyFill="1" applyBorder="1" applyAlignment="1" applyProtection="1">
      <alignment horizontal="center"/>
    </xf>
    <xf numFmtId="166" fontId="18" fillId="16" borderId="15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166" fontId="18" fillId="16" borderId="429" xfId="0" applyNumberFormat="1" applyFont="1" applyFill="1" applyBorder="1" applyAlignment="1" applyProtection="1">
      <alignment horizontal="center"/>
    </xf>
    <xf numFmtId="166" fontId="18" fillId="16" borderId="208" xfId="0" applyNumberFormat="1" applyFont="1" applyFill="1" applyBorder="1" applyAlignment="1" applyProtection="1">
      <alignment horizontal="center"/>
    </xf>
    <xf numFmtId="3" fontId="18" fillId="0" borderId="69" xfId="0" applyNumberFormat="1" applyFont="1" applyFill="1" applyBorder="1" applyProtection="1"/>
    <xf numFmtId="3" fontId="18" fillId="0" borderId="55" xfId="0" applyNumberFormat="1" applyFont="1" applyFill="1" applyBorder="1" applyProtection="1"/>
    <xf numFmtId="166" fontId="15" fillId="0" borderId="63" xfId="0" applyNumberFormat="1" applyFont="1" applyFill="1" applyBorder="1" applyAlignment="1" applyProtection="1">
      <alignment horizontal="center"/>
    </xf>
    <xf numFmtId="166" fontId="15" fillId="0" borderId="541" xfId="0" applyNumberFormat="1" applyFont="1" applyFill="1" applyBorder="1" applyAlignment="1" applyProtection="1">
      <alignment horizontal="center"/>
    </xf>
    <xf numFmtId="3" fontId="18" fillId="0" borderId="11" xfId="0" applyNumberFormat="1" applyFont="1" applyFill="1" applyBorder="1" applyProtection="1"/>
    <xf numFmtId="3" fontId="18" fillId="0" borderId="12" xfId="0" applyNumberFormat="1" applyFont="1" applyFill="1" applyBorder="1" applyProtection="1"/>
    <xf numFmtId="0" fontId="18" fillId="16" borderId="430" xfId="0" applyFont="1" applyFill="1" applyBorder="1" applyAlignment="1" applyProtection="1">
      <alignment horizontal="center"/>
    </xf>
    <xf numFmtId="166" fontId="51" fillId="0" borderId="193" xfId="0" applyNumberFormat="1" applyFont="1" applyFill="1" applyBorder="1" applyAlignment="1" applyProtection="1">
      <alignment horizontal="center" wrapText="1"/>
    </xf>
    <xf numFmtId="166" fontId="51" fillId="0" borderId="546" xfId="0" applyNumberFormat="1" applyFont="1" applyFill="1" applyBorder="1" applyAlignment="1" applyProtection="1">
      <alignment horizontal="center" wrapText="1"/>
    </xf>
    <xf numFmtId="166" fontId="51" fillId="0" borderId="546" xfId="0" applyNumberFormat="1" applyFont="1" applyFill="1" applyBorder="1" applyAlignment="1" applyProtection="1">
      <alignment horizontal="center" vertical="top" wrapText="1"/>
    </xf>
    <xf numFmtId="0" fontId="16" fillId="16" borderId="155" xfId="0" applyFont="1" applyFill="1" applyBorder="1" applyAlignment="1" applyProtection="1">
      <alignment wrapText="1"/>
    </xf>
    <xf numFmtId="0" fontId="16" fillId="16" borderId="435" xfId="0" applyFont="1" applyFill="1" applyBorder="1" applyAlignment="1" applyProtection="1">
      <alignment wrapText="1"/>
    </xf>
    <xf numFmtId="0" fontId="16" fillId="0" borderId="237" xfId="0" applyFont="1" applyFill="1" applyBorder="1" applyAlignment="1" applyProtection="1">
      <alignment wrapText="1"/>
      <protection locked="0"/>
    </xf>
    <xf numFmtId="0" fontId="16" fillId="0" borderId="571" xfId="0" applyFont="1" applyFill="1" applyBorder="1" applyAlignment="1" applyProtection="1">
      <alignment wrapText="1"/>
      <protection locked="0"/>
    </xf>
    <xf numFmtId="44" fontId="41" fillId="0" borderId="349" xfId="0" applyNumberFormat="1" applyFont="1" applyFill="1" applyBorder="1" applyAlignment="1" applyProtection="1">
      <alignment horizontal="right" vertical="center"/>
      <protection locked="0"/>
    </xf>
    <xf numFmtId="44" fontId="41" fillId="0" borderId="350" xfId="0" applyNumberFormat="1" applyFont="1" applyFill="1" applyBorder="1" applyAlignment="1" applyProtection="1">
      <alignment horizontal="right" vertical="center"/>
      <protection locked="0"/>
    </xf>
    <xf numFmtId="0" fontId="43" fillId="16" borderId="155" xfId="0" applyFont="1" applyFill="1" applyBorder="1" applyAlignment="1" applyProtection="1">
      <alignment horizontal="center" vertical="center"/>
    </xf>
    <xf numFmtId="0" fontId="43" fillId="16" borderId="208" xfId="0" applyFont="1" applyFill="1" applyBorder="1" applyAlignment="1" applyProtection="1">
      <alignment horizontal="center" vertical="center"/>
    </xf>
    <xf numFmtId="49" fontId="41" fillId="0" borderId="346" xfId="0" applyNumberFormat="1" applyFont="1" applyFill="1" applyBorder="1" applyAlignment="1" applyProtection="1">
      <alignment horizontal="left" vertical="center"/>
      <protection locked="0"/>
    </xf>
    <xf numFmtId="49" fontId="41" fillId="0" borderId="347" xfId="0" applyNumberFormat="1" applyFont="1" applyFill="1" applyBorder="1" applyAlignment="1" applyProtection="1">
      <alignment horizontal="left" vertical="center"/>
      <protection locked="0"/>
    </xf>
    <xf numFmtId="49" fontId="41" fillId="0" borderId="348"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38" xfId="0" applyNumberFormat="1" applyFont="1" applyFill="1" applyBorder="1" applyAlignment="1" applyProtection="1">
      <alignment horizontal="right" vertical="center"/>
      <protection locked="0"/>
    </xf>
    <xf numFmtId="44" fontId="41" fillId="0" borderId="241" xfId="0" applyNumberFormat="1" applyFont="1" applyFill="1" applyBorder="1" applyAlignment="1" applyProtection="1">
      <alignment horizontal="right" vertical="center"/>
      <protection locked="0"/>
    </xf>
    <xf numFmtId="44" fontId="41" fillId="0" borderId="343" xfId="0" applyNumberFormat="1" applyFont="1" applyFill="1" applyBorder="1" applyAlignment="1" applyProtection="1">
      <alignment horizontal="right" vertical="center"/>
      <protection locked="0"/>
    </xf>
    <xf numFmtId="44" fontId="41" fillId="0" borderId="246" xfId="0" applyNumberFormat="1" applyFont="1" applyFill="1" applyBorder="1" applyAlignment="1" applyProtection="1">
      <alignment horizontal="right" vertical="center"/>
      <protection locked="0"/>
    </xf>
    <xf numFmtId="49" fontId="41" fillId="0" borderId="237" xfId="0" applyNumberFormat="1" applyFont="1" applyFill="1" applyBorder="1" applyAlignment="1" applyProtection="1">
      <alignment horizontal="left" vertical="center"/>
      <protection locked="0"/>
    </xf>
    <xf numFmtId="49" fontId="41" fillId="0" borderId="240" xfId="0" applyNumberFormat="1" applyFont="1" applyFill="1" applyBorder="1" applyAlignment="1" applyProtection="1">
      <alignment horizontal="left" vertical="center"/>
      <protection locked="0"/>
    </xf>
    <xf numFmtId="49" fontId="41" fillId="0" borderId="337" xfId="0" applyNumberFormat="1" applyFont="1" applyFill="1" applyBorder="1" applyAlignment="1" applyProtection="1">
      <alignment horizontal="left" vertical="center"/>
      <protection locked="0"/>
    </xf>
    <xf numFmtId="49" fontId="41" fillId="0" borderId="242" xfId="0" applyNumberFormat="1" applyFont="1" applyFill="1" applyBorder="1" applyAlignment="1" applyProtection="1">
      <alignment vertical="center"/>
      <protection locked="0"/>
    </xf>
    <xf numFmtId="49" fontId="41" fillId="0" borderId="245" xfId="0" applyNumberFormat="1" applyFont="1" applyFill="1" applyBorder="1" applyAlignment="1" applyProtection="1">
      <alignment vertical="center"/>
      <protection locked="0"/>
    </xf>
    <xf numFmtId="49" fontId="41" fillId="0" borderId="342" xfId="0" applyNumberFormat="1" applyFont="1" applyFill="1" applyBorder="1" applyAlignment="1" applyProtection="1">
      <alignment vertical="center"/>
      <protection locked="0"/>
    </xf>
    <xf numFmtId="0" fontId="41" fillId="0" borderId="313" xfId="0" applyFont="1" applyFill="1" applyBorder="1" applyAlignment="1" applyProtection="1">
      <alignment vertical="center"/>
      <protection locked="0"/>
    </xf>
    <xf numFmtId="0" fontId="41" fillId="0" borderId="564" xfId="0" applyFont="1" applyFill="1" applyBorder="1" applyAlignment="1" applyProtection="1">
      <alignment vertical="center"/>
      <protection locked="0"/>
    </xf>
    <xf numFmtId="0" fontId="41" fillId="0" borderId="316" xfId="0" applyFont="1" applyFill="1" applyBorder="1" applyAlignment="1" applyProtection="1">
      <alignment vertical="center"/>
      <protection locked="0"/>
    </xf>
    <xf numFmtId="0" fontId="41" fillId="0" borderId="565" xfId="0" applyFont="1" applyFill="1" applyBorder="1" applyAlignment="1" applyProtection="1">
      <alignment vertical="center"/>
      <protection locked="0"/>
    </xf>
    <xf numFmtId="0" fontId="41" fillId="0" borderId="576" xfId="0" applyFont="1" applyFill="1" applyBorder="1" applyAlignment="1" applyProtection="1">
      <alignment horizontal="left" vertical="center" indent="1"/>
    </xf>
    <xf numFmtId="0" fontId="41" fillId="0" borderId="575" xfId="0" applyFont="1" applyFill="1" applyBorder="1" applyAlignment="1" applyProtection="1">
      <alignment horizontal="left" vertical="center" indent="1"/>
    </xf>
    <xf numFmtId="0" fontId="41" fillId="0" borderId="578" xfId="0" applyFont="1" applyFill="1" applyBorder="1" applyAlignment="1" applyProtection="1">
      <alignment horizontal="left" vertical="center" indent="1"/>
    </xf>
    <xf numFmtId="0" fontId="41" fillId="0" borderId="577" xfId="0" applyFont="1" applyFill="1" applyBorder="1" applyAlignment="1" applyProtection="1">
      <alignment horizontal="left" vertical="center" indent="1"/>
    </xf>
    <xf numFmtId="0" fontId="0" fillId="0" borderId="209"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49" fontId="41" fillId="0" borderId="242" xfId="0" applyNumberFormat="1" applyFont="1" applyFill="1" applyBorder="1" applyAlignment="1" applyProtection="1">
      <alignment horizontal="left" vertical="center"/>
      <protection locked="0"/>
    </xf>
    <xf numFmtId="49" fontId="41" fillId="0" borderId="245" xfId="0" applyNumberFormat="1" applyFont="1" applyFill="1" applyBorder="1" applyAlignment="1" applyProtection="1">
      <alignment horizontal="left" vertical="center"/>
      <protection locked="0"/>
    </xf>
    <xf numFmtId="49" fontId="41" fillId="0" borderId="342"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0" xfId="0" applyFont="1" applyFill="1" applyBorder="1" applyAlignment="1" applyProtection="1">
      <alignment horizontal="left" vertical="top" wrapText="1"/>
      <protection locked="0"/>
    </xf>
    <xf numFmtId="0" fontId="16" fillId="0" borderId="370" xfId="0" applyFont="1" applyFill="1" applyBorder="1" applyAlignment="1" applyProtection="1">
      <alignment horizontal="left" vertical="top" wrapText="1"/>
      <protection locked="0"/>
    </xf>
    <xf numFmtId="0" fontId="16" fillId="0" borderId="209" xfId="0" applyFont="1" applyBorder="1" applyAlignment="1" applyProtection="1">
      <alignment vertical="top" wrapText="1"/>
      <protection locked="0"/>
    </xf>
    <xf numFmtId="0" fontId="16" fillId="0" borderId="211" xfId="0" applyFont="1" applyBorder="1" applyAlignment="1" applyProtection="1">
      <alignment vertical="top" wrapText="1"/>
      <protection locked="0"/>
    </xf>
    <xf numFmtId="0" fontId="16" fillId="0" borderId="212"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41" fillId="0" borderId="313" xfId="0" applyFont="1" applyFill="1" applyBorder="1" applyAlignment="1" applyProtection="1">
      <alignment vertical="center"/>
    </xf>
    <xf numFmtId="0" fontId="41" fillId="0" borderId="564" xfId="0" applyFont="1" applyFill="1" applyBorder="1" applyAlignment="1" applyProtection="1">
      <alignment vertical="center"/>
    </xf>
    <xf numFmtId="0" fontId="41" fillId="0" borderId="316" xfId="0" applyFont="1" applyFill="1" applyBorder="1" applyAlignment="1" applyProtection="1">
      <alignment vertical="center"/>
    </xf>
    <xf numFmtId="0" fontId="41" fillId="0" borderId="565" xfId="0" applyFont="1" applyFill="1" applyBorder="1" applyAlignment="1" applyProtection="1">
      <alignment vertical="center"/>
    </xf>
    <xf numFmtId="0" fontId="16" fillId="0" borderId="49" xfId="0" applyFont="1" applyFill="1" applyBorder="1" applyAlignment="1" applyProtection="1">
      <protection locked="0"/>
    </xf>
    <xf numFmtId="0" fontId="16" fillId="0" borderId="46" xfId="0" applyFont="1" applyFill="1" applyBorder="1" applyAlignment="1" applyProtection="1">
      <protection locked="0"/>
    </xf>
    <xf numFmtId="0" fontId="16" fillId="0" borderId="6" xfId="0" applyFont="1" applyFill="1" applyBorder="1" applyAlignment="1" applyProtection="1">
      <protection locked="0"/>
    </xf>
    <xf numFmtId="0" fontId="16" fillId="0" borderId="26" xfId="0" applyFont="1" applyFill="1" applyBorder="1" applyAlignment="1" applyProtection="1">
      <protection locked="0"/>
    </xf>
    <xf numFmtId="0" fontId="67" fillId="0" borderId="146" xfId="0" applyFont="1" applyFill="1" applyBorder="1" applyProtection="1"/>
    <xf numFmtId="0" fontId="67" fillId="0" borderId="147" xfId="0" applyFont="1" applyFill="1" applyBorder="1" applyProtection="1"/>
    <xf numFmtId="0" fontId="67" fillId="0" borderId="148" xfId="0" applyFont="1" applyFill="1" applyBorder="1" applyProtection="1"/>
    <xf numFmtId="0" fontId="16" fillId="0" borderId="49" xfId="0" applyFont="1" applyFill="1" applyBorder="1" applyAlignment="1" applyProtection="1">
      <alignment horizontal="left"/>
      <protection locked="0"/>
    </xf>
    <xf numFmtId="0" fontId="16" fillId="0" borderId="46" xfId="0" applyFont="1" applyFill="1" applyBorder="1" applyAlignment="1" applyProtection="1">
      <alignment horizontal="left"/>
      <protection locked="0"/>
    </xf>
    <xf numFmtId="0" fontId="15" fillId="6" borderId="6" xfId="0" applyFont="1" applyFill="1" applyBorder="1" applyAlignment="1" applyProtection="1"/>
    <xf numFmtId="0" fontId="16" fillId="0" borderId="226" xfId="0" applyFont="1" applyFill="1" applyBorder="1" applyAlignment="1" applyProtection="1">
      <protection locked="0"/>
    </xf>
    <xf numFmtId="0" fontId="16" fillId="0" borderId="227" xfId="0" applyFont="1" applyFill="1" applyBorder="1" applyAlignment="1" applyProtection="1">
      <protection locked="0"/>
    </xf>
    <xf numFmtId="0" fontId="67" fillId="0" borderId="193" xfId="0" applyFont="1" applyFill="1" applyBorder="1" applyProtection="1"/>
    <xf numFmtId="0" fontId="16" fillId="0" borderId="26" xfId="0" applyFont="1" applyFill="1" applyBorder="1" applyProtection="1">
      <protection locked="0"/>
    </xf>
    <xf numFmtId="0" fontId="16" fillId="6" borderId="226" xfId="0" applyFont="1" applyFill="1" applyBorder="1" applyAlignment="1" applyProtection="1"/>
    <xf numFmtId="0" fontId="16" fillId="6" borderId="227" xfId="0" applyFont="1" applyFill="1" applyBorder="1" applyAlignment="1" applyProtection="1"/>
    <xf numFmtId="0" fontId="16" fillId="6" borderId="6" xfId="0" applyFont="1" applyFill="1" applyBorder="1" applyAlignment="1" applyProtection="1"/>
    <xf numFmtId="0" fontId="16" fillId="6" borderId="26" xfId="0" applyFont="1" applyFill="1" applyBorder="1" applyAlignment="1" applyProtection="1"/>
    <xf numFmtId="0" fontId="16" fillId="6" borderId="226" xfId="0" applyFont="1" applyFill="1" applyBorder="1" applyProtection="1"/>
    <xf numFmtId="0" fontId="2" fillId="0" borderId="73" xfId="0" applyFont="1" applyFill="1" applyBorder="1" applyProtection="1"/>
    <xf numFmtId="0" fontId="15" fillId="6" borderId="26" xfId="0" applyFont="1" applyFill="1" applyBorder="1" applyAlignment="1" applyProtection="1"/>
    <xf numFmtId="0" fontId="21" fillId="0" borderId="28" xfId="0" applyFont="1" applyFill="1" applyBorder="1" applyAlignment="1" applyProtection="1">
      <alignment horizontal="center" wrapText="1"/>
    </xf>
    <xf numFmtId="0" fontId="21" fillId="0" borderId="28" xfId="0" applyFont="1" applyFill="1" applyBorder="1" applyAlignment="1" applyProtection="1">
      <alignment horizontal="center"/>
    </xf>
    <xf numFmtId="0" fontId="16" fillId="0" borderId="18" xfId="0" applyFont="1" applyFill="1" applyBorder="1" applyAlignment="1" applyProtection="1">
      <alignment horizontal="left" textRotation="90" wrapText="1"/>
    </xf>
    <xf numFmtId="0" fontId="16" fillId="0" borderId="176"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 xfId="0" applyFont="1" applyFill="1" applyBorder="1" applyAlignment="1" applyProtection="1">
      <alignment horizontal="left" textRotation="90"/>
    </xf>
    <xf numFmtId="0" fontId="0" fillId="0" borderId="0" xfId="0" applyFont="1" applyFill="1" applyBorder="1" applyProtection="1"/>
    <xf numFmtId="0" fontId="0" fillId="0" borderId="176" xfId="0" applyFont="1" applyFill="1" applyBorder="1" applyProtection="1"/>
    <xf numFmtId="0" fontId="16" fillId="20" borderId="51" xfId="0" applyFont="1" applyFill="1" applyBorder="1" applyAlignment="1" applyProtection="1">
      <alignment horizontal="left" vertical="top" wrapText="1"/>
    </xf>
    <xf numFmtId="0" fontId="16" fillId="20" borderId="52" xfId="0" applyFont="1" applyFill="1" applyBorder="1" applyAlignment="1" applyProtection="1">
      <alignment horizontal="left" vertical="top" wrapText="1"/>
    </xf>
    <xf numFmtId="0" fontId="16" fillId="0" borderId="15"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5" borderId="51" xfId="0" applyFont="1" applyFill="1" applyBorder="1" applyAlignment="1" applyProtection="1">
      <alignment horizontal="left" vertical="top" wrapText="1"/>
      <protection locked="0"/>
    </xf>
    <xf numFmtId="0" fontId="16" fillId="5" borderId="226" xfId="0" applyFont="1" applyFill="1" applyBorder="1" applyAlignment="1" applyProtection="1">
      <alignment horizontal="left" vertical="top" wrapText="1"/>
      <protection locked="0"/>
    </xf>
    <xf numFmtId="0" fontId="16" fillId="5" borderId="52" xfId="0" applyFont="1" applyFill="1" applyBorder="1" applyAlignment="1" applyProtection="1">
      <alignment horizontal="left" vertical="top" wrapText="1"/>
      <protection locked="0"/>
    </xf>
    <xf numFmtId="0" fontId="20" fillId="0" borderId="73" xfId="0" applyFont="1" applyFill="1" applyBorder="1" applyAlignment="1" applyProtection="1"/>
    <xf numFmtId="0" fontId="21" fillId="16" borderId="0" xfId="0" applyFont="1" applyFill="1" applyBorder="1" applyAlignment="1" applyProtection="1">
      <protection locked="0"/>
    </xf>
    <xf numFmtId="0" fontId="20" fillId="0" borderId="73" xfId="0" applyFont="1" applyFill="1" applyBorder="1" applyAlignment="1" applyProtection="1">
      <protection locked="0"/>
    </xf>
    <xf numFmtId="0" fontId="44" fillId="6" borderId="49" xfId="0" applyFont="1" applyFill="1" applyBorder="1" applyAlignment="1" applyProtection="1">
      <alignment horizontal="left" vertical="center" wrapText="1"/>
    </xf>
    <xf numFmtId="0" fontId="44" fillId="6" borderId="52"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4" xfId="4" applyFill="1" applyBorder="1" applyAlignment="1">
      <alignment wrapText="1"/>
    </xf>
    <xf numFmtId="0" fontId="81" fillId="16" borderId="18" xfId="4" applyFill="1" applyBorder="1" applyAlignment="1">
      <alignment wrapText="1"/>
    </xf>
    <xf numFmtId="0" fontId="81" fillId="16" borderId="20" xfId="4" applyFill="1" applyBorder="1" applyAlignment="1">
      <alignment wrapText="1"/>
    </xf>
    <xf numFmtId="0" fontId="81" fillId="16" borderId="24" xfId="4" applyFill="1" applyBorder="1" applyAlignment="1">
      <alignment wrapText="1"/>
    </xf>
    <xf numFmtId="0" fontId="81" fillId="16" borderId="0" xfId="4" applyFill="1" applyBorder="1" applyAlignment="1">
      <alignment wrapText="1"/>
    </xf>
    <xf numFmtId="0" fontId="81" fillId="16" borderId="25" xfId="4" applyFill="1" applyBorder="1" applyAlignment="1">
      <alignment wrapText="1"/>
    </xf>
    <xf numFmtId="0" fontId="81" fillId="16" borderId="15" xfId="4" applyFill="1" applyBorder="1" applyAlignment="1">
      <alignment wrapText="1"/>
    </xf>
    <xf numFmtId="0" fontId="81" fillId="16" borderId="6" xfId="4" applyFill="1" applyBorder="1" applyAlignment="1">
      <alignment wrapText="1"/>
    </xf>
    <xf numFmtId="0" fontId="81" fillId="16" borderId="21" xfId="4" applyFill="1" applyBorder="1" applyAlignment="1">
      <alignment wrapText="1"/>
    </xf>
    <xf numFmtId="0" fontId="72" fillId="5" borderId="18" xfId="4" applyFont="1" applyFill="1" applyBorder="1" applyAlignment="1">
      <alignment horizontal="center" wrapText="1"/>
    </xf>
    <xf numFmtId="0" fontId="0" fillId="0" borderId="0" xfId="0"/>
    <xf numFmtId="0" fontId="82" fillId="3" borderId="18" xfId="4" applyFont="1" applyFill="1" applyBorder="1" applyAlignment="1">
      <alignment horizontal="right" wrapText="1"/>
    </xf>
    <xf numFmtId="0" fontId="82" fillId="3" borderId="0" xfId="4" applyFont="1" applyFill="1" applyBorder="1" applyAlignment="1">
      <alignment horizontal="right" wrapText="1"/>
    </xf>
    <xf numFmtId="0" fontId="86" fillId="7" borderId="547" xfId="4" applyFont="1" applyFill="1" applyBorder="1"/>
    <xf numFmtId="0" fontId="86" fillId="7" borderId="548" xfId="4" applyFont="1" applyFill="1" applyBorder="1"/>
    <xf numFmtId="0" fontId="86" fillId="7" borderId="549" xfId="4" applyFont="1" applyFill="1" applyBorder="1"/>
    <xf numFmtId="0" fontId="81" fillId="38" borderId="547" xfId="4" applyFont="1" applyFill="1" applyBorder="1" applyAlignment="1">
      <alignment horizontal="left"/>
    </xf>
    <xf numFmtId="0" fontId="81" fillId="38" borderId="549" xfId="4" applyFont="1" applyFill="1" applyBorder="1" applyAlignment="1">
      <alignment horizontal="left"/>
    </xf>
    <xf numFmtId="0" fontId="72" fillId="3" borderId="0" xfId="4" applyFont="1" applyFill="1" applyBorder="1" applyAlignment="1">
      <alignment wrapText="1"/>
    </xf>
    <xf numFmtId="0" fontId="81" fillId="38" borderId="547" xfId="4" applyFont="1" applyFill="1" applyBorder="1" applyAlignment="1" applyProtection="1">
      <alignment horizontal="left"/>
      <protection locked="0"/>
    </xf>
    <xf numFmtId="0" fontId="81" fillId="38" borderId="548" xfId="4" applyFont="1" applyFill="1" applyBorder="1" applyAlignment="1" applyProtection="1">
      <alignment horizontal="left"/>
      <protection locked="0"/>
    </xf>
    <xf numFmtId="0" fontId="81" fillId="38" borderId="549" xfId="4" applyFont="1" applyFill="1" applyBorder="1" applyAlignment="1" applyProtection="1">
      <alignment horizontal="left"/>
      <protection locked="0"/>
    </xf>
    <xf numFmtId="0" fontId="81" fillId="38" borderId="548" xfId="4" applyFont="1" applyFill="1" applyBorder="1" applyAlignment="1">
      <alignment horizontal="left"/>
    </xf>
    <xf numFmtId="0" fontId="81" fillId="7" borderId="547" xfId="4" applyFont="1" applyFill="1" applyBorder="1" applyAlignment="1">
      <alignment horizontal="left"/>
    </xf>
    <xf numFmtId="0" fontId="81" fillId="7" borderId="548" xfId="4" applyFont="1" applyFill="1" applyBorder="1" applyAlignment="1">
      <alignment horizontal="left"/>
    </xf>
    <xf numFmtId="0" fontId="81" fillId="7" borderId="549" xfId="4" applyFont="1" applyFill="1" applyBorder="1" applyAlignment="1">
      <alignment horizontal="left"/>
    </xf>
    <xf numFmtId="44" fontId="81" fillId="38" borderId="547" xfId="4" applyNumberFormat="1" applyFont="1" applyFill="1" applyBorder="1" applyAlignment="1">
      <alignment horizontal="left"/>
    </xf>
    <xf numFmtId="44" fontId="81" fillId="38" borderId="548" xfId="4" applyNumberFormat="1" applyFont="1" applyFill="1" applyBorder="1" applyAlignment="1">
      <alignment horizontal="left"/>
    </xf>
    <xf numFmtId="44" fontId="81" fillId="38" borderId="549" xfId="4" applyNumberFormat="1" applyFont="1" applyFill="1" applyBorder="1" applyAlignment="1">
      <alignment horizontal="left"/>
    </xf>
    <xf numFmtId="0" fontId="80" fillId="38" borderId="547" xfId="4" applyFont="1" applyFill="1" applyBorder="1" applyAlignment="1">
      <alignment horizontal="center"/>
    </xf>
    <xf numFmtId="0" fontId="80" fillId="38" borderId="548" xfId="4" applyFont="1" applyFill="1" applyBorder="1" applyAlignment="1">
      <alignment horizontal="center"/>
    </xf>
    <xf numFmtId="0" fontId="80" fillId="38" borderId="549" xfId="4" applyFont="1" applyFill="1" applyBorder="1" applyAlignment="1">
      <alignment horizontal="center"/>
    </xf>
    <xf numFmtId="172" fontId="80" fillId="38" borderId="547" xfId="4" applyNumberFormat="1" applyFont="1" applyFill="1" applyBorder="1" applyAlignment="1"/>
    <xf numFmtId="172" fontId="80" fillId="38" borderId="549" xfId="4" applyNumberFormat="1" applyFont="1" applyFill="1" applyBorder="1" applyAlignment="1"/>
    <xf numFmtId="0" fontId="80" fillId="38" borderId="547" xfId="4" applyFont="1" applyFill="1" applyBorder="1" applyAlignment="1"/>
    <xf numFmtId="0" fontId="80" fillId="38" borderId="548" xfId="4" applyFont="1" applyFill="1" applyBorder="1" applyAlignment="1"/>
    <xf numFmtId="0" fontId="80" fillId="38" borderId="549" xfId="4" applyFont="1" applyFill="1" applyBorder="1" applyAlignment="1"/>
    <xf numFmtId="172" fontId="81" fillId="38" borderId="547" xfId="4" applyNumberFormat="1" applyFont="1" applyFill="1" applyBorder="1" applyAlignment="1"/>
    <xf numFmtId="172" fontId="81" fillId="38" borderId="549" xfId="4" applyNumberFormat="1" applyFont="1" applyFill="1" applyBorder="1" applyAlignment="1"/>
    <xf numFmtId="0" fontId="80" fillId="38" borderId="547" xfId="4" applyFont="1" applyFill="1" applyBorder="1" applyAlignment="1">
      <alignment horizontal="right"/>
    </xf>
    <xf numFmtId="0" fontId="80" fillId="38" borderId="548" xfId="4" applyFont="1" applyFill="1" applyBorder="1" applyAlignment="1">
      <alignment horizontal="right"/>
    </xf>
    <xf numFmtId="0" fontId="80" fillId="38" borderId="549" xfId="4" applyFont="1" applyFill="1" applyBorder="1" applyAlignment="1">
      <alignment horizontal="right"/>
    </xf>
    <xf numFmtId="37" fontId="80" fillId="38" borderId="547" xfId="4" applyNumberFormat="1" applyFont="1" applyFill="1" applyBorder="1" applyAlignment="1">
      <alignment horizontal="right"/>
    </xf>
    <xf numFmtId="37" fontId="80" fillId="38" borderId="548" xfId="4" applyNumberFormat="1" applyFont="1" applyFill="1" applyBorder="1" applyAlignment="1">
      <alignment horizontal="right"/>
    </xf>
    <xf numFmtId="37" fontId="80" fillId="38" borderId="549" xfId="4" applyNumberFormat="1" applyFont="1" applyFill="1" applyBorder="1" applyAlignment="1">
      <alignment horizontal="right"/>
    </xf>
    <xf numFmtId="0" fontId="86" fillId="38" borderId="547" xfId="4" applyFont="1" applyFill="1" applyBorder="1" applyAlignment="1">
      <alignment horizontal="left"/>
    </xf>
    <xf numFmtId="0" fontId="86" fillId="38" borderId="549" xfId="4" applyFont="1" applyFill="1" applyBorder="1" applyAlignment="1">
      <alignment horizontal="left"/>
    </xf>
    <xf numFmtId="37" fontId="80" fillId="38" borderId="585" xfId="4" applyNumberFormat="1" applyFont="1" applyFill="1" applyBorder="1" applyAlignment="1">
      <alignment horizontal="left" vertical="center" wrapText="1"/>
    </xf>
    <xf numFmtId="37" fontId="80" fillId="38" borderId="586" xfId="4" applyNumberFormat="1" applyFont="1" applyFill="1" applyBorder="1" applyAlignment="1">
      <alignment horizontal="left" vertical="center" wrapText="1"/>
    </xf>
    <xf numFmtId="37" fontId="80" fillId="38" borderId="587" xfId="4" applyNumberFormat="1" applyFont="1" applyFill="1" applyBorder="1" applyAlignment="1">
      <alignment horizontal="left" vertical="center" wrapText="1"/>
    </xf>
    <xf numFmtId="37" fontId="80" fillId="38" borderId="588" xfId="4" applyNumberFormat="1" applyFont="1" applyFill="1" applyBorder="1" applyAlignment="1">
      <alignment horizontal="left" vertical="center" wrapText="1"/>
    </xf>
    <xf numFmtId="37" fontId="80" fillId="38" borderId="589" xfId="4" applyNumberFormat="1" applyFont="1" applyFill="1" applyBorder="1" applyAlignment="1">
      <alignment horizontal="left" vertical="center" wrapText="1"/>
    </xf>
    <xf numFmtId="37" fontId="80" fillId="38" borderId="590" xfId="4" applyNumberFormat="1" applyFont="1" applyFill="1" applyBorder="1" applyAlignment="1">
      <alignment horizontal="left" vertical="center" wrapText="1"/>
    </xf>
    <xf numFmtId="37" fontId="80" fillId="38" borderId="547" xfId="4" applyNumberFormat="1" applyFont="1" applyFill="1" applyBorder="1" applyAlignment="1">
      <alignment horizontal="left"/>
    </xf>
    <xf numFmtId="37" fontId="80" fillId="38" borderId="548" xfId="4" applyNumberFormat="1" applyFont="1" applyFill="1" applyBorder="1" applyAlignment="1">
      <alignment horizontal="left"/>
    </xf>
    <xf numFmtId="37" fontId="80" fillId="38" borderId="549" xfId="4" applyNumberFormat="1" applyFont="1" applyFill="1" applyBorder="1" applyAlignment="1">
      <alignment horizontal="left"/>
    </xf>
    <xf numFmtId="0" fontId="81" fillId="38" borderId="547" xfId="4" applyFont="1" applyFill="1" applyBorder="1" applyAlignment="1"/>
    <xf numFmtId="0" fontId="81" fillId="38" borderId="548" xfId="4" applyFont="1" applyFill="1" applyBorder="1" applyAlignment="1"/>
    <xf numFmtId="0" fontId="81" fillId="38" borderId="549" xfId="4" applyFont="1" applyFill="1" applyBorder="1" applyAlignment="1"/>
    <xf numFmtId="0" fontId="81" fillId="5" borderId="0" xfId="4" applyFont="1" applyFill="1" applyBorder="1" applyAlignment="1">
      <alignment wrapText="1"/>
    </xf>
    <xf numFmtId="0" fontId="72" fillId="5" borderId="0" xfId="4" applyFont="1" applyFill="1" applyBorder="1" applyAlignment="1"/>
    <xf numFmtId="0" fontId="90" fillId="7" borderId="585" xfId="4" applyFont="1" applyFill="1" applyBorder="1" applyAlignment="1">
      <alignment horizontal="center" vertical="top" wrapText="1"/>
    </xf>
    <xf numFmtId="0" fontId="90" fillId="7" borderId="586" xfId="4" applyFont="1" applyFill="1" applyBorder="1" applyAlignment="1">
      <alignment horizontal="center" vertical="top" wrapText="1"/>
    </xf>
    <xf numFmtId="0" fontId="90" fillId="7" borderId="587" xfId="4" applyFont="1" applyFill="1" applyBorder="1" applyAlignment="1">
      <alignment horizontal="center" vertical="top" wrapText="1"/>
    </xf>
    <xf numFmtId="0" fontId="90" fillId="7" borderId="588" xfId="4" applyFont="1" applyFill="1" applyBorder="1" applyAlignment="1">
      <alignment horizontal="center" vertical="top" wrapText="1"/>
    </xf>
    <xf numFmtId="0" fontId="90" fillId="7" borderId="589" xfId="4" applyFont="1" applyFill="1" applyBorder="1" applyAlignment="1">
      <alignment horizontal="center" vertical="top" wrapText="1"/>
    </xf>
    <xf numFmtId="0" fontId="90" fillId="7" borderId="590" xfId="4" applyFont="1" applyFill="1" applyBorder="1" applyAlignment="1">
      <alignment horizontal="center" vertical="top" wrapText="1"/>
    </xf>
    <xf numFmtId="0" fontId="90" fillId="7" borderId="547" xfId="4" applyFont="1" applyFill="1" applyBorder="1" applyAlignment="1">
      <alignment horizontal="left"/>
    </xf>
    <xf numFmtId="0" fontId="90" fillId="7" borderId="549" xfId="4" applyFont="1" applyFill="1" applyBorder="1" applyAlignment="1">
      <alignment horizontal="left"/>
    </xf>
    <xf numFmtId="172" fontId="80" fillId="38" borderId="547" xfId="4" applyNumberFormat="1" applyFont="1" applyFill="1" applyBorder="1" applyAlignment="1">
      <alignment horizontal="left"/>
    </xf>
    <xf numFmtId="172" fontId="80" fillId="38" borderId="548" xfId="4" applyNumberFormat="1" applyFont="1" applyFill="1" applyBorder="1" applyAlignment="1">
      <alignment horizontal="left"/>
    </xf>
    <xf numFmtId="172" fontId="80" fillId="38" borderId="549" xfId="4" applyNumberFormat="1" applyFont="1" applyFill="1" applyBorder="1" applyAlignment="1">
      <alignment horizontal="left"/>
    </xf>
    <xf numFmtId="0" fontId="86" fillId="3" borderId="0" xfId="4" applyFont="1" applyFill="1" applyBorder="1" applyAlignment="1"/>
    <xf numFmtId="165" fontId="80" fillId="5" borderId="547" xfId="2" applyNumberFormat="1" applyFont="1" applyFill="1" applyBorder="1" applyAlignment="1">
      <alignment horizontal="right"/>
    </xf>
    <xf numFmtId="165" fontId="80" fillId="5" borderId="548" xfId="2" applyNumberFormat="1" applyFont="1" applyFill="1" applyBorder="1" applyAlignment="1">
      <alignment horizontal="right"/>
    </xf>
    <xf numFmtId="165" fontId="80" fillId="5" borderId="549"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47" xfId="4" applyNumberFormat="1" applyFont="1" applyFill="1" applyBorder="1" applyAlignment="1">
      <alignment horizontal="center"/>
    </xf>
    <xf numFmtId="0" fontId="80" fillId="7" borderId="548" xfId="4" applyFont="1" applyFill="1" applyBorder="1" applyAlignment="1">
      <alignment horizontal="center"/>
    </xf>
    <xf numFmtId="0" fontId="80" fillId="7" borderId="549" xfId="4" applyFont="1" applyFill="1" applyBorder="1" applyAlignment="1">
      <alignment horizontal="center"/>
    </xf>
    <xf numFmtId="0" fontId="110" fillId="3" borderId="169" xfId="4" applyFont="1" applyFill="1" applyBorder="1" applyAlignment="1">
      <alignment wrapText="1"/>
    </xf>
    <xf numFmtId="0" fontId="0" fillId="0" borderId="169" xfId="0" applyBorder="1" applyAlignment="1">
      <alignment wrapText="1"/>
    </xf>
    <xf numFmtId="0" fontId="81" fillId="3" borderId="220" xfId="4" applyFont="1" applyFill="1" applyBorder="1" applyAlignment="1" applyProtection="1">
      <alignment wrapText="1"/>
    </xf>
    <xf numFmtId="0" fontId="0" fillId="0" borderId="220" xfId="0" applyBorder="1" applyAlignment="1">
      <alignment wrapText="1"/>
    </xf>
    <xf numFmtId="0" fontId="83" fillId="3" borderId="0" xfId="4" applyFont="1" applyFill="1" applyBorder="1" applyAlignment="1" applyProtection="1">
      <alignment horizontal="center"/>
    </xf>
    <xf numFmtId="0" fontId="81" fillId="34" borderId="554"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55"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81" fillId="34" borderId="556" xfId="4" applyFont="1" applyFill="1" applyBorder="1" applyAlignment="1" applyProtection="1">
      <alignment horizontal="left" vertical="center" wrapText="1"/>
    </xf>
    <xf numFmtId="0" fontId="81" fillId="34" borderId="557" xfId="4" applyFont="1" applyFill="1" applyBorder="1" applyAlignment="1" applyProtection="1">
      <alignment horizontal="left" vertical="center" wrapText="1"/>
    </xf>
    <xf numFmtId="0" fontId="81" fillId="34" borderId="558"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59" xfId="4" applyFont="1" applyFill="1" applyBorder="1" applyProtection="1">
      <protection locked="0"/>
    </xf>
    <xf numFmtId="0" fontId="86" fillId="34" borderId="560" xfId="4" applyFont="1" applyFill="1" applyBorder="1" applyProtection="1">
      <protection locked="0"/>
    </xf>
    <xf numFmtId="0" fontId="86" fillId="34" borderId="561" xfId="4" applyFont="1" applyFill="1" applyBorder="1" applyProtection="1">
      <protection locked="0"/>
    </xf>
    <xf numFmtId="0" fontId="101" fillId="3" borderId="557" xfId="4" applyFont="1" applyFill="1" applyBorder="1" applyAlignment="1" applyProtection="1">
      <alignment horizontal="right"/>
    </xf>
    <xf numFmtId="0" fontId="0" fillId="0" borderId="557" xfId="0" applyBorder="1" applyAlignment="1" applyProtection="1">
      <alignment horizontal="right"/>
    </xf>
    <xf numFmtId="0" fontId="0" fillId="0" borderId="558" xfId="0" applyBorder="1" applyAlignment="1" applyProtection="1">
      <alignment horizontal="right"/>
    </xf>
    <xf numFmtId="0" fontId="81" fillId="34" borderId="559" xfId="4" applyFont="1" applyFill="1" applyBorder="1" applyAlignment="1" applyProtection="1">
      <alignment horizontal="left"/>
      <protection locked="0"/>
    </xf>
    <xf numFmtId="0" fontId="81" fillId="34" borderId="561" xfId="4" applyFont="1" applyFill="1" applyBorder="1" applyAlignment="1" applyProtection="1">
      <alignment horizontal="left"/>
      <protection locked="0"/>
    </xf>
    <xf numFmtId="0" fontId="72" fillId="3" borderId="0" xfId="4" applyFont="1" applyFill="1" applyBorder="1" applyAlignment="1" applyProtection="1">
      <alignment horizontal="left" wrapText="1"/>
    </xf>
    <xf numFmtId="0" fontId="81" fillId="34" borderId="560"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72" fillId="3" borderId="0" xfId="4" applyFont="1" applyFill="1" applyBorder="1" applyAlignment="1" applyProtection="1">
      <alignment wrapText="1"/>
    </xf>
    <xf numFmtId="172" fontId="80" fillId="35" borderId="559" xfId="4" applyNumberFormat="1" applyFont="1" applyFill="1" applyBorder="1" applyAlignment="1" applyProtection="1">
      <alignment horizontal="left"/>
      <protection locked="0"/>
    </xf>
    <xf numFmtId="172" fontId="80" fillId="35" borderId="561" xfId="4" applyNumberFormat="1" applyFont="1" applyFill="1" applyBorder="1" applyAlignment="1" applyProtection="1">
      <alignment horizontal="left"/>
      <protection locked="0"/>
    </xf>
    <xf numFmtId="172" fontId="80" fillId="34" borderId="559" xfId="4" applyNumberFormat="1" applyFont="1" applyFill="1" applyBorder="1" applyAlignment="1" applyProtection="1">
      <alignment horizontal="left"/>
    </xf>
    <xf numFmtId="172" fontId="80" fillId="34" borderId="561" xfId="4" applyNumberFormat="1" applyFont="1" applyFill="1" applyBorder="1" applyAlignment="1" applyProtection="1">
      <alignment horizontal="left"/>
    </xf>
    <xf numFmtId="9" fontId="80" fillId="34" borderId="559" xfId="4" applyNumberFormat="1" applyFont="1" applyFill="1" applyBorder="1" applyAlignment="1" applyProtection="1">
      <alignment horizontal="right"/>
    </xf>
    <xf numFmtId="9" fontId="80" fillId="34" borderId="561" xfId="4" applyNumberFormat="1" applyFont="1" applyFill="1" applyBorder="1" applyAlignment="1" applyProtection="1">
      <alignment horizontal="right"/>
    </xf>
    <xf numFmtId="10" fontId="80" fillId="34" borderId="559" xfId="2" applyNumberFormat="1" applyFont="1" applyFill="1" applyBorder="1" applyAlignment="1" applyProtection="1">
      <alignment horizontal="right"/>
    </xf>
    <xf numFmtId="10" fontId="80" fillId="34" borderId="561" xfId="2" applyNumberFormat="1" applyFont="1" applyFill="1" applyBorder="1" applyAlignment="1" applyProtection="1">
      <alignment horizontal="right"/>
    </xf>
    <xf numFmtId="0" fontId="86" fillId="16" borderId="582" xfId="4" applyFont="1" applyFill="1" applyBorder="1" applyAlignment="1" applyProtection="1">
      <alignment horizontal="left"/>
      <protection locked="0"/>
    </xf>
    <xf numFmtId="0" fontId="86" fillId="16" borderId="583" xfId="4" applyFont="1" applyFill="1" applyBorder="1" applyAlignment="1" applyProtection="1">
      <alignment horizontal="left"/>
      <protection locked="0"/>
    </xf>
    <xf numFmtId="0" fontId="81" fillId="37" borderId="559" xfId="4" applyFont="1" applyFill="1" applyBorder="1" applyAlignment="1" applyProtection="1">
      <alignment horizontal="left" vertical="top" wrapText="1"/>
    </xf>
    <xf numFmtId="0" fontId="81" fillId="37" borderId="560" xfId="4" applyFont="1" applyFill="1" applyBorder="1" applyAlignment="1" applyProtection="1">
      <alignment horizontal="left" vertical="top"/>
    </xf>
    <xf numFmtId="0" fontId="81" fillId="37" borderId="561" xfId="4" applyFont="1" applyFill="1" applyBorder="1" applyAlignment="1" applyProtection="1">
      <alignment horizontal="left" vertical="top"/>
    </xf>
  </cellXfs>
  <cellStyles count="8">
    <cellStyle name="Comma" xfId="7" builtinId="3"/>
    <cellStyle name="Currency" xfId="1" builtinId="4"/>
    <cellStyle name="Hyperlink" xfId="5" builtinId="8"/>
    <cellStyle name="Normal" xfId="0" builtinId="0"/>
    <cellStyle name="Normal 2 3" xfId="3" xr:uid="{00000000-0005-0000-0000-000004000000}"/>
    <cellStyle name="Normal 3 2" xfId="6" xr:uid="{00000000-0005-0000-0000-000005000000}"/>
    <cellStyle name="Normal_LIHTC Allocation scoring synopsis" xfId="4" xr:uid="{00000000-0005-0000-0000-000006000000}"/>
    <cellStyle name="Percent" xfId="2" builtinId="5"/>
  </cellStyles>
  <dxfs count="155">
    <dxf>
      <font>
        <color auto="1"/>
      </font>
      <fill>
        <patternFill patternType="darkGray"/>
      </fill>
    </dxf>
    <dxf>
      <font>
        <color rgb="FF006100"/>
      </font>
      <fill>
        <patternFill>
          <bgColor rgb="FFC6EFCE"/>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color rgb="FFFF0000"/>
      </font>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90000"/>
      </font>
      <fill>
        <patternFill>
          <bgColor theme="5" tint="0.79998168889431442"/>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FFFF99"/>
      <color rgb="FFFFFFCC"/>
      <color rgb="FFCCFFCC"/>
      <color rgb="FF9C6500"/>
      <color rgb="FFFFEB9C"/>
      <color rgb="FF66FFFF"/>
      <color rgb="FF996600"/>
      <color rgb="FFCCECFF"/>
      <color rgb="FF31869B"/>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57150</xdr:rowOff>
    </xdr:from>
    <xdr:to>
      <xdr:col>18</xdr:col>
      <xdr:colOff>0</xdr:colOff>
      <xdr:row>4</xdr:row>
      <xdr:rowOff>66675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95250" y="57150"/>
          <a:ext cx="8353425" cy="771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 Rollup</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a:solidFill>
                <a:schemeClr val="dk1"/>
              </a:solidFill>
              <a:effectLst/>
              <a:latin typeface="+mn-lt"/>
              <a:ea typeface="+mn-ea"/>
              <a:cs typeface="+mn-cs"/>
            </a:rPr>
            <a:t>This form</a:t>
          </a:r>
          <a:r>
            <a:rPr lang="en-US" sz="1100" b="0" i="0" baseline="0">
              <a:solidFill>
                <a:schemeClr val="dk1"/>
              </a:solidFill>
              <a:effectLst/>
              <a:latin typeface="+mn-lt"/>
              <a:ea typeface="+mn-ea"/>
              <a:cs typeface="+mn-cs"/>
            </a:rPr>
            <a:t> is completed automatically using data entered for the individual Sites</a:t>
          </a:r>
          <a:endParaRPr lang="en-US">
            <a:effectLst/>
          </a:endParaRPr>
        </a:p>
        <a:p>
          <a:endPar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26</xdr:col>
      <xdr:colOff>9525</xdr:colOff>
      <xdr:row>9</xdr:row>
      <xdr:rowOff>152400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 - 4% Building</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 - 4% Building</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 - 4% Building</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 - 4% Building</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 - 4% Building</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26</xdr:col>
      <xdr:colOff>9525</xdr:colOff>
      <xdr:row>9</xdr:row>
      <xdr:rowOff>152400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 - 9% Building</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  - 9% Building</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95251" y="76200"/>
          <a:ext cx="59054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  - 9% Building</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57149" y="66675"/>
          <a:ext cx="64865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  - 9% Building</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14300" y="190500"/>
          <a:ext cx="59435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  - 9% Building</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57151</xdr:rowOff>
    </xdr:from>
    <xdr:to>
      <xdr:col>13</xdr:col>
      <xdr:colOff>85725</xdr:colOff>
      <xdr:row>5</xdr:row>
      <xdr:rowOff>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85725" y="57151"/>
          <a:ext cx="10953750" cy="7238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 (Rollup)</a:t>
          </a:r>
        </a:p>
        <a:p>
          <a:r>
            <a:rPr lang="en-US" sz="1100" b="1" i="0" u="none" strike="noStrike">
              <a:solidFill>
                <a:schemeClr val="dk1"/>
              </a:solidFill>
              <a:effectLst/>
              <a:latin typeface="+mn-lt"/>
              <a:ea typeface="+mn-ea"/>
              <a:cs typeface="+mn-cs"/>
            </a:rPr>
            <a:t>Instructions:</a:t>
          </a:r>
        </a:p>
        <a:p>
          <a:pPr eaLnBrk="1" fontAlgn="auto" latinLnBrk="0" hangingPunct="1"/>
          <a:r>
            <a:rPr lang="en-US" sz="1100" b="0" i="0">
              <a:solidFill>
                <a:schemeClr val="dk1"/>
              </a:solidFill>
              <a:effectLst/>
              <a:latin typeface="+mn-lt"/>
              <a:ea typeface="+mn-ea"/>
              <a:cs typeface="+mn-cs"/>
            </a:rPr>
            <a:t>● This form</a:t>
          </a:r>
          <a:r>
            <a:rPr lang="en-US" sz="1100" b="0" i="0" baseline="0">
              <a:solidFill>
                <a:schemeClr val="dk1"/>
              </a:solidFill>
              <a:effectLst/>
              <a:latin typeface="+mn-lt"/>
              <a:ea typeface="+mn-ea"/>
              <a:cs typeface="+mn-cs"/>
            </a:rPr>
            <a:t> is completed automatically using data entered for the individual Sites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 space is provided</a:t>
          </a:r>
          <a:r>
            <a:rPr lang="en-US" sz="1100" b="0" i="0" baseline="0">
              <a:solidFill>
                <a:schemeClr val="dk1"/>
              </a:solidFill>
              <a:effectLst/>
              <a:latin typeface="+mn-lt"/>
              <a:ea typeface="+mn-ea"/>
              <a:cs typeface="+mn-cs"/>
            </a:rPr>
            <a:t> for Project-level Notes.</a:t>
          </a:r>
          <a:endParaRPr lang="en-US">
            <a:effectLst/>
          </a:endParaRPr>
        </a:p>
        <a:p>
          <a:endParaRPr lang="en-US" sz="1100" b="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85725" y="57150"/>
          <a:ext cx="12020550"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22</xdr:col>
      <xdr:colOff>104775</xdr:colOff>
      <xdr:row>8</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85725" y="57150"/>
          <a:ext cx="12020550"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22</xdr:col>
      <xdr:colOff>104775</xdr:colOff>
      <xdr:row>8</xdr:row>
      <xdr:rowOff>142875</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04774" y="57149"/>
          <a:ext cx="1265872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142875" y="57150"/>
          <a:ext cx="11077575"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22</xdr:col>
      <xdr:colOff>66675</xdr:colOff>
      <xdr:row>5</xdr:row>
      <xdr:rowOff>66676</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104775" y="76200"/>
          <a:ext cx="15516225" cy="7524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(all Project Rollup)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This form</a:t>
          </a:r>
          <a:r>
            <a:rPr lang="en-US" sz="1100" b="0" i="0" baseline="0">
              <a:solidFill>
                <a:schemeClr val="dk1"/>
              </a:solidFill>
              <a:effectLst/>
              <a:latin typeface="+mn-lt"/>
              <a:ea typeface="+mn-ea"/>
              <a:cs typeface="+mn-cs"/>
            </a:rPr>
            <a:t> is completed automatically using data entered for the individual Sites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 space is provided</a:t>
          </a:r>
          <a:r>
            <a:rPr lang="en-US" sz="1100" b="0" i="0" baseline="0">
              <a:solidFill>
                <a:schemeClr val="dk1"/>
              </a:solidFill>
              <a:effectLst/>
              <a:latin typeface="+mn-lt"/>
              <a:ea typeface="+mn-ea"/>
              <a:cs typeface="+mn-cs"/>
            </a:rPr>
            <a:t> for Project-level Notes.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2A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2C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 - </a:t>
          </a:r>
          <a:r>
            <a:rPr lang="en-US" sz="1400" b="1" i="0" u="none" strike="noStrike">
              <a:solidFill>
                <a:srgbClr val="FF0000"/>
              </a:solidFill>
              <a:effectLst/>
              <a:latin typeface="+mn-lt"/>
              <a:ea typeface="+mn-ea"/>
              <a:cs typeface="+mn-cs"/>
            </a:rPr>
            <a:t>NOT APPLICABLE</a:t>
          </a:r>
        </a:p>
        <a:p>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2D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F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0.xml"/><Relationship Id="rId1" Type="http://schemas.openxmlformats.org/officeDocument/2006/relationships/printerSettings" Target="../printerSettings/printerSettings36.bin"/><Relationship Id="rId4" Type="http://schemas.openxmlformats.org/officeDocument/2006/relationships/comments" Target="../comments6.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42.bin"/><Relationship Id="rId4" Type="http://schemas.openxmlformats.org/officeDocument/2006/relationships/comments" Target="../comments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6.xml"/><Relationship Id="rId1" Type="http://schemas.openxmlformats.org/officeDocument/2006/relationships/printerSettings" Target="../printerSettings/printerSettings43.bin"/><Relationship Id="rId4" Type="http://schemas.openxmlformats.org/officeDocument/2006/relationships/comments" Target="../comments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7.xml"/><Relationship Id="rId1" Type="http://schemas.openxmlformats.org/officeDocument/2006/relationships/printerSettings" Target="../printerSettings/printerSettings44.bin"/><Relationship Id="rId4" Type="http://schemas.openxmlformats.org/officeDocument/2006/relationships/comments" Target="../comments9.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7"/>
  <sheetViews>
    <sheetView topLeftCell="A145" workbookViewId="0">
      <selection activeCell="A145" sqref="A1:XFD1048576"/>
    </sheetView>
  </sheetViews>
  <sheetFormatPr defaultColWidth="9.109375" defaultRowHeight="14.4" x14ac:dyDescent="0.3"/>
  <cols>
    <col min="1" max="1" width="17.44140625" style="1968" bestFit="1" customWidth="1"/>
    <col min="2" max="2" width="42.44140625" style="1968" bestFit="1" customWidth="1"/>
    <col min="3" max="3" width="9.109375" style="1968"/>
    <col min="4" max="4" width="19.5546875" style="1968" bestFit="1" customWidth="1"/>
    <col min="5" max="5" width="25.33203125" style="1968" bestFit="1" customWidth="1"/>
    <col min="6" max="6" width="9.109375" style="1968"/>
    <col min="7" max="7" width="16.5546875" style="1968" bestFit="1" customWidth="1"/>
    <col min="8" max="8" width="10.6640625" style="1968" bestFit="1" customWidth="1"/>
    <col min="9" max="16384" width="9.109375" style="1968"/>
  </cols>
  <sheetData>
    <row r="3" spans="1:2" x14ac:dyDescent="0.3">
      <c r="A3" s="361" t="s">
        <v>525</v>
      </c>
      <c r="B3" s="772" t="s">
        <v>533</v>
      </c>
    </row>
    <row r="4" spans="1:2" x14ac:dyDescent="0.3">
      <c r="B4" s="773" t="s">
        <v>511</v>
      </c>
    </row>
    <row r="5" spans="1:2" x14ac:dyDescent="0.3">
      <c r="B5" s="773" t="s">
        <v>512</v>
      </c>
    </row>
    <row r="6" spans="1:2" x14ac:dyDescent="0.3">
      <c r="B6" s="773" t="s">
        <v>545</v>
      </c>
    </row>
    <row r="7" spans="1:2" x14ac:dyDescent="0.3">
      <c r="B7" s="773" t="s">
        <v>513</v>
      </c>
    </row>
    <row r="8" spans="1:2" x14ac:dyDescent="0.3">
      <c r="B8" s="773" t="s">
        <v>514</v>
      </c>
    </row>
    <row r="9" spans="1:2" x14ac:dyDescent="0.3">
      <c r="B9" s="773" t="s">
        <v>515</v>
      </c>
    </row>
    <row r="10" spans="1:2" x14ac:dyDescent="0.3">
      <c r="B10" s="773" t="s">
        <v>516</v>
      </c>
    </row>
    <row r="11" spans="1:2" x14ac:dyDescent="0.3">
      <c r="B11" s="773" t="s">
        <v>517</v>
      </c>
    </row>
    <row r="12" spans="1:2" x14ac:dyDescent="0.3">
      <c r="B12" s="773" t="s">
        <v>537</v>
      </c>
    </row>
    <row r="13" spans="1:2" x14ac:dyDescent="0.3">
      <c r="B13" s="773" t="s">
        <v>518</v>
      </c>
    </row>
    <row r="14" spans="1:2" x14ac:dyDescent="0.3">
      <c r="B14" s="773" t="s">
        <v>519</v>
      </c>
    </row>
    <row r="15" spans="1:2" x14ac:dyDescent="0.3">
      <c r="B15" s="773" t="s">
        <v>520</v>
      </c>
    </row>
    <row r="16" spans="1:2" x14ac:dyDescent="0.3">
      <c r="B16" s="773" t="s">
        <v>521</v>
      </c>
    </row>
    <row r="17" spans="1:2" x14ac:dyDescent="0.3">
      <c r="B17" s="773" t="s">
        <v>522</v>
      </c>
    </row>
    <row r="18" spans="1:2" x14ac:dyDescent="0.3">
      <c r="B18" s="773" t="s">
        <v>523</v>
      </c>
    </row>
    <row r="19" spans="1:2" x14ac:dyDescent="0.3">
      <c r="B19" s="773" t="s">
        <v>524</v>
      </c>
    </row>
    <row r="20" spans="1:2" x14ac:dyDescent="0.3">
      <c r="B20" s="773" t="s">
        <v>495</v>
      </c>
    </row>
    <row r="21" spans="1:2" x14ac:dyDescent="0.3">
      <c r="B21" s="773" t="s">
        <v>546</v>
      </c>
    </row>
    <row r="22" spans="1:2" x14ac:dyDescent="0.3">
      <c r="B22" s="774" t="s">
        <v>547</v>
      </c>
    </row>
    <row r="26" spans="1:2" x14ac:dyDescent="0.3">
      <c r="A26" s="1968" t="s">
        <v>548</v>
      </c>
      <c r="B26" s="339" t="s">
        <v>533</v>
      </c>
    </row>
    <row r="27" spans="1:2" x14ac:dyDescent="0.3">
      <c r="B27" s="776" t="s">
        <v>549</v>
      </c>
    </row>
    <row r="28" spans="1:2" x14ac:dyDescent="0.3">
      <c r="B28" s="775" t="s">
        <v>550</v>
      </c>
    </row>
    <row r="30" spans="1:2" x14ac:dyDescent="0.3">
      <c r="A30" s="1968" t="s">
        <v>1123</v>
      </c>
      <c r="B30" s="772" t="s">
        <v>533</v>
      </c>
    </row>
    <row r="31" spans="1:2" x14ac:dyDescent="0.3">
      <c r="B31" s="779" t="s">
        <v>549</v>
      </c>
    </row>
    <row r="32" spans="1:2" x14ac:dyDescent="0.3">
      <c r="B32" s="779" t="s">
        <v>550</v>
      </c>
    </row>
    <row r="33" spans="1:2" x14ac:dyDescent="0.3">
      <c r="B33" s="979" t="s">
        <v>1124</v>
      </c>
    </row>
    <row r="35" spans="1:2" x14ac:dyDescent="0.3">
      <c r="A35" s="1968" t="s">
        <v>1138</v>
      </c>
      <c r="B35" s="772" t="s">
        <v>533</v>
      </c>
    </row>
    <row r="36" spans="1:2" x14ac:dyDescent="0.3">
      <c r="B36" s="779" t="s">
        <v>549</v>
      </c>
    </row>
    <row r="37" spans="1:2" x14ac:dyDescent="0.3">
      <c r="B37" s="779" t="s">
        <v>550</v>
      </c>
    </row>
    <row r="38" spans="1:2" x14ac:dyDescent="0.3">
      <c r="B38" s="979" t="s">
        <v>1137</v>
      </c>
    </row>
    <row r="40" spans="1:2" x14ac:dyDescent="0.3">
      <c r="A40" s="1968" t="s">
        <v>551</v>
      </c>
      <c r="B40" s="339" t="s">
        <v>533</v>
      </c>
    </row>
    <row r="41" spans="1:2" x14ac:dyDescent="0.3">
      <c r="B41" s="776" t="s">
        <v>552</v>
      </c>
    </row>
    <row r="42" spans="1:2" x14ac:dyDescent="0.3">
      <c r="B42" s="776" t="s">
        <v>553</v>
      </c>
    </row>
    <row r="43" spans="1:2" x14ac:dyDescent="0.3">
      <c r="B43" s="776" t="s">
        <v>554</v>
      </c>
    </row>
    <row r="44" spans="1:2" x14ac:dyDescent="0.3">
      <c r="B44" s="775" t="s">
        <v>555</v>
      </c>
    </row>
    <row r="46" spans="1:2" x14ac:dyDescent="0.3">
      <c r="A46" s="1968" t="s">
        <v>556</v>
      </c>
      <c r="B46" s="339" t="s">
        <v>533</v>
      </c>
    </row>
    <row r="47" spans="1:2" x14ac:dyDescent="0.3">
      <c r="B47" s="776" t="s">
        <v>557</v>
      </c>
    </row>
    <row r="48" spans="1:2" x14ac:dyDescent="0.3">
      <c r="B48" s="775" t="s">
        <v>34</v>
      </c>
    </row>
    <row r="51" spans="1:8" x14ac:dyDescent="0.3">
      <c r="A51" s="1968" t="s">
        <v>558</v>
      </c>
      <c r="B51" s="339" t="s">
        <v>544</v>
      </c>
      <c r="D51" s="1968" t="s">
        <v>1492</v>
      </c>
      <c r="E51" s="339" t="s">
        <v>533</v>
      </c>
      <c r="G51" s="1968" t="s">
        <v>1499</v>
      </c>
      <c r="H51" s="1968" t="s">
        <v>1500</v>
      </c>
    </row>
    <row r="52" spans="1:8" x14ac:dyDescent="0.3">
      <c r="B52" s="776" t="s">
        <v>527</v>
      </c>
      <c r="E52" s="776" t="s">
        <v>527</v>
      </c>
      <c r="G52" s="1649" t="s">
        <v>1493</v>
      </c>
      <c r="H52" s="1649" t="s">
        <v>1498</v>
      </c>
    </row>
    <row r="53" spans="1:8" x14ac:dyDescent="0.3">
      <c r="B53" s="776" t="s">
        <v>542</v>
      </c>
      <c r="E53" s="775" t="s">
        <v>542</v>
      </c>
      <c r="G53" s="1649" t="s">
        <v>1494</v>
      </c>
      <c r="H53" s="1649" t="s">
        <v>1495</v>
      </c>
    </row>
    <row r="54" spans="1:8" x14ac:dyDescent="0.3">
      <c r="B54" s="775" t="s">
        <v>1491</v>
      </c>
      <c r="G54" s="1649"/>
      <c r="H54" s="1649" t="s">
        <v>648</v>
      </c>
    </row>
    <row r="55" spans="1:8" x14ac:dyDescent="0.3">
      <c r="H55" s="1649" t="s">
        <v>1496</v>
      </c>
    </row>
    <row r="56" spans="1:8" x14ac:dyDescent="0.3">
      <c r="A56" s="1968" t="s">
        <v>1507</v>
      </c>
      <c r="B56" s="772" t="s">
        <v>533</v>
      </c>
      <c r="H56" s="1649" t="s">
        <v>1497</v>
      </c>
    </row>
    <row r="57" spans="1:8" x14ac:dyDescent="0.3">
      <c r="B57" s="779" t="s">
        <v>1505</v>
      </c>
      <c r="H57" s="1649"/>
    </row>
    <row r="58" spans="1:8" x14ac:dyDescent="0.3">
      <c r="B58" s="979" t="s">
        <v>1506</v>
      </c>
      <c r="H58" s="1649"/>
    </row>
    <row r="59" spans="1:8" x14ac:dyDescent="0.3">
      <c r="H59" s="1649"/>
    </row>
    <row r="60" spans="1:8" x14ac:dyDescent="0.3">
      <c r="A60" s="1968" t="s">
        <v>559</v>
      </c>
      <c r="B60" s="339" t="s">
        <v>533</v>
      </c>
    </row>
    <row r="61" spans="1:8" x14ac:dyDescent="0.3">
      <c r="B61" s="776" t="s">
        <v>560</v>
      </c>
    </row>
    <row r="62" spans="1:8" x14ac:dyDescent="0.3">
      <c r="B62" s="775" t="s">
        <v>561</v>
      </c>
    </row>
    <row r="65" spans="1:5" x14ac:dyDescent="0.3">
      <c r="A65" s="1968" t="s">
        <v>34</v>
      </c>
      <c r="B65" s="339"/>
    </row>
    <row r="66" spans="1:5" x14ac:dyDescent="0.3">
      <c r="B66" s="775" t="s">
        <v>539</v>
      </c>
    </row>
    <row r="68" spans="1:5" x14ac:dyDescent="0.3">
      <c r="A68" s="1968" t="s">
        <v>557</v>
      </c>
      <c r="B68" s="339" t="s">
        <v>533</v>
      </c>
      <c r="D68" s="1968" t="s">
        <v>1521</v>
      </c>
      <c r="E68" s="339" t="s">
        <v>533</v>
      </c>
    </row>
    <row r="69" spans="1:5" x14ac:dyDescent="0.3">
      <c r="B69" s="776" t="s">
        <v>36</v>
      </c>
      <c r="E69" s="776" t="s">
        <v>36</v>
      </c>
    </row>
    <row r="70" spans="1:5" x14ac:dyDescent="0.3">
      <c r="B70" s="776" t="s">
        <v>35</v>
      </c>
      <c r="E70" s="776" t="s">
        <v>35</v>
      </c>
    </row>
    <row r="71" spans="1:5" x14ac:dyDescent="0.3">
      <c r="B71" s="776" t="s">
        <v>562</v>
      </c>
      <c r="E71" s="776" t="s">
        <v>562</v>
      </c>
    </row>
    <row r="72" spans="1:5" x14ac:dyDescent="0.3">
      <c r="B72" s="776" t="s">
        <v>563</v>
      </c>
      <c r="E72" s="776" t="s">
        <v>563</v>
      </c>
    </row>
    <row r="73" spans="1:5" x14ac:dyDescent="0.3">
      <c r="B73" s="776" t="s">
        <v>564</v>
      </c>
      <c r="E73" s="776" t="s">
        <v>564</v>
      </c>
    </row>
    <row r="74" spans="1:5" x14ac:dyDescent="0.3">
      <c r="B74" s="776" t="s">
        <v>565</v>
      </c>
      <c r="E74" s="776" t="s">
        <v>565</v>
      </c>
    </row>
    <row r="75" spans="1:5" x14ac:dyDescent="0.3">
      <c r="B75" s="775" t="s">
        <v>566</v>
      </c>
      <c r="E75" s="979" t="s">
        <v>226</v>
      </c>
    </row>
    <row r="77" spans="1:5" x14ac:dyDescent="0.3">
      <c r="A77" s="1968" t="s">
        <v>588</v>
      </c>
      <c r="B77" s="339" t="s">
        <v>533</v>
      </c>
    </row>
    <row r="78" spans="1:5" x14ac:dyDescent="0.3">
      <c r="B78" s="779" t="s">
        <v>34</v>
      </c>
    </row>
    <row r="79" spans="1:5" x14ac:dyDescent="0.3">
      <c r="B79" s="779" t="s">
        <v>35</v>
      </c>
    </row>
    <row r="80" spans="1:5" x14ac:dyDescent="0.3">
      <c r="B80" s="776" t="s">
        <v>36</v>
      </c>
    </row>
    <row r="81" spans="1:2" x14ac:dyDescent="0.3">
      <c r="B81" s="776" t="s">
        <v>562</v>
      </c>
    </row>
    <row r="82" spans="1:2" x14ac:dyDescent="0.3">
      <c r="B82" s="776" t="s">
        <v>563</v>
      </c>
    </row>
    <row r="83" spans="1:2" x14ac:dyDescent="0.3">
      <c r="B83" s="776" t="s">
        <v>564</v>
      </c>
    </row>
    <row r="84" spans="1:2" x14ac:dyDescent="0.3">
      <c r="B84" s="776" t="s">
        <v>565</v>
      </c>
    </row>
    <row r="85" spans="1:2" x14ac:dyDescent="0.3">
      <c r="B85" s="775" t="s">
        <v>566</v>
      </c>
    </row>
    <row r="87" spans="1:2" x14ac:dyDescent="0.3">
      <c r="A87" s="1968" t="s">
        <v>589</v>
      </c>
      <c r="B87" s="339" t="s">
        <v>533</v>
      </c>
    </row>
    <row r="88" spans="1:2" x14ac:dyDescent="0.3">
      <c r="B88" s="776" t="s">
        <v>331</v>
      </c>
    </row>
    <row r="89" spans="1:2" x14ac:dyDescent="0.3">
      <c r="B89" s="775" t="s">
        <v>590</v>
      </c>
    </row>
    <row r="92" spans="1:2" x14ac:dyDescent="0.3">
      <c r="A92" s="1968" t="s">
        <v>567</v>
      </c>
      <c r="B92" s="339" t="s">
        <v>533</v>
      </c>
    </row>
    <row r="93" spans="1:2" x14ac:dyDescent="0.3">
      <c r="B93" s="777">
        <v>0.25</v>
      </c>
    </row>
    <row r="94" spans="1:2" x14ac:dyDescent="0.3">
      <c r="B94" s="777">
        <v>0.3</v>
      </c>
    </row>
    <row r="95" spans="1:2" x14ac:dyDescent="0.3">
      <c r="B95" s="777">
        <v>0.35</v>
      </c>
    </row>
    <row r="96" spans="1:2" x14ac:dyDescent="0.3">
      <c r="B96" s="777">
        <v>0.4</v>
      </c>
    </row>
    <row r="97" spans="1:2" x14ac:dyDescent="0.3">
      <c r="B97" s="777">
        <v>0.45</v>
      </c>
    </row>
    <row r="98" spans="1:2" x14ac:dyDescent="0.3">
      <c r="B98" s="777">
        <v>0.5</v>
      </c>
    </row>
    <row r="99" spans="1:2" x14ac:dyDescent="0.3">
      <c r="B99" s="777">
        <v>0.55000000000000004</v>
      </c>
    </row>
    <row r="100" spans="1:2" x14ac:dyDescent="0.3">
      <c r="B100" s="777">
        <v>0.6</v>
      </c>
    </row>
    <row r="101" spans="1:2" x14ac:dyDescent="0.3">
      <c r="B101" s="777">
        <v>0.65</v>
      </c>
    </row>
    <row r="102" spans="1:2" x14ac:dyDescent="0.3">
      <c r="B102" s="778">
        <v>0.8</v>
      </c>
    </row>
    <row r="105" spans="1:2" x14ac:dyDescent="0.3">
      <c r="A105" s="1968" t="s">
        <v>568</v>
      </c>
      <c r="B105" s="339" t="s">
        <v>533</v>
      </c>
    </row>
    <row r="106" spans="1:2" x14ac:dyDescent="0.3">
      <c r="B106" s="776" t="s">
        <v>569</v>
      </c>
    </row>
    <row r="107" spans="1:2" x14ac:dyDescent="0.3">
      <c r="B107" s="775" t="s">
        <v>570</v>
      </c>
    </row>
    <row r="110" spans="1:2" x14ac:dyDescent="0.3">
      <c r="A110" s="1968" t="s">
        <v>572</v>
      </c>
      <c r="B110" s="1156" t="s">
        <v>571</v>
      </c>
    </row>
    <row r="116" spans="1:2" x14ac:dyDescent="0.3">
      <c r="A116" s="1968" t="s">
        <v>581</v>
      </c>
      <c r="B116" s="339" t="s">
        <v>533</v>
      </c>
    </row>
    <row r="117" spans="1:2" x14ac:dyDescent="0.3">
      <c r="B117" s="776" t="s">
        <v>580</v>
      </c>
    </row>
    <row r="118" spans="1:2" x14ac:dyDescent="0.3">
      <c r="B118" s="776" t="s">
        <v>574</v>
      </c>
    </row>
    <row r="119" spans="1:2" x14ac:dyDescent="0.3">
      <c r="B119" s="776" t="s">
        <v>575</v>
      </c>
    </row>
    <row r="120" spans="1:2" x14ac:dyDescent="0.3">
      <c r="B120" s="776" t="s">
        <v>576</v>
      </c>
    </row>
    <row r="121" spans="1:2" x14ac:dyDescent="0.3">
      <c r="B121" s="776" t="s">
        <v>577</v>
      </c>
    </row>
    <row r="122" spans="1:2" x14ac:dyDescent="0.3">
      <c r="B122" s="776" t="s">
        <v>578</v>
      </c>
    </row>
    <row r="123" spans="1:2" x14ac:dyDescent="0.3">
      <c r="B123" s="776" t="s">
        <v>579</v>
      </c>
    </row>
    <row r="124" spans="1:2" x14ac:dyDescent="0.3">
      <c r="B124" s="775" t="s">
        <v>573</v>
      </c>
    </row>
    <row r="127" spans="1:2" x14ac:dyDescent="0.3">
      <c r="A127" s="1968" t="s">
        <v>582</v>
      </c>
      <c r="B127" s="772" t="s">
        <v>533</v>
      </c>
    </row>
    <row r="128" spans="1:2" x14ac:dyDescent="0.3">
      <c r="B128" s="776" t="s">
        <v>27</v>
      </c>
    </row>
    <row r="129" spans="1:2" x14ac:dyDescent="0.3">
      <c r="B129" s="776" t="s">
        <v>24</v>
      </c>
    </row>
    <row r="130" spans="1:2" x14ac:dyDescent="0.3">
      <c r="B130" s="775" t="s">
        <v>21</v>
      </c>
    </row>
    <row r="132" spans="1:2" x14ac:dyDescent="0.3">
      <c r="A132" s="1968" t="s">
        <v>593</v>
      </c>
      <c r="B132" s="772" t="s">
        <v>533</v>
      </c>
    </row>
    <row r="133" spans="1:2" x14ac:dyDescent="0.3">
      <c r="B133" s="779" t="s">
        <v>594</v>
      </c>
    </row>
    <row r="134" spans="1:2" x14ac:dyDescent="0.3">
      <c r="B134" s="779" t="s">
        <v>595</v>
      </c>
    </row>
    <row r="135" spans="1:2" x14ac:dyDescent="0.3">
      <c r="B135" s="779" t="s">
        <v>596</v>
      </c>
    </row>
    <row r="136" spans="1:2" x14ac:dyDescent="0.3">
      <c r="B136" s="779" t="s">
        <v>597</v>
      </c>
    </row>
    <row r="137" spans="1:2" x14ac:dyDescent="0.3">
      <c r="B137" s="960"/>
    </row>
    <row r="138" spans="1:2" x14ac:dyDescent="0.3">
      <c r="A138" s="1968" t="s">
        <v>600</v>
      </c>
      <c r="B138" s="772" t="s">
        <v>544</v>
      </c>
    </row>
    <row r="139" spans="1:2" x14ac:dyDescent="0.3">
      <c r="B139" s="776" t="s">
        <v>601</v>
      </c>
    </row>
    <row r="140" spans="1:2" x14ac:dyDescent="0.3">
      <c r="B140" s="775" t="s">
        <v>602</v>
      </c>
    </row>
    <row r="142" spans="1:2" x14ac:dyDescent="0.3">
      <c r="A142" s="1968" t="s">
        <v>603</v>
      </c>
      <c r="B142" s="772" t="s">
        <v>533</v>
      </c>
    </row>
    <row r="143" spans="1:2" x14ac:dyDescent="0.3">
      <c r="B143" s="779" t="s">
        <v>604</v>
      </c>
    </row>
    <row r="144" spans="1:2" x14ac:dyDescent="0.3">
      <c r="B144" s="779" t="s">
        <v>605</v>
      </c>
    </row>
    <row r="145" spans="1:5" x14ac:dyDescent="0.3">
      <c r="B145" s="979" t="s">
        <v>606</v>
      </c>
    </row>
    <row r="147" spans="1:5" x14ac:dyDescent="0.3">
      <c r="A147" s="1968" t="s">
        <v>610</v>
      </c>
      <c r="B147" s="1153" t="s">
        <v>533</v>
      </c>
    </row>
    <row r="148" spans="1:5" x14ac:dyDescent="0.3">
      <c r="B148" s="1154" t="s">
        <v>611</v>
      </c>
    </row>
    <row r="149" spans="1:5" x14ac:dyDescent="0.3">
      <c r="B149" s="1154" t="s">
        <v>609</v>
      </c>
    </row>
    <row r="150" spans="1:5" x14ac:dyDescent="0.3">
      <c r="B150" s="1154" t="s">
        <v>612</v>
      </c>
    </row>
    <row r="151" spans="1:5" x14ac:dyDescent="0.3">
      <c r="B151" s="1155" t="s">
        <v>613</v>
      </c>
    </row>
    <row r="153" spans="1:5" x14ac:dyDescent="0.3">
      <c r="A153" s="1968" t="s">
        <v>622</v>
      </c>
      <c r="B153" s="772" t="s">
        <v>533</v>
      </c>
      <c r="D153" s="1968" t="s">
        <v>676</v>
      </c>
      <c r="E153" s="772" t="s">
        <v>533</v>
      </c>
    </row>
    <row r="154" spans="1:5" x14ac:dyDescent="0.3">
      <c r="B154" s="987" t="s">
        <v>619</v>
      </c>
      <c r="E154" s="987" t="s">
        <v>619</v>
      </c>
    </row>
    <row r="155" spans="1:5" x14ac:dyDescent="0.3">
      <c r="B155" s="987" t="s">
        <v>616</v>
      </c>
      <c r="E155" s="987" t="s">
        <v>616</v>
      </c>
    </row>
    <row r="156" spans="1:5" x14ac:dyDescent="0.3">
      <c r="B156" s="987" t="s">
        <v>617</v>
      </c>
      <c r="E156" s="987" t="s">
        <v>617</v>
      </c>
    </row>
    <row r="157" spans="1:5" x14ac:dyDescent="0.3">
      <c r="B157" s="987" t="s">
        <v>637</v>
      </c>
      <c r="E157" s="987" t="s">
        <v>637</v>
      </c>
    </row>
    <row r="158" spans="1:5" x14ac:dyDescent="0.3">
      <c r="B158" s="987" t="s">
        <v>614</v>
      </c>
      <c r="E158" s="987" t="s">
        <v>614</v>
      </c>
    </row>
    <row r="159" spans="1:5" x14ac:dyDescent="0.3">
      <c r="B159" s="987" t="s">
        <v>621</v>
      </c>
      <c r="E159" s="987" t="s">
        <v>621</v>
      </c>
    </row>
    <row r="160" spans="1:5" x14ac:dyDescent="0.3">
      <c r="B160" s="987" t="s">
        <v>561</v>
      </c>
      <c r="E160" s="987" t="s">
        <v>561</v>
      </c>
    </row>
    <row r="161" spans="1:5" x14ac:dyDescent="0.3">
      <c r="B161" s="987" t="s">
        <v>620</v>
      </c>
      <c r="E161" s="987" t="s">
        <v>620</v>
      </c>
    </row>
    <row r="162" spans="1:5" x14ac:dyDescent="0.3">
      <c r="B162" s="987" t="s">
        <v>618</v>
      </c>
      <c r="E162" s="987" t="s">
        <v>618</v>
      </c>
    </row>
    <row r="163" spans="1:5" x14ac:dyDescent="0.3">
      <c r="B163" s="987" t="s">
        <v>1125</v>
      </c>
      <c r="E163" s="987" t="s">
        <v>615</v>
      </c>
    </row>
    <row r="164" spans="1:5" x14ac:dyDescent="0.3">
      <c r="B164" s="987" t="s">
        <v>1126</v>
      </c>
      <c r="E164" s="987"/>
    </row>
    <row r="165" spans="1:5" x14ac:dyDescent="0.3">
      <c r="B165" s="987" t="s">
        <v>667</v>
      </c>
      <c r="E165" s="987" t="s">
        <v>667</v>
      </c>
    </row>
    <row r="166" spans="1:5" x14ac:dyDescent="0.3">
      <c r="B166" s="1018" t="s">
        <v>638</v>
      </c>
      <c r="E166" s="987" t="s">
        <v>675</v>
      </c>
    </row>
    <row r="167" spans="1:5" x14ac:dyDescent="0.3">
      <c r="B167" s="1157" t="s">
        <v>226</v>
      </c>
      <c r="E167" s="1018" t="s">
        <v>638</v>
      </c>
    </row>
    <row r="168" spans="1:5" x14ac:dyDescent="0.3">
      <c r="E168" s="1157" t="s">
        <v>226</v>
      </c>
    </row>
    <row r="170" spans="1:5" x14ac:dyDescent="0.3">
      <c r="A170" s="1968" t="s">
        <v>628</v>
      </c>
      <c r="B170" s="339" t="s">
        <v>533</v>
      </c>
    </row>
    <row r="171" spans="1:5" x14ac:dyDescent="0.3">
      <c r="B171" s="776" t="s">
        <v>626</v>
      </c>
    </row>
    <row r="172" spans="1:5" x14ac:dyDescent="0.3">
      <c r="B172" s="775" t="s">
        <v>627</v>
      </c>
    </row>
    <row r="175" spans="1:5" x14ac:dyDescent="0.3">
      <c r="A175" s="1968" t="s">
        <v>1525</v>
      </c>
      <c r="B175" s="772" t="s">
        <v>533</v>
      </c>
    </row>
    <row r="176" spans="1:5" x14ac:dyDescent="0.3">
      <c r="B176" s="779" t="s">
        <v>1524</v>
      </c>
    </row>
    <row r="177" spans="2:2" x14ac:dyDescent="0.3">
      <c r="B177" s="979" t="s">
        <v>1526</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09375" defaultRowHeight="14.4" x14ac:dyDescent="0.3"/>
  <cols>
    <col min="1" max="1" width="8.88671875" style="378" bestFit="1" customWidth="1"/>
    <col min="2" max="2" width="32.33203125" style="378" bestFit="1" customWidth="1"/>
    <col min="3" max="3" width="8.88671875" style="378" customWidth="1"/>
    <col min="4" max="4" width="17" style="378" bestFit="1" customWidth="1"/>
    <col min="5" max="5" width="9.109375" style="1315"/>
    <col min="6" max="6" width="8.88671875" style="378" bestFit="1" customWidth="1"/>
    <col min="7" max="7" width="41.109375" style="378" customWidth="1"/>
    <col min="8" max="8" width="9.109375" style="378"/>
    <col min="9" max="9" width="18.33203125" style="378" bestFit="1" customWidth="1"/>
    <col min="10" max="10" width="49.88671875" style="378" bestFit="1" customWidth="1"/>
    <col min="11" max="16384" width="9.109375" style="378"/>
  </cols>
  <sheetData>
    <row r="1" spans="1:10" x14ac:dyDescent="0.3">
      <c r="A1" s="1314" t="s">
        <v>819</v>
      </c>
      <c r="B1" s="1314" t="s">
        <v>820</v>
      </c>
      <c r="C1" s="1314" t="s">
        <v>821</v>
      </c>
      <c r="D1" s="1314" t="s">
        <v>822</v>
      </c>
      <c r="E1" s="1315" t="s">
        <v>823</v>
      </c>
      <c r="F1" s="1316" t="s">
        <v>819</v>
      </c>
      <c r="G1" s="1317" t="s">
        <v>824</v>
      </c>
      <c r="H1" s="378" t="s">
        <v>821</v>
      </c>
      <c r="I1" s="378" t="s">
        <v>822</v>
      </c>
      <c r="J1" s="1241" t="s">
        <v>825</v>
      </c>
    </row>
    <row r="2" spans="1:10" x14ac:dyDescent="0.3">
      <c r="A2" s="1318">
        <v>1.1000000000000001</v>
      </c>
      <c r="B2" s="1319" t="s">
        <v>826</v>
      </c>
      <c r="C2" s="1314" t="s">
        <v>827</v>
      </c>
      <c r="D2" s="1314" t="s">
        <v>27</v>
      </c>
      <c r="E2" s="1315">
        <v>1</v>
      </c>
      <c r="F2" s="1316" t="s">
        <v>685</v>
      </c>
      <c r="G2" s="1320" t="s">
        <v>826</v>
      </c>
      <c r="H2" s="1241" t="s">
        <v>828</v>
      </c>
      <c r="I2" s="1241" t="s">
        <v>27</v>
      </c>
      <c r="J2" s="1321" t="s">
        <v>829</v>
      </c>
    </row>
    <row r="3" spans="1:10" x14ac:dyDescent="0.3">
      <c r="A3" s="1322">
        <v>1.2</v>
      </c>
      <c r="B3" s="1323" t="s">
        <v>830</v>
      </c>
      <c r="C3" s="1314" t="s">
        <v>827</v>
      </c>
      <c r="D3" s="1314" t="s">
        <v>27</v>
      </c>
      <c r="E3" s="1315">
        <v>2</v>
      </c>
      <c r="F3" s="1316" t="s">
        <v>687</v>
      </c>
      <c r="G3" s="1320" t="s">
        <v>831</v>
      </c>
      <c r="H3" s="1241" t="s">
        <v>828</v>
      </c>
      <c r="I3" s="1241" t="s">
        <v>27</v>
      </c>
      <c r="J3" s="1321" t="s">
        <v>832</v>
      </c>
    </row>
    <row r="4" spans="1:10" x14ac:dyDescent="0.3">
      <c r="A4" s="1324">
        <v>2.1</v>
      </c>
      <c r="B4" s="1319" t="s">
        <v>826</v>
      </c>
      <c r="C4" s="1314" t="s">
        <v>827</v>
      </c>
      <c r="D4" s="1314" t="s">
        <v>27</v>
      </c>
      <c r="E4" s="1315">
        <v>3</v>
      </c>
      <c r="F4" s="1316">
        <v>1.2</v>
      </c>
      <c r="G4" s="1320" t="s">
        <v>833</v>
      </c>
      <c r="H4" s="1241" t="s">
        <v>828</v>
      </c>
      <c r="I4" s="1241" t="s">
        <v>27</v>
      </c>
      <c r="J4" s="1321" t="s">
        <v>834</v>
      </c>
    </row>
    <row r="5" spans="1:10" x14ac:dyDescent="0.3">
      <c r="A5" s="1325">
        <v>2.2000000000000002</v>
      </c>
      <c r="B5" s="1326" t="s">
        <v>835</v>
      </c>
      <c r="C5" s="1314" t="s">
        <v>827</v>
      </c>
      <c r="D5" s="1314" t="s">
        <v>27</v>
      </c>
      <c r="E5" s="1315">
        <v>4</v>
      </c>
      <c r="F5" s="1316" t="s">
        <v>690</v>
      </c>
      <c r="G5" s="1320" t="s">
        <v>826</v>
      </c>
      <c r="H5" s="1241" t="s">
        <v>828</v>
      </c>
      <c r="I5" s="1241" t="s">
        <v>27</v>
      </c>
      <c r="J5" s="1321" t="s">
        <v>829</v>
      </c>
    </row>
    <row r="6" spans="1:10" x14ac:dyDescent="0.3">
      <c r="A6" s="1325">
        <v>2.2999999999999998</v>
      </c>
      <c r="B6" s="1326" t="s">
        <v>826</v>
      </c>
      <c r="C6" s="1314" t="s">
        <v>827</v>
      </c>
      <c r="D6" s="1314" t="s">
        <v>27</v>
      </c>
      <c r="E6" s="1315">
        <v>5</v>
      </c>
      <c r="F6" s="1316" t="s">
        <v>692</v>
      </c>
      <c r="G6" s="1327" t="s">
        <v>836</v>
      </c>
      <c r="H6" s="1241" t="s">
        <v>828</v>
      </c>
      <c r="I6" s="1241" t="s">
        <v>27</v>
      </c>
      <c r="J6" s="1321" t="s">
        <v>837</v>
      </c>
    </row>
    <row r="7" spans="1:10" x14ac:dyDescent="0.3">
      <c r="A7" s="1325">
        <v>2.4</v>
      </c>
      <c r="B7" s="1326" t="s">
        <v>838</v>
      </c>
      <c r="C7" s="1314" t="s">
        <v>827</v>
      </c>
      <c r="D7" s="1314" t="s">
        <v>27</v>
      </c>
      <c r="E7" s="1315">
        <v>6</v>
      </c>
      <c r="F7" s="1328">
        <v>1.4</v>
      </c>
      <c r="G7" s="1327" t="s">
        <v>839</v>
      </c>
      <c r="H7" s="1241" t="s">
        <v>828</v>
      </c>
      <c r="I7" s="1241" t="s">
        <v>27</v>
      </c>
      <c r="J7" s="1321" t="s">
        <v>840</v>
      </c>
    </row>
    <row r="8" spans="1:10" x14ac:dyDescent="0.3">
      <c r="A8" s="1325">
        <v>2.5</v>
      </c>
      <c r="B8" s="1326" t="s">
        <v>841</v>
      </c>
      <c r="C8" s="1314" t="s">
        <v>827</v>
      </c>
      <c r="D8" s="1314" t="s">
        <v>27</v>
      </c>
      <c r="E8" s="1315">
        <v>7</v>
      </c>
      <c r="F8" s="1328">
        <v>2.1</v>
      </c>
      <c r="G8" s="1320" t="s">
        <v>826</v>
      </c>
      <c r="H8" s="1241" t="s">
        <v>828</v>
      </c>
      <c r="I8" s="1241" t="s">
        <v>27</v>
      </c>
      <c r="J8" s="1321" t="s">
        <v>829</v>
      </c>
    </row>
    <row r="9" spans="1:10" x14ac:dyDescent="0.3">
      <c r="A9" s="1325">
        <v>2.6</v>
      </c>
      <c r="B9" s="1326" t="s">
        <v>842</v>
      </c>
      <c r="C9" s="1314" t="s">
        <v>827</v>
      </c>
      <c r="D9" s="1314" t="s">
        <v>27</v>
      </c>
      <c r="E9" s="1315">
        <v>8</v>
      </c>
      <c r="F9" s="1328">
        <v>2.2000000000000002</v>
      </c>
      <c r="G9" s="1320" t="s">
        <v>826</v>
      </c>
      <c r="H9" s="1241" t="s">
        <v>828</v>
      </c>
      <c r="I9" s="1241" t="s">
        <v>27</v>
      </c>
      <c r="J9" s="1321" t="s">
        <v>829</v>
      </c>
    </row>
    <row r="10" spans="1:10" x14ac:dyDescent="0.3">
      <c r="A10" s="1329" t="s">
        <v>843</v>
      </c>
      <c r="B10" s="1326" t="s">
        <v>539</v>
      </c>
      <c r="C10" s="1314" t="s">
        <v>827</v>
      </c>
      <c r="D10" s="1314" t="s">
        <v>27</v>
      </c>
      <c r="E10" s="1315">
        <v>9</v>
      </c>
      <c r="F10" s="1328">
        <v>2.2999999999999998</v>
      </c>
      <c r="G10" s="1320" t="s">
        <v>826</v>
      </c>
      <c r="H10" s="1241" t="s">
        <v>828</v>
      </c>
      <c r="I10" s="1241" t="s">
        <v>27</v>
      </c>
      <c r="J10" s="1321" t="s">
        <v>829</v>
      </c>
    </row>
    <row r="11" spans="1:10" x14ac:dyDescent="0.3">
      <c r="A11" s="1325" t="s">
        <v>844</v>
      </c>
      <c r="B11" s="1326" t="s">
        <v>845</v>
      </c>
      <c r="C11" s="1314" t="s">
        <v>827</v>
      </c>
      <c r="D11" s="1314" t="s">
        <v>27</v>
      </c>
      <c r="E11" s="1315">
        <v>10</v>
      </c>
      <c r="F11" s="1328">
        <v>2.4</v>
      </c>
      <c r="G11" s="1320" t="s">
        <v>838</v>
      </c>
      <c r="H11" s="1241" t="s">
        <v>828</v>
      </c>
      <c r="I11" s="1241" t="s">
        <v>27</v>
      </c>
      <c r="J11" s="1321" t="s">
        <v>846</v>
      </c>
    </row>
    <row r="12" spans="1:10" x14ac:dyDescent="0.3">
      <c r="A12" s="1325">
        <v>2.8</v>
      </c>
      <c r="B12" s="1326" t="s">
        <v>847</v>
      </c>
      <c r="C12" s="1314" t="s">
        <v>827</v>
      </c>
      <c r="D12" s="1314" t="s">
        <v>27</v>
      </c>
      <c r="E12" s="1315">
        <v>11</v>
      </c>
      <c r="F12" s="1328">
        <v>2.5</v>
      </c>
      <c r="G12" s="1320" t="s">
        <v>848</v>
      </c>
      <c r="H12" s="1241" t="s">
        <v>828</v>
      </c>
      <c r="I12" s="1241" t="s">
        <v>27</v>
      </c>
      <c r="J12" s="1321" t="s">
        <v>849</v>
      </c>
    </row>
    <row r="13" spans="1:10" x14ac:dyDescent="0.3">
      <c r="A13" s="1325">
        <v>2.9</v>
      </c>
      <c r="B13" s="1326" t="s">
        <v>850</v>
      </c>
      <c r="C13" s="1314" t="s">
        <v>827</v>
      </c>
      <c r="D13" s="1314" t="s">
        <v>27</v>
      </c>
      <c r="E13" s="1315">
        <v>12</v>
      </c>
      <c r="F13" s="1328">
        <v>2.6</v>
      </c>
      <c r="G13" s="1320" t="s">
        <v>826</v>
      </c>
      <c r="H13" s="1241" t="s">
        <v>828</v>
      </c>
      <c r="I13" s="1241" t="s">
        <v>27</v>
      </c>
      <c r="J13" s="1321" t="s">
        <v>829</v>
      </c>
    </row>
    <row r="14" spans="1:10" x14ac:dyDescent="0.3">
      <c r="A14" s="1330" t="s">
        <v>709</v>
      </c>
      <c r="B14" s="1323" t="s">
        <v>842</v>
      </c>
      <c r="C14" s="1314" t="s">
        <v>827</v>
      </c>
      <c r="D14" s="1314" t="s">
        <v>27</v>
      </c>
      <c r="E14" s="1315">
        <v>13</v>
      </c>
      <c r="F14" s="1197" t="s">
        <v>703</v>
      </c>
      <c r="G14" s="1320" t="s">
        <v>826</v>
      </c>
      <c r="H14" s="1241" t="s">
        <v>828</v>
      </c>
      <c r="I14" s="1241" t="s">
        <v>27</v>
      </c>
      <c r="J14" s="1321" t="s">
        <v>829</v>
      </c>
    </row>
    <row r="15" spans="1:10" x14ac:dyDescent="0.3">
      <c r="A15" s="1324" t="s">
        <v>851</v>
      </c>
      <c r="B15" s="1319" t="s">
        <v>826</v>
      </c>
      <c r="C15" s="1314" t="s">
        <v>827</v>
      </c>
      <c r="D15" s="1314" t="s">
        <v>27</v>
      </c>
      <c r="E15" s="1315">
        <v>14</v>
      </c>
      <c r="F15" s="1316" t="s">
        <v>705</v>
      </c>
      <c r="G15" s="1320" t="s">
        <v>852</v>
      </c>
      <c r="H15" s="1241" t="s">
        <v>828</v>
      </c>
      <c r="I15" s="1241" t="s">
        <v>27</v>
      </c>
      <c r="J15" s="1321" t="s">
        <v>853</v>
      </c>
    </row>
    <row r="16" spans="1:10" x14ac:dyDescent="0.3">
      <c r="A16" s="1325" t="s">
        <v>854</v>
      </c>
      <c r="B16" s="1326" t="s">
        <v>826</v>
      </c>
      <c r="C16" s="1314" t="s">
        <v>827</v>
      </c>
      <c r="D16" s="1314" t="s">
        <v>27</v>
      </c>
      <c r="E16" s="1315">
        <v>15</v>
      </c>
      <c r="F16" s="1328">
        <v>2.8</v>
      </c>
      <c r="G16" s="1320" t="s">
        <v>835</v>
      </c>
      <c r="H16" s="1241" t="s">
        <v>828</v>
      </c>
      <c r="I16" s="1241" t="s">
        <v>27</v>
      </c>
      <c r="J16" s="1321" t="s">
        <v>855</v>
      </c>
    </row>
    <row r="17" spans="1:10" x14ac:dyDescent="0.3">
      <c r="A17" s="1325" t="s">
        <v>715</v>
      </c>
      <c r="B17" s="1331" t="s">
        <v>856</v>
      </c>
      <c r="C17" s="1314" t="s">
        <v>827</v>
      </c>
      <c r="D17" s="1314" t="s">
        <v>27</v>
      </c>
      <c r="E17" s="1315">
        <v>16</v>
      </c>
      <c r="F17" s="1328">
        <v>2.9</v>
      </c>
      <c r="G17" s="1320" t="s">
        <v>838</v>
      </c>
      <c r="H17" s="1241" t="s">
        <v>828</v>
      </c>
      <c r="I17" s="1241" t="s">
        <v>27</v>
      </c>
      <c r="J17" s="1321" t="s">
        <v>846</v>
      </c>
    </row>
    <row r="18" spans="1:10" x14ac:dyDescent="0.3">
      <c r="A18" s="1325" t="s">
        <v>716</v>
      </c>
      <c r="B18" s="1326" t="s">
        <v>838</v>
      </c>
      <c r="C18" s="1314" t="s">
        <v>827</v>
      </c>
      <c r="D18" s="1314" t="s">
        <v>27</v>
      </c>
      <c r="E18" s="1315">
        <v>17</v>
      </c>
      <c r="F18" s="1332" t="s">
        <v>709</v>
      </c>
      <c r="G18" s="1320" t="s">
        <v>842</v>
      </c>
      <c r="H18" s="1241" t="s">
        <v>828</v>
      </c>
      <c r="I18" s="1241" t="s">
        <v>27</v>
      </c>
      <c r="J18" s="1321" t="s">
        <v>857</v>
      </c>
    </row>
    <row r="19" spans="1:10" x14ac:dyDescent="0.3">
      <c r="A19" s="1325" t="s">
        <v>717</v>
      </c>
      <c r="B19" s="1326" t="s">
        <v>858</v>
      </c>
      <c r="C19" s="1314" t="s">
        <v>827</v>
      </c>
      <c r="D19" s="1314" t="s">
        <v>27</v>
      </c>
      <c r="E19" s="1315">
        <v>18</v>
      </c>
      <c r="F19" s="1328">
        <v>3.1</v>
      </c>
      <c r="G19" s="1320" t="s">
        <v>826</v>
      </c>
      <c r="H19" s="1241" t="s">
        <v>828</v>
      </c>
      <c r="I19" s="1241" t="s">
        <v>27</v>
      </c>
      <c r="J19" s="1321" t="s">
        <v>829</v>
      </c>
    </row>
    <row r="20" spans="1:10" x14ac:dyDescent="0.3">
      <c r="A20" s="1325" t="s">
        <v>859</v>
      </c>
      <c r="B20" s="1331" t="s">
        <v>860</v>
      </c>
      <c r="C20" s="1333" t="s">
        <v>827</v>
      </c>
      <c r="D20" s="1333" t="s">
        <v>27</v>
      </c>
      <c r="E20" s="1315">
        <v>19</v>
      </c>
      <c r="F20" s="1316">
        <v>3.2</v>
      </c>
      <c r="G20" s="1320" t="s">
        <v>826</v>
      </c>
      <c r="H20" s="1241" t="s">
        <v>828</v>
      </c>
      <c r="I20" s="1241" t="s">
        <v>27</v>
      </c>
      <c r="J20" s="1321" t="s">
        <v>829</v>
      </c>
    </row>
    <row r="21" spans="1:10" x14ac:dyDescent="0.3">
      <c r="A21" s="1325" t="s">
        <v>861</v>
      </c>
      <c r="B21" s="1326" t="s">
        <v>862</v>
      </c>
      <c r="C21" s="1314" t="s">
        <v>827</v>
      </c>
      <c r="D21" s="1314" t="s">
        <v>27</v>
      </c>
      <c r="E21" s="1315">
        <v>20</v>
      </c>
      <c r="F21" s="1316" t="s">
        <v>863</v>
      </c>
      <c r="G21" s="1320" t="s">
        <v>864</v>
      </c>
      <c r="H21" s="1241" t="s">
        <v>828</v>
      </c>
      <c r="I21" s="1241" t="s">
        <v>27</v>
      </c>
      <c r="J21" s="1321" t="s">
        <v>865</v>
      </c>
    </row>
    <row r="22" spans="1:10" x14ac:dyDescent="0.3">
      <c r="A22" s="1325" t="s">
        <v>866</v>
      </c>
      <c r="B22" s="1323" t="s">
        <v>826</v>
      </c>
      <c r="C22" s="1314" t="s">
        <v>827</v>
      </c>
      <c r="D22" s="1314" t="s">
        <v>27</v>
      </c>
      <c r="E22" s="1315">
        <v>21</v>
      </c>
      <c r="F22" s="1316" t="s">
        <v>867</v>
      </c>
      <c r="G22" s="1320" t="s">
        <v>838</v>
      </c>
      <c r="H22" s="1241" t="s">
        <v>828</v>
      </c>
      <c r="I22" s="1241" t="s">
        <v>27</v>
      </c>
      <c r="J22" s="1321" t="s">
        <v>846</v>
      </c>
    </row>
    <row r="23" spans="1:10" x14ac:dyDescent="0.3">
      <c r="A23" s="1334" t="s">
        <v>868</v>
      </c>
      <c r="B23" s="1335" t="s">
        <v>826</v>
      </c>
      <c r="C23" s="1314" t="s">
        <v>827</v>
      </c>
      <c r="D23" s="1314" t="s">
        <v>27</v>
      </c>
      <c r="E23" s="1315">
        <v>22</v>
      </c>
      <c r="F23" s="1316" t="s">
        <v>869</v>
      </c>
      <c r="G23" s="1320" t="s">
        <v>870</v>
      </c>
      <c r="H23" s="1241" t="s">
        <v>828</v>
      </c>
      <c r="I23" s="1241" t="s">
        <v>27</v>
      </c>
      <c r="J23" s="1321" t="s">
        <v>871</v>
      </c>
    </row>
    <row r="24" spans="1:10" x14ac:dyDescent="0.3">
      <c r="A24" s="1336" t="s">
        <v>872</v>
      </c>
      <c r="B24" s="1337" t="s">
        <v>862</v>
      </c>
      <c r="C24" s="1333" t="s">
        <v>827</v>
      </c>
      <c r="D24" s="1314" t="s">
        <v>27</v>
      </c>
      <c r="E24" s="1315">
        <v>23</v>
      </c>
      <c r="F24" s="1338">
        <v>3.4</v>
      </c>
      <c r="G24" s="1327" t="s">
        <v>873</v>
      </c>
      <c r="H24" s="1241" t="s">
        <v>828</v>
      </c>
      <c r="I24" s="1241" t="s">
        <v>27</v>
      </c>
      <c r="J24" s="1321" t="s">
        <v>865</v>
      </c>
    </row>
    <row r="25" spans="1:10" x14ac:dyDescent="0.3">
      <c r="A25" s="1336" t="s">
        <v>874</v>
      </c>
      <c r="B25" s="1339" t="s">
        <v>875</v>
      </c>
      <c r="C25" s="1333" t="s">
        <v>827</v>
      </c>
      <c r="D25" s="1314" t="s">
        <v>27</v>
      </c>
      <c r="E25" s="1315">
        <v>24</v>
      </c>
      <c r="F25" s="1328">
        <v>3.5</v>
      </c>
      <c r="G25" s="1320" t="s">
        <v>876</v>
      </c>
      <c r="H25" s="1241" t="s">
        <v>828</v>
      </c>
      <c r="I25" s="1241" t="s">
        <v>27</v>
      </c>
      <c r="J25" s="1321" t="s">
        <v>877</v>
      </c>
    </row>
    <row r="26" spans="1:10" x14ac:dyDescent="0.3">
      <c r="A26" s="1340" t="s">
        <v>878</v>
      </c>
      <c r="B26" s="1341" t="s">
        <v>826</v>
      </c>
      <c r="C26" s="1333" t="s">
        <v>827</v>
      </c>
      <c r="D26" s="1314" t="s">
        <v>27</v>
      </c>
      <c r="E26" s="1315">
        <v>25</v>
      </c>
      <c r="F26" s="1328">
        <v>3.6</v>
      </c>
      <c r="G26" s="1320" t="s">
        <v>826</v>
      </c>
      <c r="H26" s="1241" t="s">
        <v>828</v>
      </c>
      <c r="I26" s="1241" t="s">
        <v>27</v>
      </c>
      <c r="J26" s="1321" t="s">
        <v>829</v>
      </c>
    </row>
    <row r="27" spans="1:10" x14ac:dyDescent="0.3">
      <c r="A27" s="1342" t="s">
        <v>879</v>
      </c>
      <c r="B27" s="1343" t="s">
        <v>539</v>
      </c>
      <c r="C27" s="1314" t="s">
        <v>827</v>
      </c>
      <c r="D27" s="1314" t="s">
        <v>27</v>
      </c>
      <c r="E27" s="1315">
        <v>26</v>
      </c>
      <c r="F27" s="1316" t="s">
        <v>724</v>
      </c>
      <c r="G27" s="1320" t="s">
        <v>826</v>
      </c>
      <c r="H27" s="1241" t="s">
        <v>828</v>
      </c>
      <c r="I27" s="1241" t="s">
        <v>27</v>
      </c>
      <c r="J27" s="1321" t="s">
        <v>829</v>
      </c>
    </row>
    <row r="28" spans="1:10" x14ac:dyDescent="0.3">
      <c r="A28" s="1344" t="s">
        <v>880</v>
      </c>
      <c r="B28" s="1343" t="s">
        <v>881</v>
      </c>
      <c r="C28" s="1314" t="s">
        <v>827</v>
      </c>
      <c r="D28" s="1314" t="s">
        <v>27</v>
      </c>
      <c r="E28" s="1315">
        <v>27</v>
      </c>
      <c r="F28" s="1316" t="s">
        <v>726</v>
      </c>
      <c r="G28" s="1320" t="s">
        <v>882</v>
      </c>
      <c r="H28" s="1241" t="s">
        <v>828</v>
      </c>
      <c r="I28" s="1241" t="s">
        <v>27</v>
      </c>
      <c r="J28" s="1321" t="s">
        <v>883</v>
      </c>
    </row>
    <row r="29" spans="1:10" x14ac:dyDescent="0.3">
      <c r="A29" s="1342" t="s">
        <v>884</v>
      </c>
      <c r="B29" s="1343" t="s">
        <v>539</v>
      </c>
      <c r="C29" s="1333" t="s">
        <v>827</v>
      </c>
      <c r="D29" s="1314" t="s">
        <v>27</v>
      </c>
      <c r="E29" s="1315">
        <v>28</v>
      </c>
      <c r="F29" s="1328">
        <v>4.2</v>
      </c>
      <c r="G29" s="1320" t="s">
        <v>835</v>
      </c>
      <c r="H29" s="1241" t="s">
        <v>828</v>
      </c>
      <c r="I29" s="1241" t="s">
        <v>27</v>
      </c>
      <c r="J29" s="1321" t="s">
        <v>855</v>
      </c>
    </row>
    <row r="30" spans="1:10" x14ac:dyDescent="0.3">
      <c r="A30" s="1344" t="s">
        <v>885</v>
      </c>
      <c r="B30" s="1343" t="s">
        <v>826</v>
      </c>
      <c r="C30" s="1333" t="s">
        <v>827</v>
      </c>
      <c r="D30" s="1314" t="s">
        <v>27</v>
      </c>
      <c r="E30" s="1315">
        <v>29</v>
      </c>
      <c r="F30" s="1328">
        <v>4.3</v>
      </c>
      <c r="G30" s="1320" t="s">
        <v>886</v>
      </c>
      <c r="H30" s="1241" t="s">
        <v>828</v>
      </c>
      <c r="I30" s="1241" t="s">
        <v>27</v>
      </c>
      <c r="J30" s="1321" t="s">
        <v>887</v>
      </c>
    </row>
    <row r="31" spans="1:10" x14ac:dyDescent="0.3">
      <c r="A31" s="1344" t="s">
        <v>888</v>
      </c>
      <c r="B31" s="1345" t="s">
        <v>889</v>
      </c>
      <c r="C31" s="1333" t="s">
        <v>827</v>
      </c>
      <c r="D31" s="1314" t="s">
        <v>27</v>
      </c>
      <c r="E31" s="1315">
        <v>30</v>
      </c>
      <c r="F31" s="1328">
        <v>4.4000000000000004</v>
      </c>
      <c r="G31" s="1320" t="s">
        <v>890</v>
      </c>
      <c r="H31" s="1241" t="s">
        <v>828</v>
      </c>
      <c r="I31" s="1241" t="s">
        <v>27</v>
      </c>
      <c r="J31" s="1321" t="s">
        <v>891</v>
      </c>
    </row>
    <row r="32" spans="1:10" x14ac:dyDescent="0.3">
      <c r="A32" s="1344" t="s">
        <v>892</v>
      </c>
      <c r="B32" s="1343" t="s">
        <v>842</v>
      </c>
      <c r="C32" s="1314" t="s">
        <v>827</v>
      </c>
      <c r="D32" s="1314" t="s">
        <v>27</v>
      </c>
      <c r="E32" s="1315">
        <v>31</v>
      </c>
      <c r="F32" s="1316" t="s">
        <v>733</v>
      </c>
      <c r="G32" s="1320" t="s">
        <v>826</v>
      </c>
      <c r="H32" s="1241" t="s">
        <v>828</v>
      </c>
      <c r="I32" s="1241" t="s">
        <v>27</v>
      </c>
      <c r="J32" s="1321" t="s">
        <v>829</v>
      </c>
    </row>
    <row r="33" spans="1:10" x14ac:dyDescent="0.3">
      <c r="A33" s="1344" t="s">
        <v>893</v>
      </c>
      <c r="B33" s="1343" t="s">
        <v>826</v>
      </c>
      <c r="C33" s="1314" t="s">
        <v>827</v>
      </c>
      <c r="D33" s="1314" t="s">
        <v>27</v>
      </c>
      <c r="E33" s="1315">
        <v>32</v>
      </c>
      <c r="F33" s="1316" t="s">
        <v>735</v>
      </c>
      <c r="G33" s="1320" t="s">
        <v>539</v>
      </c>
      <c r="H33" s="1241" t="s">
        <v>828</v>
      </c>
      <c r="I33" s="1241" t="s">
        <v>27</v>
      </c>
      <c r="J33" s="1321" t="s">
        <v>539</v>
      </c>
    </row>
    <row r="34" spans="1:10" x14ac:dyDescent="0.3">
      <c r="A34" s="1344" t="s">
        <v>894</v>
      </c>
      <c r="B34" s="1343" t="s">
        <v>826</v>
      </c>
      <c r="C34" s="1314" t="s">
        <v>827</v>
      </c>
      <c r="D34" s="1314" t="s">
        <v>27</v>
      </c>
      <c r="E34" s="1315">
        <v>33</v>
      </c>
      <c r="F34" s="1316" t="s">
        <v>737</v>
      </c>
      <c r="G34" s="1346" t="s">
        <v>895</v>
      </c>
      <c r="H34" s="1241" t="s">
        <v>828</v>
      </c>
      <c r="I34" s="1241" t="s">
        <v>27</v>
      </c>
      <c r="J34" s="1321" t="s">
        <v>896</v>
      </c>
    </row>
    <row r="35" spans="1:10" x14ac:dyDescent="0.3">
      <c r="A35" s="1342" t="s">
        <v>897</v>
      </c>
      <c r="B35" s="1343" t="s">
        <v>539</v>
      </c>
      <c r="C35" s="1314" t="s">
        <v>827</v>
      </c>
      <c r="D35" s="1314" t="s">
        <v>27</v>
      </c>
      <c r="E35" s="1315">
        <v>34</v>
      </c>
      <c r="F35" s="1316" t="s">
        <v>739</v>
      </c>
      <c r="G35" s="1320" t="s">
        <v>539</v>
      </c>
      <c r="H35" s="1241" t="s">
        <v>828</v>
      </c>
      <c r="I35" s="1241" t="s">
        <v>27</v>
      </c>
      <c r="J35" s="1321" t="s">
        <v>539</v>
      </c>
    </row>
    <row r="36" spans="1:10" x14ac:dyDescent="0.3">
      <c r="A36" s="1344" t="s">
        <v>898</v>
      </c>
      <c r="B36" s="1343" t="s">
        <v>899</v>
      </c>
      <c r="C36" s="1333" t="s">
        <v>827</v>
      </c>
      <c r="D36" s="1314" t="s">
        <v>27</v>
      </c>
      <c r="E36" s="1315">
        <v>35</v>
      </c>
      <c r="F36" s="1328">
        <v>5.3</v>
      </c>
      <c r="G36" s="1320" t="s">
        <v>900</v>
      </c>
      <c r="H36" s="1241" t="s">
        <v>828</v>
      </c>
      <c r="I36" s="1241" t="s">
        <v>27</v>
      </c>
      <c r="J36" s="1321" t="s">
        <v>901</v>
      </c>
    </row>
    <row r="37" spans="1:10" x14ac:dyDescent="0.3">
      <c r="A37" s="1344" t="s">
        <v>902</v>
      </c>
      <c r="B37" s="1343" t="s">
        <v>903</v>
      </c>
      <c r="C37" s="1333" t="s">
        <v>827</v>
      </c>
      <c r="D37" s="1314" t="s">
        <v>27</v>
      </c>
      <c r="E37" s="1315">
        <v>36</v>
      </c>
      <c r="F37" s="1328">
        <v>5.4</v>
      </c>
      <c r="G37" s="1327" t="s">
        <v>904</v>
      </c>
      <c r="H37" s="1241" t="s">
        <v>828</v>
      </c>
      <c r="I37" s="1241" t="s">
        <v>27</v>
      </c>
      <c r="J37" s="1321" t="s">
        <v>865</v>
      </c>
    </row>
    <row r="38" spans="1:10" x14ac:dyDescent="0.3">
      <c r="A38" s="1344" t="s">
        <v>905</v>
      </c>
      <c r="B38" s="1343" t="s">
        <v>906</v>
      </c>
      <c r="C38" s="1333" t="s">
        <v>827</v>
      </c>
      <c r="D38" s="1314" t="s">
        <v>27</v>
      </c>
      <c r="E38" s="1315">
        <v>37</v>
      </c>
      <c r="F38" s="1328">
        <v>5.5</v>
      </c>
      <c r="G38" s="1320" t="s">
        <v>842</v>
      </c>
      <c r="H38" s="1241" t="s">
        <v>828</v>
      </c>
      <c r="I38" s="1241" t="s">
        <v>27</v>
      </c>
      <c r="J38" s="1321" t="s">
        <v>857</v>
      </c>
    </row>
    <row r="39" spans="1:10" x14ac:dyDescent="0.3">
      <c r="A39" s="1344" t="s">
        <v>907</v>
      </c>
      <c r="B39" s="1343" t="s">
        <v>826</v>
      </c>
      <c r="C39" s="1333" t="s">
        <v>827</v>
      </c>
      <c r="D39" s="1314" t="s">
        <v>27</v>
      </c>
      <c r="E39" s="1315">
        <v>38</v>
      </c>
      <c r="F39" s="1328">
        <v>5.6</v>
      </c>
      <c r="G39" s="1320" t="s">
        <v>826</v>
      </c>
      <c r="H39" s="1241" t="s">
        <v>828</v>
      </c>
      <c r="I39" s="1241" t="s">
        <v>27</v>
      </c>
      <c r="J39" s="1321" t="s">
        <v>829</v>
      </c>
    </row>
    <row r="40" spans="1:10" x14ac:dyDescent="0.3">
      <c r="A40" s="1344" t="s">
        <v>756</v>
      </c>
      <c r="B40" s="1343" t="s">
        <v>908</v>
      </c>
      <c r="C40" s="1314" t="s">
        <v>827</v>
      </c>
      <c r="D40" s="1314" t="s">
        <v>27</v>
      </c>
      <c r="E40" s="1315">
        <v>39</v>
      </c>
      <c r="F40" s="1316" t="s">
        <v>745</v>
      </c>
      <c r="G40" s="1320" t="s">
        <v>826</v>
      </c>
      <c r="H40" s="1241" t="s">
        <v>828</v>
      </c>
      <c r="I40" s="1241" t="s">
        <v>27</v>
      </c>
      <c r="J40" s="1321" t="s">
        <v>829</v>
      </c>
    </row>
    <row r="41" spans="1:10" x14ac:dyDescent="0.3">
      <c r="A41" s="1344">
        <v>5.1100000000000003</v>
      </c>
      <c r="B41" s="1343" t="s">
        <v>539</v>
      </c>
      <c r="C41" s="1314" t="s">
        <v>827</v>
      </c>
      <c r="D41" s="1314" t="s">
        <v>27</v>
      </c>
      <c r="E41" s="1315">
        <v>40</v>
      </c>
      <c r="F41" s="1316" t="s">
        <v>747</v>
      </c>
      <c r="G41" s="1320" t="s">
        <v>539</v>
      </c>
      <c r="H41" s="1241" t="s">
        <v>828</v>
      </c>
      <c r="I41" s="1241" t="s">
        <v>27</v>
      </c>
      <c r="J41" s="1321" t="s">
        <v>539</v>
      </c>
    </row>
    <row r="42" spans="1:10" x14ac:dyDescent="0.3">
      <c r="A42" s="1344">
        <v>5.12</v>
      </c>
      <c r="B42" s="1343" t="s">
        <v>539</v>
      </c>
      <c r="C42" s="1314" t="s">
        <v>827</v>
      </c>
      <c r="D42" s="1314" t="s">
        <v>27</v>
      </c>
      <c r="E42" s="1315">
        <v>41</v>
      </c>
      <c r="F42" s="1316" t="s">
        <v>749</v>
      </c>
      <c r="G42" s="1320" t="s">
        <v>539</v>
      </c>
      <c r="H42" s="1241" t="s">
        <v>828</v>
      </c>
      <c r="I42" s="1241" t="s">
        <v>27</v>
      </c>
      <c r="J42" s="1321" t="s">
        <v>539</v>
      </c>
    </row>
    <row r="43" spans="1:10" x14ac:dyDescent="0.3">
      <c r="A43" s="1347">
        <v>5.13</v>
      </c>
      <c r="B43" s="1348" t="s">
        <v>539</v>
      </c>
      <c r="C43" s="1314" t="s">
        <v>827</v>
      </c>
      <c r="D43" s="1314" t="s">
        <v>27</v>
      </c>
      <c r="E43" s="1315">
        <v>42</v>
      </c>
      <c r="F43" s="1316" t="s">
        <v>751</v>
      </c>
      <c r="G43" s="1320" t="s">
        <v>903</v>
      </c>
      <c r="H43" s="1241" t="s">
        <v>828</v>
      </c>
      <c r="I43" s="1241" t="s">
        <v>27</v>
      </c>
      <c r="J43" s="1321" t="s">
        <v>909</v>
      </c>
    </row>
    <row r="44" spans="1:10" x14ac:dyDescent="0.3">
      <c r="A44" s="1340" t="s">
        <v>910</v>
      </c>
      <c r="B44" s="1341" t="s">
        <v>826</v>
      </c>
      <c r="C44" s="1314" t="s">
        <v>827</v>
      </c>
      <c r="D44" s="1314" t="s">
        <v>27</v>
      </c>
      <c r="E44" s="1315">
        <v>43</v>
      </c>
      <c r="F44" s="1316" t="s">
        <v>753</v>
      </c>
      <c r="G44" s="1320" t="s">
        <v>539</v>
      </c>
      <c r="H44" s="1241" t="s">
        <v>828</v>
      </c>
      <c r="I44" s="1241" t="s">
        <v>27</v>
      </c>
      <c r="J44" s="1321" t="s">
        <v>539</v>
      </c>
    </row>
    <row r="45" spans="1:10" x14ac:dyDescent="0.3">
      <c r="A45" s="1344" t="s">
        <v>911</v>
      </c>
      <c r="B45" s="1343" t="s">
        <v>826</v>
      </c>
      <c r="C45" s="1333" t="s">
        <v>827</v>
      </c>
      <c r="D45" s="1314" t="s">
        <v>27</v>
      </c>
      <c r="E45" s="1315">
        <v>44</v>
      </c>
      <c r="F45" s="1328">
        <v>5.9</v>
      </c>
      <c r="G45" s="1320" t="s">
        <v>826</v>
      </c>
      <c r="H45" s="1241" t="s">
        <v>828</v>
      </c>
      <c r="I45" s="1241" t="s">
        <v>27</v>
      </c>
      <c r="J45" s="1321" t="s">
        <v>829</v>
      </c>
    </row>
    <row r="46" spans="1:10" x14ac:dyDescent="0.3">
      <c r="A46" s="1344" t="s">
        <v>912</v>
      </c>
      <c r="B46" s="1343" t="s">
        <v>858</v>
      </c>
      <c r="C46" s="1333" t="s">
        <v>827</v>
      </c>
      <c r="D46" s="1314" t="s">
        <v>27</v>
      </c>
      <c r="E46" s="1315">
        <v>45</v>
      </c>
      <c r="F46" s="1332" t="s">
        <v>756</v>
      </c>
      <c r="G46" s="1320" t="s">
        <v>539</v>
      </c>
      <c r="H46" s="1241" t="s">
        <v>828</v>
      </c>
      <c r="I46" s="1241" t="s">
        <v>27</v>
      </c>
      <c r="J46" s="1321" t="s">
        <v>539</v>
      </c>
    </row>
    <row r="47" spans="1:10" x14ac:dyDescent="0.3">
      <c r="A47" s="1344" t="s">
        <v>913</v>
      </c>
      <c r="B47" s="1343" t="s">
        <v>914</v>
      </c>
      <c r="C47" s="1333" t="s">
        <v>827</v>
      </c>
      <c r="D47" s="1314" t="s">
        <v>27</v>
      </c>
      <c r="E47" s="1315">
        <v>46</v>
      </c>
      <c r="F47" s="1328">
        <v>5.1100000000000003</v>
      </c>
      <c r="G47" s="1320" t="s">
        <v>539</v>
      </c>
      <c r="H47" s="1241" t="s">
        <v>828</v>
      </c>
      <c r="I47" s="1241" t="s">
        <v>27</v>
      </c>
      <c r="J47" s="1321" t="s">
        <v>539</v>
      </c>
    </row>
    <row r="48" spans="1:10" x14ac:dyDescent="0.3">
      <c r="A48" s="1344" t="s">
        <v>915</v>
      </c>
      <c r="B48" s="1343" t="s">
        <v>858</v>
      </c>
      <c r="C48" s="1333" t="s">
        <v>827</v>
      </c>
      <c r="D48" s="1314" t="s">
        <v>27</v>
      </c>
      <c r="E48" s="1315">
        <v>47</v>
      </c>
      <c r="F48" s="1328">
        <v>5.12</v>
      </c>
      <c r="G48" s="1320" t="s">
        <v>539</v>
      </c>
      <c r="H48" s="1241" t="s">
        <v>828</v>
      </c>
      <c r="I48" s="1241" t="s">
        <v>27</v>
      </c>
      <c r="J48" s="1321" t="s">
        <v>539</v>
      </c>
    </row>
    <row r="49" spans="1:10" x14ac:dyDescent="0.3">
      <c r="A49" s="1344" t="s">
        <v>916</v>
      </c>
      <c r="B49" s="1343" t="s">
        <v>858</v>
      </c>
      <c r="C49" s="1333" t="s">
        <v>827</v>
      </c>
      <c r="D49" s="1314" t="s">
        <v>27</v>
      </c>
      <c r="E49" s="1315">
        <v>48</v>
      </c>
      <c r="F49" s="1328">
        <v>5.13</v>
      </c>
      <c r="G49" s="1320" t="s">
        <v>539</v>
      </c>
      <c r="H49" s="1241" t="s">
        <v>828</v>
      </c>
      <c r="I49" s="1241" t="s">
        <v>27</v>
      </c>
      <c r="J49" s="1321" t="s">
        <v>539</v>
      </c>
    </row>
    <row r="50" spans="1:10" x14ac:dyDescent="0.3">
      <c r="A50" s="1344" t="s">
        <v>917</v>
      </c>
      <c r="B50" s="1343" t="s">
        <v>838</v>
      </c>
      <c r="C50" s="1333" t="s">
        <v>827</v>
      </c>
      <c r="D50" s="1314" t="s">
        <v>27</v>
      </c>
      <c r="E50" s="1315">
        <v>49</v>
      </c>
      <c r="F50" s="1328">
        <v>6.1</v>
      </c>
      <c r="G50" s="1320" t="s">
        <v>826</v>
      </c>
      <c r="H50" s="1241" t="s">
        <v>828</v>
      </c>
      <c r="I50" s="1241" t="s">
        <v>27</v>
      </c>
      <c r="J50" s="1321" t="s">
        <v>829</v>
      </c>
    </row>
    <row r="51" spans="1:10" x14ac:dyDescent="0.3">
      <c r="A51" s="1344" t="s">
        <v>918</v>
      </c>
      <c r="B51" s="1343" t="s">
        <v>838</v>
      </c>
      <c r="C51" s="1333" t="s">
        <v>827</v>
      </c>
      <c r="D51" s="1314" t="s">
        <v>27</v>
      </c>
      <c r="E51" s="1315">
        <v>50</v>
      </c>
      <c r="F51" s="1328">
        <v>6.2</v>
      </c>
      <c r="G51" s="1320" t="s">
        <v>826</v>
      </c>
      <c r="H51" s="1241" t="s">
        <v>828</v>
      </c>
      <c r="I51" s="1241" t="s">
        <v>27</v>
      </c>
      <c r="J51" s="1321" t="s">
        <v>829</v>
      </c>
    </row>
    <row r="52" spans="1:10" x14ac:dyDescent="0.3">
      <c r="A52" s="1347" t="s">
        <v>919</v>
      </c>
      <c r="B52" s="1348" t="s">
        <v>920</v>
      </c>
      <c r="C52" s="1333" t="s">
        <v>827</v>
      </c>
      <c r="D52" s="1314" t="s">
        <v>27</v>
      </c>
      <c r="E52" s="1315">
        <v>51</v>
      </c>
      <c r="F52" s="1328">
        <v>6.3</v>
      </c>
      <c r="G52" s="1320" t="s">
        <v>870</v>
      </c>
      <c r="H52" s="1241" t="s">
        <v>828</v>
      </c>
      <c r="I52" s="1241" t="s">
        <v>27</v>
      </c>
      <c r="J52" s="1349" t="s">
        <v>871</v>
      </c>
    </row>
    <row r="53" spans="1:10" x14ac:dyDescent="0.3">
      <c r="A53" s="1340" t="s">
        <v>921</v>
      </c>
      <c r="B53" s="1341" t="s">
        <v>826</v>
      </c>
      <c r="C53" s="1333" t="s">
        <v>827</v>
      </c>
      <c r="D53" s="1314" t="s">
        <v>27</v>
      </c>
      <c r="E53" s="1315">
        <v>52</v>
      </c>
      <c r="F53" s="1328">
        <v>6.4</v>
      </c>
      <c r="G53" s="1327" t="s">
        <v>922</v>
      </c>
      <c r="H53" s="1241" t="s">
        <v>828</v>
      </c>
      <c r="I53" s="1241" t="s">
        <v>27</v>
      </c>
      <c r="J53" s="1321" t="s">
        <v>923</v>
      </c>
    </row>
    <row r="54" spans="1:10" x14ac:dyDescent="0.3">
      <c r="A54" s="1344" t="s">
        <v>924</v>
      </c>
      <c r="B54" s="1345" t="s">
        <v>925</v>
      </c>
      <c r="C54" s="1314" t="s">
        <v>827</v>
      </c>
      <c r="D54" s="1314" t="s">
        <v>27</v>
      </c>
      <c r="E54" s="1315">
        <v>53</v>
      </c>
      <c r="F54" s="1316" t="s">
        <v>766</v>
      </c>
      <c r="G54" s="1320" t="s">
        <v>835</v>
      </c>
      <c r="H54" s="1241" t="s">
        <v>828</v>
      </c>
      <c r="I54" s="1241" t="s">
        <v>27</v>
      </c>
      <c r="J54" s="1321" t="s">
        <v>855</v>
      </c>
    </row>
    <row r="55" spans="1:10" x14ac:dyDescent="0.3">
      <c r="A55" s="1344" t="s">
        <v>926</v>
      </c>
      <c r="B55" s="1343" t="s">
        <v>927</v>
      </c>
      <c r="C55" s="1314" t="s">
        <v>827</v>
      </c>
      <c r="D55" s="1314" t="s">
        <v>27</v>
      </c>
      <c r="E55" s="1315">
        <v>54</v>
      </c>
      <c r="F55" s="1316" t="s">
        <v>768</v>
      </c>
      <c r="G55" s="1320" t="s">
        <v>928</v>
      </c>
      <c r="H55" s="1241" t="s">
        <v>828</v>
      </c>
      <c r="I55" s="1241" t="s">
        <v>27</v>
      </c>
      <c r="J55" s="1321" t="s">
        <v>855</v>
      </c>
    </row>
    <row r="56" spans="1:10" x14ac:dyDescent="0.3">
      <c r="A56" s="1344" t="s">
        <v>929</v>
      </c>
      <c r="B56" s="1343" t="s">
        <v>826</v>
      </c>
      <c r="C56" s="1333" t="s">
        <v>827</v>
      </c>
      <c r="D56" s="1314" t="s">
        <v>27</v>
      </c>
      <c r="E56" s="1315">
        <v>55</v>
      </c>
      <c r="F56" s="1328">
        <v>6.6</v>
      </c>
      <c r="G56" s="1320" t="s">
        <v>833</v>
      </c>
      <c r="H56" s="1241" t="s">
        <v>828</v>
      </c>
      <c r="I56" s="1241" t="s">
        <v>27</v>
      </c>
      <c r="J56" s="1349" t="s">
        <v>834</v>
      </c>
    </row>
    <row r="57" spans="1:10" x14ac:dyDescent="0.3">
      <c r="A57" s="1342" t="s">
        <v>930</v>
      </c>
      <c r="B57" s="1343" t="s">
        <v>539</v>
      </c>
      <c r="C57" s="1333" t="s">
        <v>827</v>
      </c>
      <c r="D57" s="1314" t="s">
        <v>27</v>
      </c>
      <c r="E57" s="1315">
        <v>56</v>
      </c>
      <c r="F57" s="1328">
        <v>7.1</v>
      </c>
      <c r="G57" s="1320" t="s">
        <v>826</v>
      </c>
      <c r="H57" s="1241" t="s">
        <v>828</v>
      </c>
      <c r="I57" s="1241" t="s">
        <v>27</v>
      </c>
      <c r="J57" s="1321" t="s">
        <v>829</v>
      </c>
    </row>
    <row r="58" spans="1:10" x14ac:dyDescent="0.3">
      <c r="A58" s="1344" t="s">
        <v>931</v>
      </c>
      <c r="B58" s="1343" t="s">
        <v>826</v>
      </c>
      <c r="C58" s="1314" t="s">
        <v>827</v>
      </c>
      <c r="D58" s="1314" t="s">
        <v>27</v>
      </c>
      <c r="E58" s="1315">
        <v>57</v>
      </c>
      <c r="F58" s="1316" t="s">
        <v>774</v>
      </c>
      <c r="G58" s="1320" t="s">
        <v>932</v>
      </c>
      <c r="H58" s="1241" t="s">
        <v>828</v>
      </c>
      <c r="I58" s="1241" t="s">
        <v>27</v>
      </c>
      <c r="J58" s="1321" t="s">
        <v>865</v>
      </c>
    </row>
    <row r="59" spans="1:10" x14ac:dyDescent="0.3">
      <c r="A59" s="1342" t="s">
        <v>933</v>
      </c>
      <c r="B59" s="1343" t="s">
        <v>539</v>
      </c>
      <c r="C59" s="1314" t="s">
        <v>827</v>
      </c>
      <c r="D59" s="1314" t="s">
        <v>27</v>
      </c>
      <c r="E59" s="1315">
        <v>58</v>
      </c>
      <c r="F59" s="1316" t="s">
        <v>776</v>
      </c>
      <c r="G59" s="1320" t="s">
        <v>934</v>
      </c>
      <c r="H59" s="1241" t="s">
        <v>828</v>
      </c>
      <c r="I59" s="1241" t="s">
        <v>27</v>
      </c>
      <c r="J59" s="1321" t="s">
        <v>935</v>
      </c>
    </row>
    <row r="60" spans="1:10" x14ac:dyDescent="0.3">
      <c r="A60" s="1344">
        <v>7.5</v>
      </c>
      <c r="B60" s="1343" t="s">
        <v>826</v>
      </c>
      <c r="C60" s="1314" t="s">
        <v>827</v>
      </c>
      <c r="D60" s="1314" t="s">
        <v>27</v>
      </c>
      <c r="E60" s="1315">
        <v>59</v>
      </c>
      <c r="F60" s="1316" t="s">
        <v>777</v>
      </c>
      <c r="G60" s="1320" t="s">
        <v>826</v>
      </c>
      <c r="H60" s="1241" t="s">
        <v>828</v>
      </c>
      <c r="I60" s="1241" t="s">
        <v>27</v>
      </c>
      <c r="J60" s="1321" t="s">
        <v>829</v>
      </c>
    </row>
    <row r="61" spans="1:10" x14ac:dyDescent="0.3">
      <c r="A61" s="1344">
        <v>7.6</v>
      </c>
      <c r="B61" s="1343" t="s">
        <v>826</v>
      </c>
      <c r="C61" s="1314" t="s">
        <v>827</v>
      </c>
      <c r="D61" s="1314" t="s">
        <v>27</v>
      </c>
      <c r="E61" s="1315">
        <v>60</v>
      </c>
      <c r="F61" s="1316" t="s">
        <v>779</v>
      </c>
      <c r="G61" s="1320" t="s">
        <v>539</v>
      </c>
      <c r="H61" s="1241" t="s">
        <v>828</v>
      </c>
      <c r="I61" s="1241" t="s">
        <v>27</v>
      </c>
      <c r="J61" s="1321" t="s">
        <v>539</v>
      </c>
    </row>
    <row r="62" spans="1:10" x14ac:dyDescent="0.3">
      <c r="A62" s="1344">
        <v>7.7</v>
      </c>
      <c r="B62" s="1343" t="s">
        <v>826</v>
      </c>
      <c r="C62" s="1314" t="s">
        <v>827</v>
      </c>
      <c r="D62" s="1314" t="s">
        <v>27</v>
      </c>
      <c r="E62" s="1315">
        <v>61</v>
      </c>
      <c r="F62" s="1316" t="s">
        <v>780</v>
      </c>
      <c r="G62" s="1320" t="s">
        <v>826</v>
      </c>
      <c r="H62" s="1241" t="s">
        <v>828</v>
      </c>
      <c r="I62" s="1241" t="s">
        <v>27</v>
      </c>
      <c r="J62" s="1321" t="s">
        <v>829</v>
      </c>
    </row>
    <row r="63" spans="1:10" x14ac:dyDescent="0.3">
      <c r="A63" s="1344">
        <v>7.8</v>
      </c>
      <c r="B63" s="1343" t="s">
        <v>826</v>
      </c>
      <c r="C63" s="1314" t="s">
        <v>827</v>
      </c>
      <c r="D63" s="1314" t="s">
        <v>27</v>
      </c>
      <c r="E63" s="1315">
        <v>62</v>
      </c>
      <c r="F63" s="1316" t="s">
        <v>782</v>
      </c>
      <c r="G63" s="1320" t="s">
        <v>539</v>
      </c>
      <c r="H63" s="1241" t="s">
        <v>828</v>
      </c>
      <c r="I63" s="1241" t="s">
        <v>27</v>
      </c>
      <c r="J63" s="1321" t="s">
        <v>539</v>
      </c>
    </row>
    <row r="64" spans="1:10" x14ac:dyDescent="0.3">
      <c r="A64" s="1350" t="s">
        <v>936</v>
      </c>
      <c r="B64" s="1343" t="s">
        <v>826</v>
      </c>
      <c r="C64" s="1314" t="s">
        <v>827</v>
      </c>
      <c r="D64" s="1314" t="s">
        <v>27</v>
      </c>
      <c r="E64" s="1315">
        <v>63</v>
      </c>
      <c r="F64" s="1328">
        <v>7.5</v>
      </c>
      <c r="G64" s="1320" t="s">
        <v>826</v>
      </c>
      <c r="H64" s="1241" t="s">
        <v>828</v>
      </c>
      <c r="I64" s="1241" t="s">
        <v>27</v>
      </c>
      <c r="J64" s="1321" t="s">
        <v>829</v>
      </c>
    </row>
    <row r="65" spans="1:10" x14ac:dyDescent="0.3">
      <c r="A65" s="1344" t="s">
        <v>937</v>
      </c>
      <c r="B65" s="1343" t="s">
        <v>826</v>
      </c>
      <c r="C65" s="1314" t="s">
        <v>827</v>
      </c>
      <c r="D65" s="1314" t="s">
        <v>27</v>
      </c>
      <c r="E65" s="1315">
        <v>64</v>
      </c>
      <c r="F65" s="1328">
        <v>7.6</v>
      </c>
      <c r="G65" s="1320" t="s">
        <v>826</v>
      </c>
      <c r="H65" s="1241" t="s">
        <v>828</v>
      </c>
      <c r="I65" s="1241" t="s">
        <v>27</v>
      </c>
      <c r="J65" s="1321" t="s">
        <v>829</v>
      </c>
    </row>
    <row r="66" spans="1:10" x14ac:dyDescent="0.3">
      <c r="A66" s="1344" t="s">
        <v>938</v>
      </c>
      <c r="B66" s="1343" t="s">
        <v>826</v>
      </c>
      <c r="C66" s="1314" t="s">
        <v>827</v>
      </c>
      <c r="D66" s="1314" t="s">
        <v>27</v>
      </c>
      <c r="E66" s="1315">
        <v>65</v>
      </c>
      <c r="F66" s="1328">
        <v>7.7</v>
      </c>
      <c r="G66" s="1320" t="s">
        <v>826</v>
      </c>
      <c r="H66" s="1241" t="s">
        <v>828</v>
      </c>
      <c r="I66" s="1241" t="s">
        <v>27</v>
      </c>
      <c r="J66" s="1321" t="s">
        <v>829</v>
      </c>
    </row>
    <row r="67" spans="1:10" x14ac:dyDescent="0.3">
      <c r="A67" s="1344" t="s">
        <v>788</v>
      </c>
      <c r="B67" s="1343" t="s">
        <v>826</v>
      </c>
      <c r="C67" s="1314" t="s">
        <v>827</v>
      </c>
      <c r="D67" s="1314" t="s">
        <v>27</v>
      </c>
      <c r="E67" s="1315">
        <v>66</v>
      </c>
      <c r="F67" s="1328">
        <v>7.8</v>
      </c>
      <c r="G67" s="1320" t="s">
        <v>826</v>
      </c>
      <c r="H67" s="1241" t="s">
        <v>828</v>
      </c>
      <c r="I67" s="1241" t="s">
        <v>27</v>
      </c>
      <c r="J67" s="1321" t="s">
        <v>829</v>
      </c>
    </row>
    <row r="68" spans="1:10" x14ac:dyDescent="0.3">
      <c r="A68" s="1344">
        <v>7.11</v>
      </c>
      <c r="B68" s="1343" t="s">
        <v>826</v>
      </c>
      <c r="C68" s="1314" t="s">
        <v>827</v>
      </c>
      <c r="D68" s="1314" t="s">
        <v>27</v>
      </c>
      <c r="E68" s="1315">
        <v>67</v>
      </c>
      <c r="F68" s="1328">
        <v>7.9</v>
      </c>
      <c r="G68" s="1320" t="s">
        <v>826</v>
      </c>
      <c r="H68" s="1241" t="s">
        <v>828</v>
      </c>
      <c r="I68" s="1241" t="s">
        <v>27</v>
      </c>
      <c r="J68" s="1321" t="s">
        <v>829</v>
      </c>
    </row>
    <row r="69" spans="1:10" x14ac:dyDescent="0.3">
      <c r="A69" s="1344">
        <v>7.12</v>
      </c>
      <c r="B69" s="1343" t="s">
        <v>826</v>
      </c>
      <c r="C69" s="1333" t="s">
        <v>827</v>
      </c>
      <c r="D69" s="1314" t="s">
        <v>27</v>
      </c>
      <c r="E69" s="1315">
        <v>68</v>
      </c>
      <c r="F69" s="1332" t="s">
        <v>788</v>
      </c>
      <c r="G69" s="1320" t="s">
        <v>826</v>
      </c>
      <c r="H69" s="1241" t="s">
        <v>828</v>
      </c>
      <c r="I69" s="1241" t="s">
        <v>27</v>
      </c>
      <c r="J69" s="1321" t="s">
        <v>829</v>
      </c>
    </row>
    <row r="70" spans="1:10" x14ac:dyDescent="0.3">
      <c r="A70" s="1344">
        <v>7.13</v>
      </c>
      <c r="B70" s="1343" t="s">
        <v>939</v>
      </c>
      <c r="C70" s="1333" t="s">
        <v>827</v>
      </c>
      <c r="D70" s="1314" t="s">
        <v>27</v>
      </c>
      <c r="E70" s="1315">
        <v>69</v>
      </c>
      <c r="F70" s="1328">
        <v>7.11</v>
      </c>
      <c r="G70" s="1320" t="s">
        <v>826</v>
      </c>
      <c r="H70" s="1241" t="s">
        <v>828</v>
      </c>
      <c r="I70" s="1241" t="s">
        <v>27</v>
      </c>
      <c r="J70" s="1321" t="s">
        <v>829</v>
      </c>
    </row>
    <row r="71" spans="1:10" x14ac:dyDescent="0.3">
      <c r="A71" s="1344">
        <v>7.14</v>
      </c>
      <c r="B71" s="1343" t="s">
        <v>826</v>
      </c>
      <c r="C71" s="1333" t="s">
        <v>827</v>
      </c>
      <c r="D71" s="1314" t="s">
        <v>27</v>
      </c>
      <c r="E71" s="1315">
        <v>70</v>
      </c>
      <c r="F71" s="1328">
        <v>7.12</v>
      </c>
      <c r="G71" s="1320" t="s">
        <v>826</v>
      </c>
      <c r="H71" s="1241" t="s">
        <v>828</v>
      </c>
      <c r="I71" s="1241" t="s">
        <v>27</v>
      </c>
      <c r="J71" s="1321" t="s">
        <v>829</v>
      </c>
    </row>
    <row r="72" spans="1:10" x14ac:dyDescent="0.3">
      <c r="A72" s="1344">
        <v>7.15</v>
      </c>
      <c r="B72" s="1343" t="s">
        <v>826</v>
      </c>
      <c r="C72" s="1314" t="s">
        <v>827</v>
      </c>
      <c r="D72" s="1314" t="s">
        <v>27</v>
      </c>
      <c r="E72" s="1315">
        <v>71</v>
      </c>
      <c r="F72" s="1316" t="s">
        <v>792</v>
      </c>
      <c r="G72" s="1320" t="s">
        <v>826</v>
      </c>
      <c r="H72" s="1241" t="s">
        <v>828</v>
      </c>
      <c r="I72" s="1241" t="s">
        <v>27</v>
      </c>
      <c r="J72" s="1321" t="s">
        <v>829</v>
      </c>
    </row>
    <row r="73" spans="1:10" x14ac:dyDescent="0.3">
      <c r="A73" s="1344">
        <v>7.16</v>
      </c>
      <c r="B73" s="1343" t="s">
        <v>826</v>
      </c>
      <c r="C73" s="1314" t="s">
        <v>827</v>
      </c>
      <c r="D73" s="1314" t="s">
        <v>27</v>
      </c>
      <c r="E73" s="1315">
        <v>72</v>
      </c>
      <c r="F73" s="1316" t="s">
        <v>794</v>
      </c>
      <c r="G73" s="1320" t="s">
        <v>940</v>
      </c>
      <c r="H73" s="1241" t="s">
        <v>828</v>
      </c>
      <c r="I73" s="1241" t="s">
        <v>27</v>
      </c>
      <c r="J73" s="1321" t="s">
        <v>941</v>
      </c>
    </row>
    <row r="74" spans="1:10" x14ac:dyDescent="0.3">
      <c r="A74" s="1347">
        <v>7.17</v>
      </c>
      <c r="B74" s="1348" t="s">
        <v>890</v>
      </c>
      <c r="C74" s="1333" t="s">
        <v>827</v>
      </c>
      <c r="D74" s="1314" t="s">
        <v>27</v>
      </c>
      <c r="E74" s="1315">
        <v>73</v>
      </c>
      <c r="F74" s="1328">
        <v>7.14</v>
      </c>
      <c r="G74" s="1320" t="s">
        <v>826</v>
      </c>
      <c r="H74" s="1241" t="s">
        <v>828</v>
      </c>
      <c r="I74" s="1241" t="s">
        <v>27</v>
      </c>
      <c r="J74" s="1321" t="s">
        <v>829</v>
      </c>
    </row>
    <row r="75" spans="1:10" x14ac:dyDescent="0.3">
      <c r="A75" s="1340" t="s">
        <v>942</v>
      </c>
      <c r="B75" s="1341" t="s">
        <v>826</v>
      </c>
      <c r="C75" s="1333" t="s">
        <v>827</v>
      </c>
      <c r="D75" s="1314" t="s">
        <v>27</v>
      </c>
      <c r="E75" s="1315">
        <v>74</v>
      </c>
      <c r="F75" s="1328">
        <v>7.15</v>
      </c>
      <c r="G75" s="1320" t="s">
        <v>826</v>
      </c>
      <c r="H75" s="1241" t="s">
        <v>828</v>
      </c>
      <c r="I75" s="1241" t="s">
        <v>27</v>
      </c>
      <c r="J75" s="1321" t="s">
        <v>829</v>
      </c>
    </row>
    <row r="76" spans="1:10" x14ac:dyDescent="0.3">
      <c r="A76" s="1344" t="s">
        <v>943</v>
      </c>
      <c r="B76" s="1343" t="s">
        <v>826</v>
      </c>
      <c r="C76" s="1314" t="s">
        <v>827</v>
      </c>
      <c r="D76" s="1314" t="s">
        <v>27</v>
      </c>
      <c r="E76" s="1315">
        <v>75</v>
      </c>
      <c r="F76" s="1328">
        <v>7.16</v>
      </c>
      <c r="G76" s="1320" t="s">
        <v>826</v>
      </c>
      <c r="H76" s="1241" t="s">
        <v>828</v>
      </c>
      <c r="I76" s="1241" t="s">
        <v>27</v>
      </c>
      <c r="J76" s="1321" t="s">
        <v>829</v>
      </c>
    </row>
    <row r="77" spans="1:10" x14ac:dyDescent="0.3">
      <c r="A77" s="1344" t="s">
        <v>944</v>
      </c>
      <c r="B77" s="1343" t="s">
        <v>826</v>
      </c>
      <c r="C77" s="1314" t="s">
        <v>827</v>
      </c>
      <c r="D77" s="1314" t="s">
        <v>27</v>
      </c>
      <c r="E77" s="1315">
        <v>76</v>
      </c>
      <c r="F77" s="1328">
        <v>7.17</v>
      </c>
      <c r="G77" s="1320" t="s">
        <v>826</v>
      </c>
      <c r="H77" s="1241" t="s">
        <v>828</v>
      </c>
      <c r="I77" s="1241" t="s">
        <v>27</v>
      </c>
      <c r="J77" s="1321" t="s">
        <v>829</v>
      </c>
    </row>
    <row r="78" spans="1:10" x14ac:dyDescent="0.3">
      <c r="A78" s="1351" t="s">
        <v>945</v>
      </c>
      <c r="B78" s="1352" t="s">
        <v>890</v>
      </c>
      <c r="C78" s="1314" t="s">
        <v>827</v>
      </c>
      <c r="D78" s="1314" t="s">
        <v>27</v>
      </c>
      <c r="E78" s="1315">
        <v>77</v>
      </c>
      <c r="F78" s="1316" t="s">
        <v>801</v>
      </c>
      <c r="G78" s="1320" t="s">
        <v>826</v>
      </c>
      <c r="H78" s="1241" t="s">
        <v>828</v>
      </c>
      <c r="I78" s="1241" t="s">
        <v>27</v>
      </c>
      <c r="J78" s="1353" t="s">
        <v>829</v>
      </c>
    </row>
    <row r="79" spans="1:10" s="1030" customFormat="1" ht="15" thickBot="1" x14ac:dyDescent="0.35">
      <c r="A79" s="1354" t="s">
        <v>946</v>
      </c>
      <c r="B79" s="1355" t="s">
        <v>835</v>
      </c>
      <c r="C79" s="1355" t="s">
        <v>827</v>
      </c>
      <c r="D79" s="1355" t="s">
        <v>27</v>
      </c>
      <c r="E79" s="1315">
        <v>78</v>
      </c>
      <c r="F79" s="1197" t="s">
        <v>803</v>
      </c>
      <c r="G79" s="1320" t="s">
        <v>890</v>
      </c>
      <c r="H79" s="1241" t="s">
        <v>828</v>
      </c>
      <c r="I79" s="1241" t="s">
        <v>27</v>
      </c>
      <c r="J79" s="1197" t="s">
        <v>891</v>
      </c>
    </row>
    <row r="80" spans="1:10" ht="15" thickTop="1" x14ac:dyDescent="0.3">
      <c r="A80" s="1356">
        <v>1.1000000000000001</v>
      </c>
      <c r="B80" s="1357" t="s">
        <v>826</v>
      </c>
      <c r="C80" s="1358" t="s">
        <v>827</v>
      </c>
      <c r="D80" s="1314" t="s">
        <v>947</v>
      </c>
      <c r="E80" s="1315">
        <v>79</v>
      </c>
      <c r="F80" s="1328">
        <v>8.1999999999999993</v>
      </c>
      <c r="G80" s="1327" t="s">
        <v>948</v>
      </c>
      <c r="H80" s="1241" t="s">
        <v>828</v>
      </c>
      <c r="I80" s="1241" t="s">
        <v>27</v>
      </c>
      <c r="J80" s="1359" t="s">
        <v>949</v>
      </c>
    </row>
    <row r="81" spans="1:10" x14ac:dyDescent="0.3">
      <c r="A81" s="1322">
        <v>1.2</v>
      </c>
      <c r="B81" s="1323" t="s">
        <v>830</v>
      </c>
      <c r="C81" s="1360" t="s">
        <v>827</v>
      </c>
      <c r="D81" s="1314" t="s">
        <v>947</v>
      </c>
      <c r="E81" s="1315">
        <v>80</v>
      </c>
      <c r="F81" s="1328">
        <v>8.3000000000000007</v>
      </c>
      <c r="G81" s="1320" t="s">
        <v>826</v>
      </c>
      <c r="H81" s="1241" t="s">
        <v>828</v>
      </c>
      <c r="I81" s="1241" t="s">
        <v>27</v>
      </c>
      <c r="J81" s="1321" t="s">
        <v>829</v>
      </c>
    </row>
    <row r="82" spans="1:10" x14ac:dyDescent="0.3">
      <c r="A82" s="1324">
        <v>2.1</v>
      </c>
      <c r="B82" s="1319" t="s">
        <v>826</v>
      </c>
      <c r="C82" s="1360" t="s">
        <v>827</v>
      </c>
      <c r="D82" s="1314" t="s">
        <v>947</v>
      </c>
      <c r="E82" s="1315">
        <v>81</v>
      </c>
      <c r="F82" s="1328">
        <v>8.4</v>
      </c>
      <c r="G82" s="1320" t="s">
        <v>950</v>
      </c>
      <c r="H82" s="1241" t="s">
        <v>828</v>
      </c>
      <c r="I82" s="1241" t="s">
        <v>27</v>
      </c>
      <c r="J82" s="1321" t="s">
        <v>951</v>
      </c>
    </row>
    <row r="83" spans="1:10" ht="15" thickBot="1" x14ac:dyDescent="0.35">
      <c r="A83" s="1325">
        <v>2.2000000000000002</v>
      </c>
      <c r="B83" s="1326" t="s">
        <v>539</v>
      </c>
      <c r="C83" s="1360" t="s">
        <v>827</v>
      </c>
      <c r="D83" s="1314" t="s">
        <v>947</v>
      </c>
      <c r="E83" s="1315">
        <v>82</v>
      </c>
      <c r="F83" s="1361">
        <v>8.5</v>
      </c>
      <c r="G83" s="1320" t="s">
        <v>826</v>
      </c>
      <c r="H83" s="1362" t="s">
        <v>828</v>
      </c>
      <c r="I83" s="1363" t="s">
        <v>27</v>
      </c>
      <c r="J83" s="1364" t="s">
        <v>829</v>
      </c>
    </row>
    <row r="84" spans="1:10" ht="15" thickTop="1" x14ac:dyDescent="0.3">
      <c r="A84" s="1325">
        <v>2.2999999999999998</v>
      </c>
      <c r="B84" s="1326" t="s">
        <v>826</v>
      </c>
      <c r="C84" s="1360" t="s">
        <v>827</v>
      </c>
      <c r="D84" s="1314" t="s">
        <v>947</v>
      </c>
      <c r="E84" s="1315">
        <v>83</v>
      </c>
      <c r="F84" s="1316" t="s">
        <v>685</v>
      </c>
      <c r="G84" s="1327" t="s">
        <v>826</v>
      </c>
      <c r="H84" s="714" t="s">
        <v>828</v>
      </c>
      <c r="I84" s="714" t="s">
        <v>952</v>
      </c>
      <c r="J84" s="1359" t="s">
        <v>829</v>
      </c>
    </row>
    <row r="85" spans="1:10" x14ac:dyDescent="0.3">
      <c r="A85" s="1325">
        <v>2.4</v>
      </c>
      <c r="B85" s="1326" t="s">
        <v>838</v>
      </c>
      <c r="C85" s="1360" t="s">
        <v>827</v>
      </c>
      <c r="D85" s="1314" t="s">
        <v>947</v>
      </c>
      <c r="E85" s="1315">
        <v>84</v>
      </c>
      <c r="F85" s="1316" t="s">
        <v>687</v>
      </c>
      <c r="G85" s="1320" t="s">
        <v>831</v>
      </c>
      <c r="H85" s="714" t="s">
        <v>828</v>
      </c>
      <c r="I85" s="714" t="s">
        <v>952</v>
      </c>
      <c r="J85" s="1321" t="s">
        <v>832</v>
      </c>
    </row>
    <row r="86" spans="1:10" x14ac:dyDescent="0.3">
      <c r="A86" s="1325">
        <v>2.5</v>
      </c>
      <c r="B86" s="1326" t="s">
        <v>841</v>
      </c>
      <c r="C86" s="1360" t="s">
        <v>827</v>
      </c>
      <c r="D86" s="1314" t="s">
        <v>947</v>
      </c>
      <c r="E86" s="1315">
        <v>85</v>
      </c>
      <c r="F86" s="1328">
        <v>1.2</v>
      </c>
      <c r="G86" s="1327" t="s">
        <v>953</v>
      </c>
      <c r="H86" s="714" t="s">
        <v>828</v>
      </c>
      <c r="I86" s="714" t="s">
        <v>952</v>
      </c>
      <c r="J86" s="1321" t="s">
        <v>834</v>
      </c>
    </row>
    <row r="87" spans="1:10" x14ac:dyDescent="0.3">
      <c r="A87" s="1325">
        <v>2.6</v>
      </c>
      <c r="B87" s="1326" t="s">
        <v>842</v>
      </c>
      <c r="C87" s="1360" t="s">
        <v>827</v>
      </c>
      <c r="D87" s="1314" t="s">
        <v>947</v>
      </c>
      <c r="E87" s="1315">
        <v>86</v>
      </c>
      <c r="F87" s="1316" t="s">
        <v>690</v>
      </c>
      <c r="G87" s="1327" t="s">
        <v>826</v>
      </c>
      <c r="H87" s="714" t="s">
        <v>828</v>
      </c>
      <c r="I87" s="714" t="s">
        <v>952</v>
      </c>
      <c r="J87" s="1321" t="s">
        <v>829</v>
      </c>
    </row>
    <row r="88" spans="1:10" x14ac:dyDescent="0.3">
      <c r="A88" s="1329" t="s">
        <v>843</v>
      </c>
      <c r="B88" s="1326" t="s">
        <v>539</v>
      </c>
      <c r="C88" s="1360" t="s">
        <v>827</v>
      </c>
      <c r="D88" s="1314" t="s">
        <v>947</v>
      </c>
      <c r="E88" s="1315">
        <v>87</v>
      </c>
      <c r="F88" s="1316" t="s">
        <v>692</v>
      </c>
      <c r="G88" s="1327" t="s">
        <v>836</v>
      </c>
      <c r="H88" s="714" t="s">
        <v>828</v>
      </c>
      <c r="I88" s="714" t="s">
        <v>952</v>
      </c>
      <c r="J88" s="1321" t="s">
        <v>837</v>
      </c>
    </row>
    <row r="89" spans="1:10" x14ac:dyDescent="0.3">
      <c r="A89" s="1325" t="s">
        <v>844</v>
      </c>
      <c r="B89" s="1326" t="s">
        <v>845</v>
      </c>
      <c r="C89" s="1360" t="s">
        <v>827</v>
      </c>
      <c r="D89" s="1314" t="s">
        <v>947</v>
      </c>
      <c r="E89" s="1315">
        <v>88</v>
      </c>
      <c r="F89" s="1328">
        <v>1.4</v>
      </c>
      <c r="G89" s="1327" t="s">
        <v>839</v>
      </c>
      <c r="H89" s="714" t="s">
        <v>828</v>
      </c>
      <c r="I89" s="714" t="s">
        <v>952</v>
      </c>
      <c r="J89" s="1321" t="s">
        <v>840</v>
      </c>
    </row>
    <row r="90" spans="1:10" x14ac:dyDescent="0.3">
      <c r="A90" s="1325">
        <v>2.8</v>
      </c>
      <c r="B90" s="1326" t="s">
        <v>847</v>
      </c>
      <c r="C90" s="1360" t="s">
        <v>827</v>
      </c>
      <c r="D90" s="1314" t="s">
        <v>947</v>
      </c>
      <c r="E90" s="1315">
        <v>89</v>
      </c>
      <c r="F90" s="1328">
        <v>2.1</v>
      </c>
      <c r="G90" s="1327" t="s">
        <v>826</v>
      </c>
      <c r="H90" s="714" t="s">
        <v>828</v>
      </c>
      <c r="I90" s="714" t="s">
        <v>952</v>
      </c>
      <c r="J90" s="1321" t="s">
        <v>829</v>
      </c>
    </row>
    <row r="91" spans="1:10" x14ac:dyDescent="0.3">
      <c r="A91" s="1325">
        <v>2.9</v>
      </c>
      <c r="B91" s="1326" t="s">
        <v>850</v>
      </c>
      <c r="C91" s="1360" t="s">
        <v>827</v>
      </c>
      <c r="D91" s="1314" t="s">
        <v>947</v>
      </c>
      <c r="E91" s="1315">
        <v>90</v>
      </c>
      <c r="F91" s="1328">
        <v>2.2000000000000002</v>
      </c>
      <c r="G91" s="1327" t="s">
        <v>539</v>
      </c>
      <c r="H91" s="714" t="s">
        <v>828</v>
      </c>
      <c r="I91" s="714" t="s">
        <v>952</v>
      </c>
      <c r="J91" s="1321" t="s">
        <v>539</v>
      </c>
    </row>
    <row r="92" spans="1:10" x14ac:dyDescent="0.3">
      <c r="A92" s="1330" t="s">
        <v>709</v>
      </c>
      <c r="B92" s="1323" t="s">
        <v>842</v>
      </c>
      <c r="C92" s="1360" t="s">
        <v>827</v>
      </c>
      <c r="D92" s="1314" t="s">
        <v>947</v>
      </c>
      <c r="E92" s="1315">
        <v>91</v>
      </c>
      <c r="F92" s="1328">
        <v>2.2999999999999998</v>
      </c>
      <c r="G92" s="1327" t="s">
        <v>826</v>
      </c>
      <c r="H92" s="714" t="s">
        <v>828</v>
      </c>
      <c r="I92" s="714" t="s">
        <v>952</v>
      </c>
      <c r="J92" s="1321" t="s">
        <v>829</v>
      </c>
    </row>
    <row r="93" spans="1:10" x14ac:dyDescent="0.3">
      <c r="A93" s="1324" t="s">
        <v>851</v>
      </c>
      <c r="B93" s="1319" t="s">
        <v>826</v>
      </c>
      <c r="C93" s="1360" t="s">
        <v>827</v>
      </c>
      <c r="D93" s="1314" t="s">
        <v>947</v>
      </c>
      <c r="E93" s="1315">
        <v>92</v>
      </c>
      <c r="F93" s="1328">
        <v>2.4</v>
      </c>
      <c r="G93" s="1327" t="s">
        <v>838</v>
      </c>
      <c r="H93" s="714" t="s">
        <v>828</v>
      </c>
      <c r="I93" s="714" t="s">
        <v>952</v>
      </c>
      <c r="J93" s="1321" t="s">
        <v>846</v>
      </c>
    </row>
    <row r="94" spans="1:10" x14ac:dyDescent="0.3">
      <c r="A94" s="1325" t="s">
        <v>854</v>
      </c>
      <c r="B94" s="1326" t="s">
        <v>826</v>
      </c>
      <c r="C94" s="1360" t="s">
        <v>827</v>
      </c>
      <c r="D94" s="1314" t="s">
        <v>947</v>
      </c>
      <c r="E94" s="1315">
        <v>93</v>
      </c>
      <c r="F94" s="1328">
        <v>2.5</v>
      </c>
      <c r="G94" s="1327" t="s">
        <v>954</v>
      </c>
      <c r="H94" s="714" t="s">
        <v>828</v>
      </c>
      <c r="I94" s="714" t="s">
        <v>952</v>
      </c>
      <c r="J94" s="1321" t="s">
        <v>849</v>
      </c>
    </row>
    <row r="95" spans="1:10" x14ac:dyDescent="0.3">
      <c r="A95" s="1325" t="s">
        <v>715</v>
      </c>
      <c r="B95" s="1331" t="s">
        <v>856</v>
      </c>
      <c r="C95" s="1360" t="s">
        <v>827</v>
      </c>
      <c r="D95" s="1314" t="s">
        <v>947</v>
      </c>
      <c r="E95" s="1315">
        <v>94</v>
      </c>
      <c r="F95" s="1328">
        <v>2.6</v>
      </c>
      <c r="G95" s="1327" t="s">
        <v>826</v>
      </c>
      <c r="H95" s="714" t="s">
        <v>828</v>
      </c>
      <c r="I95" s="714" t="s">
        <v>952</v>
      </c>
      <c r="J95" s="1321" t="s">
        <v>829</v>
      </c>
    </row>
    <row r="96" spans="1:10" x14ac:dyDescent="0.3">
      <c r="A96" s="1325" t="s">
        <v>716</v>
      </c>
      <c r="B96" s="1326" t="s">
        <v>838</v>
      </c>
      <c r="C96" s="1360" t="s">
        <v>827</v>
      </c>
      <c r="D96" s="1314" t="s">
        <v>947</v>
      </c>
      <c r="E96" s="1315">
        <v>95</v>
      </c>
      <c r="F96" s="1316" t="s">
        <v>703</v>
      </c>
      <c r="G96" s="1327" t="s">
        <v>826</v>
      </c>
      <c r="H96" s="740" t="s">
        <v>828</v>
      </c>
      <c r="I96" s="714" t="s">
        <v>952</v>
      </c>
      <c r="J96" s="1321" t="s">
        <v>829</v>
      </c>
    </row>
    <row r="97" spans="1:10" x14ac:dyDescent="0.3">
      <c r="A97" s="1325" t="s">
        <v>717</v>
      </c>
      <c r="B97" s="1326" t="s">
        <v>858</v>
      </c>
      <c r="C97" s="1360" t="s">
        <v>827</v>
      </c>
      <c r="D97" s="1314" t="s">
        <v>947</v>
      </c>
      <c r="E97" s="1315">
        <v>96</v>
      </c>
      <c r="F97" s="1316" t="s">
        <v>705</v>
      </c>
      <c r="G97" s="1320" t="s">
        <v>852</v>
      </c>
      <c r="H97" s="740" t="s">
        <v>828</v>
      </c>
      <c r="I97" s="714" t="s">
        <v>952</v>
      </c>
      <c r="J97" s="1321" t="s">
        <v>853</v>
      </c>
    </row>
    <row r="98" spans="1:10" x14ac:dyDescent="0.3">
      <c r="A98" s="1325" t="s">
        <v>859</v>
      </c>
      <c r="B98" s="1331" t="s">
        <v>860</v>
      </c>
      <c r="C98" s="1360" t="s">
        <v>827</v>
      </c>
      <c r="D98" s="1314" t="s">
        <v>947</v>
      </c>
      <c r="E98" s="1315">
        <v>97</v>
      </c>
      <c r="F98" s="1328">
        <v>2.8</v>
      </c>
      <c r="G98" s="1327" t="s">
        <v>955</v>
      </c>
      <c r="H98" s="714" t="s">
        <v>828</v>
      </c>
      <c r="I98" s="714" t="s">
        <v>952</v>
      </c>
      <c r="J98" s="1321" t="s">
        <v>956</v>
      </c>
    </row>
    <row r="99" spans="1:10" x14ac:dyDescent="0.3">
      <c r="A99" s="1325" t="s">
        <v>861</v>
      </c>
      <c r="B99" s="1326" t="s">
        <v>862</v>
      </c>
      <c r="C99" s="1360" t="s">
        <v>827</v>
      </c>
      <c r="D99" s="1314" t="s">
        <v>947</v>
      </c>
      <c r="E99" s="1315">
        <v>98</v>
      </c>
      <c r="F99" s="1328">
        <v>2.9</v>
      </c>
      <c r="G99" s="1327" t="s">
        <v>838</v>
      </c>
      <c r="H99" s="714" t="s">
        <v>828</v>
      </c>
      <c r="I99" s="714" t="s">
        <v>952</v>
      </c>
      <c r="J99" s="1321" t="s">
        <v>846</v>
      </c>
    </row>
    <row r="100" spans="1:10" x14ac:dyDescent="0.3">
      <c r="A100" s="1325" t="s">
        <v>866</v>
      </c>
      <c r="B100" s="1323" t="s">
        <v>826</v>
      </c>
      <c r="C100" s="1360" t="s">
        <v>827</v>
      </c>
      <c r="D100" s="1314" t="s">
        <v>947</v>
      </c>
      <c r="E100" s="1315">
        <v>99</v>
      </c>
      <c r="F100" s="1332" t="s">
        <v>709</v>
      </c>
      <c r="G100" s="1327" t="s">
        <v>842</v>
      </c>
      <c r="H100" s="714" t="s">
        <v>828</v>
      </c>
      <c r="I100" s="714" t="s">
        <v>952</v>
      </c>
      <c r="J100" s="1321" t="s">
        <v>857</v>
      </c>
    </row>
    <row r="101" spans="1:10" x14ac:dyDescent="0.3">
      <c r="A101" s="1334" t="s">
        <v>868</v>
      </c>
      <c r="B101" s="1335" t="s">
        <v>826</v>
      </c>
      <c r="C101" s="1360" t="s">
        <v>827</v>
      </c>
      <c r="D101" s="1314" t="s">
        <v>947</v>
      </c>
      <c r="E101" s="1315">
        <v>100</v>
      </c>
      <c r="F101" s="1328">
        <v>3.1</v>
      </c>
      <c r="G101" s="1327" t="s">
        <v>826</v>
      </c>
      <c r="H101" s="714" t="s">
        <v>828</v>
      </c>
      <c r="I101" s="714" t="s">
        <v>952</v>
      </c>
      <c r="J101" s="1321" t="s">
        <v>829</v>
      </c>
    </row>
    <row r="102" spans="1:10" x14ac:dyDescent="0.3">
      <c r="A102" s="1336" t="s">
        <v>872</v>
      </c>
      <c r="B102" s="1337" t="s">
        <v>862</v>
      </c>
      <c r="C102" s="1360" t="s">
        <v>827</v>
      </c>
      <c r="D102" s="1314" t="s">
        <v>947</v>
      </c>
      <c r="E102" s="1315">
        <v>101</v>
      </c>
      <c r="F102" s="1328">
        <v>3.2</v>
      </c>
      <c r="G102" s="1327" t="s">
        <v>826</v>
      </c>
      <c r="H102" s="714" t="s">
        <v>828</v>
      </c>
      <c r="I102" s="714" t="s">
        <v>952</v>
      </c>
      <c r="J102" s="1321" t="s">
        <v>829</v>
      </c>
    </row>
    <row r="103" spans="1:10" x14ac:dyDescent="0.3">
      <c r="A103" s="1336" t="s">
        <v>874</v>
      </c>
      <c r="B103" s="1339" t="s">
        <v>875</v>
      </c>
      <c r="C103" s="1360" t="s">
        <v>827</v>
      </c>
      <c r="D103" s="1314" t="s">
        <v>947</v>
      </c>
      <c r="E103" s="1315">
        <v>102</v>
      </c>
      <c r="F103" s="1316" t="s">
        <v>863</v>
      </c>
      <c r="G103" s="1327" t="s">
        <v>957</v>
      </c>
      <c r="H103" s="740" t="s">
        <v>828</v>
      </c>
      <c r="I103" s="714" t="s">
        <v>952</v>
      </c>
      <c r="J103" s="1321" t="s">
        <v>865</v>
      </c>
    </row>
    <row r="104" spans="1:10" x14ac:dyDescent="0.3">
      <c r="A104" s="1340" t="s">
        <v>878</v>
      </c>
      <c r="B104" s="1341" t="s">
        <v>539</v>
      </c>
      <c r="C104" s="1360" t="s">
        <v>827</v>
      </c>
      <c r="D104" s="1314" t="s">
        <v>947</v>
      </c>
      <c r="E104" s="1315">
        <v>103</v>
      </c>
      <c r="F104" s="1316" t="s">
        <v>867</v>
      </c>
      <c r="G104" s="1327" t="s">
        <v>838</v>
      </c>
      <c r="H104" s="740" t="s">
        <v>828</v>
      </c>
      <c r="I104" s="714" t="s">
        <v>952</v>
      </c>
      <c r="J104" s="1321" t="s">
        <v>846</v>
      </c>
    </row>
    <row r="105" spans="1:10" x14ac:dyDescent="0.3">
      <c r="A105" s="1342" t="s">
        <v>879</v>
      </c>
      <c r="B105" s="1343" t="s">
        <v>826</v>
      </c>
      <c r="C105" s="1360" t="s">
        <v>827</v>
      </c>
      <c r="D105" s="1314" t="s">
        <v>947</v>
      </c>
      <c r="E105" s="1315">
        <v>104</v>
      </c>
      <c r="F105" s="1316" t="s">
        <v>869</v>
      </c>
      <c r="G105" s="1327" t="s">
        <v>870</v>
      </c>
      <c r="H105" s="740" t="s">
        <v>828</v>
      </c>
      <c r="I105" s="714" t="s">
        <v>952</v>
      </c>
      <c r="J105" s="1321" t="s">
        <v>871</v>
      </c>
    </row>
    <row r="106" spans="1:10" x14ac:dyDescent="0.3">
      <c r="A106" s="1344" t="s">
        <v>880</v>
      </c>
      <c r="B106" s="1343" t="s">
        <v>539</v>
      </c>
      <c r="C106" s="1360" t="s">
        <v>827</v>
      </c>
      <c r="D106" s="1314" t="s">
        <v>947</v>
      </c>
      <c r="E106" s="1315">
        <v>105</v>
      </c>
      <c r="F106" s="1328">
        <v>3.4</v>
      </c>
      <c r="G106" s="1327" t="s">
        <v>873</v>
      </c>
      <c r="H106" s="714" t="s">
        <v>828</v>
      </c>
      <c r="I106" s="714" t="s">
        <v>952</v>
      </c>
      <c r="J106" s="1321" t="s">
        <v>865</v>
      </c>
    </row>
    <row r="107" spans="1:10" x14ac:dyDescent="0.3">
      <c r="A107" s="1342" t="s">
        <v>884</v>
      </c>
      <c r="B107" s="1343" t="s">
        <v>838</v>
      </c>
      <c r="C107" s="1360" t="s">
        <v>827</v>
      </c>
      <c r="D107" s="1314" t="s">
        <v>947</v>
      </c>
      <c r="E107" s="1315">
        <v>106</v>
      </c>
      <c r="F107" s="1328">
        <v>3.5</v>
      </c>
      <c r="G107" s="1320" t="s">
        <v>876</v>
      </c>
      <c r="H107" s="714" t="s">
        <v>828</v>
      </c>
      <c r="I107" s="714" t="s">
        <v>952</v>
      </c>
      <c r="J107" s="1321" t="s">
        <v>877</v>
      </c>
    </row>
    <row r="108" spans="1:10" x14ac:dyDescent="0.3">
      <c r="A108" s="1344" t="s">
        <v>885</v>
      </c>
      <c r="B108" s="1343" t="s">
        <v>826</v>
      </c>
      <c r="C108" s="1360" t="s">
        <v>827</v>
      </c>
      <c r="D108" s="1314" t="s">
        <v>947</v>
      </c>
      <c r="E108" s="1315">
        <v>107</v>
      </c>
      <c r="F108" s="1328">
        <v>3.6</v>
      </c>
      <c r="G108" s="1327" t="s">
        <v>826</v>
      </c>
      <c r="H108" s="714" t="s">
        <v>828</v>
      </c>
      <c r="I108" s="714" t="s">
        <v>952</v>
      </c>
      <c r="J108" s="1321" t="s">
        <v>829</v>
      </c>
    </row>
    <row r="109" spans="1:10" x14ac:dyDescent="0.3">
      <c r="A109" s="1344" t="s">
        <v>888</v>
      </c>
      <c r="B109" s="1345" t="s">
        <v>889</v>
      </c>
      <c r="C109" s="1360" t="s">
        <v>827</v>
      </c>
      <c r="D109" s="1314" t="s">
        <v>947</v>
      </c>
      <c r="E109" s="1315">
        <v>108</v>
      </c>
      <c r="F109" s="1316" t="s">
        <v>724</v>
      </c>
      <c r="G109" s="1327" t="s">
        <v>826</v>
      </c>
      <c r="H109" s="740" t="s">
        <v>828</v>
      </c>
      <c r="I109" s="714" t="s">
        <v>952</v>
      </c>
      <c r="J109" s="1321" t="s">
        <v>829</v>
      </c>
    </row>
    <row r="110" spans="1:10" x14ac:dyDescent="0.3">
      <c r="A110" s="1344" t="s">
        <v>892</v>
      </c>
      <c r="B110" s="1343" t="s">
        <v>842</v>
      </c>
      <c r="C110" s="1360" t="s">
        <v>827</v>
      </c>
      <c r="D110" s="1314" t="s">
        <v>947</v>
      </c>
      <c r="E110" s="1315">
        <v>109</v>
      </c>
      <c r="F110" s="1316" t="s">
        <v>726</v>
      </c>
      <c r="G110" s="1327" t="s">
        <v>958</v>
      </c>
      <c r="H110" s="740" t="s">
        <v>828</v>
      </c>
      <c r="I110" s="714" t="s">
        <v>952</v>
      </c>
      <c r="J110" s="1321" t="s">
        <v>883</v>
      </c>
    </row>
    <row r="111" spans="1:10" x14ac:dyDescent="0.3">
      <c r="A111" s="1344" t="s">
        <v>893</v>
      </c>
      <c r="B111" s="1343" t="s">
        <v>826</v>
      </c>
      <c r="C111" s="1360" t="s">
        <v>827</v>
      </c>
      <c r="D111" s="1314" t="s">
        <v>947</v>
      </c>
      <c r="E111" s="1315">
        <v>110</v>
      </c>
      <c r="F111" s="1328">
        <v>4.2</v>
      </c>
      <c r="G111" s="1327" t="s">
        <v>927</v>
      </c>
      <c r="H111" s="714" t="s">
        <v>828</v>
      </c>
      <c r="I111" s="714" t="s">
        <v>952</v>
      </c>
      <c r="J111" s="1321" t="s">
        <v>901</v>
      </c>
    </row>
    <row r="112" spans="1:10" x14ac:dyDescent="0.3">
      <c r="A112" s="1344" t="s">
        <v>894</v>
      </c>
      <c r="B112" s="1343" t="s">
        <v>539</v>
      </c>
      <c r="C112" s="1360" t="s">
        <v>827</v>
      </c>
      <c r="D112" s="1314" t="s">
        <v>947</v>
      </c>
      <c r="E112" s="1315">
        <v>111</v>
      </c>
      <c r="F112" s="1328">
        <v>4.3</v>
      </c>
      <c r="G112" s="1327" t="s">
        <v>886</v>
      </c>
      <c r="H112" s="714" t="s">
        <v>828</v>
      </c>
      <c r="I112" s="714" t="s">
        <v>952</v>
      </c>
      <c r="J112" s="1321" t="s">
        <v>887</v>
      </c>
    </row>
    <row r="113" spans="1:10" x14ac:dyDescent="0.3">
      <c r="A113" s="1342" t="s">
        <v>897</v>
      </c>
      <c r="B113" s="1343" t="s">
        <v>835</v>
      </c>
      <c r="C113" s="1360" t="s">
        <v>827</v>
      </c>
      <c r="D113" s="1314" t="s">
        <v>947</v>
      </c>
      <c r="E113" s="1315">
        <v>112</v>
      </c>
      <c r="F113" s="1328">
        <v>4.4000000000000004</v>
      </c>
      <c r="G113" s="1327" t="s">
        <v>890</v>
      </c>
      <c r="H113" s="714" t="s">
        <v>828</v>
      </c>
      <c r="I113" s="714" t="s">
        <v>952</v>
      </c>
      <c r="J113" s="1321" t="s">
        <v>891</v>
      </c>
    </row>
    <row r="114" spans="1:10" x14ac:dyDescent="0.3">
      <c r="A114" s="1344" t="s">
        <v>898</v>
      </c>
      <c r="B114" s="1343" t="s">
        <v>899</v>
      </c>
      <c r="C114" s="1360" t="s">
        <v>827</v>
      </c>
      <c r="D114" s="1314" t="s">
        <v>947</v>
      </c>
      <c r="E114" s="1315">
        <v>113</v>
      </c>
      <c r="F114" s="1316" t="s">
        <v>733</v>
      </c>
      <c r="G114" s="1327" t="s">
        <v>539</v>
      </c>
      <c r="H114" s="740" t="s">
        <v>828</v>
      </c>
      <c r="I114" s="714" t="s">
        <v>952</v>
      </c>
      <c r="J114" s="1321" t="s">
        <v>539</v>
      </c>
    </row>
    <row r="115" spans="1:10" x14ac:dyDescent="0.3">
      <c r="A115" s="1344" t="s">
        <v>902</v>
      </c>
      <c r="B115" s="1343" t="s">
        <v>903</v>
      </c>
      <c r="C115" s="1360" t="s">
        <v>827</v>
      </c>
      <c r="D115" s="1314" t="s">
        <v>947</v>
      </c>
      <c r="E115" s="1315">
        <v>114</v>
      </c>
      <c r="F115" s="1316" t="s">
        <v>735</v>
      </c>
      <c r="G115" s="1327" t="s">
        <v>826</v>
      </c>
      <c r="H115" s="740" t="s">
        <v>828</v>
      </c>
      <c r="I115" s="714" t="s">
        <v>952</v>
      </c>
      <c r="J115" s="1321" t="s">
        <v>829</v>
      </c>
    </row>
    <row r="116" spans="1:10" x14ac:dyDescent="0.3">
      <c r="A116" s="1344" t="s">
        <v>905</v>
      </c>
      <c r="B116" s="1343" t="s">
        <v>906</v>
      </c>
      <c r="C116" s="1360" t="s">
        <v>827</v>
      </c>
      <c r="D116" s="1314" t="s">
        <v>947</v>
      </c>
      <c r="E116" s="1315">
        <v>115</v>
      </c>
      <c r="F116" s="1316" t="s">
        <v>737</v>
      </c>
      <c r="G116" s="1346" t="s">
        <v>539</v>
      </c>
      <c r="H116" s="740" t="s">
        <v>828</v>
      </c>
      <c r="I116" s="714" t="s">
        <v>952</v>
      </c>
      <c r="J116" s="1321" t="s">
        <v>539</v>
      </c>
    </row>
    <row r="117" spans="1:10" x14ac:dyDescent="0.3">
      <c r="A117" s="1344" t="s">
        <v>907</v>
      </c>
      <c r="B117" s="1343" t="s">
        <v>826</v>
      </c>
      <c r="C117" s="1360" t="s">
        <v>827</v>
      </c>
      <c r="D117" s="1314" t="s">
        <v>947</v>
      </c>
      <c r="E117" s="1315">
        <v>116</v>
      </c>
      <c r="F117" s="1316" t="s">
        <v>739</v>
      </c>
      <c r="G117" s="1327" t="s">
        <v>838</v>
      </c>
      <c r="H117" s="740" t="s">
        <v>828</v>
      </c>
      <c r="I117" s="714" t="s">
        <v>952</v>
      </c>
      <c r="J117" s="1321" t="s">
        <v>846</v>
      </c>
    </row>
    <row r="118" spans="1:10" x14ac:dyDescent="0.3">
      <c r="A118" s="1344" t="s">
        <v>756</v>
      </c>
      <c r="B118" s="1343" t="s">
        <v>908</v>
      </c>
      <c r="C118" s="1360" t="s">
        <v>827</v>
      </c>
      <c r="D118" s="1314" t="s">
        <v>947</v>
      </c>
      <c r="E118" s="1315">
        <v>117</v>
      </c>
      <c r="F118" s="1328">
        <v>5.3</v>
      </c>
      <c r="G118" s="1320" t="s">
        <v>900</v>
      </c>
      <c r="H118" s="714" t="s">
        <v>828</v>
      </c>
      <c r="I118" s="714" t="s">
        <v>952</v>
      </c>
      <c r="J118" s="1321" t="s">
        <v>901</v>
      </c>
    </row>
    <row r="119" spans="1:10" x14ac:dyDescent="0.3">
      <c r="A119" s="1344">
        <v>5.1100000000000003</v>
      </c>
      <c r="B119" s="1343" t="s">
        <v>959</v>
      </c>
      <c r="C119" s="1360" t="s">
        <v>827</v>
      </c>
      <c r="D119" s="1314" t="s">
        <v>947</v>
      </c>
      <c r="E119" s="1315">
        <v>118</v>
      </c>
      <c r="F119" s="1328">
        <v>5.4</v>
      </c>
      <c r="G119" s="1327" t="s">
        <v>904</v>
      </c>
      <c r="H119" s="714" t="s">
        <v>828</v>
      </c>
      <c r="I119" s="714" t="s">
        <v>952</v>
      </c>
      <c r="J119" s="1321" t="s">
        <v>865</v>
      </c>
    </row>
    <row r="120" spans="1:10" x14ac:dyDescent="0.3">
      <c r="A120" s="1344">
        <v>5.12</v>
      </c>
      <c r="B120" s="1343" t="s">
        <v>850</v>
      </c>
      <c r="C120" s="1360" t="s">
        <v>827</v>
      </c>
      <c r="D120" s="1314" t="s">
        <v>947</v>
      </c>
      <c r="E120" s="1315">
        <v>119</v>
      </c>
      <c r="F120" s="1328">
        <v>5.5</v>
      </c>
      <c r="G120" s="1320" t="s">
        <v>842</v>
      </c>
      <c r="H120" s="714" t="s">
        <v>828</v>
      </c>
      <c r="I120" s="714" t="s">
        <v>952</v>
      </c>
      <c r="J120" s="1321" t="s">
        <v>857</v>
      </c>
    </row>
    <row r="121" spans="1:10" x14ac:dyDescent="0.3">
      <c r="A121" s="1347">
        <v>5.13</v>
      </c>
      <c r="B121" s="1348" t="s">
        <v>960</v>
      </c>
      <c r="C121" s="1360" t="s">
        <v>827</v>
      </c>
      <c r="D121" s="1314" t="s">
        <v>947</v>
      </c>
      <c r="E121" s="1315">
        <v>120</v>
      </c>
      <c r="F121" s="1328">
        <v>5.6</v>
      </c>
      <c r="G121" s="1327" t="s">
        <v>826</v>
      </c>
      <c r="H121" s="714" t="s">
        <v>828</v>
      </c>
      <c r="I121" s="714" t="s">
        <v>952</v>
      </c>
      <c r="J121" s="1321" t="s">
        <v>829</v>
      </c>
    </row>
    <row r="122" spans="1:10" x14ac:dyDescent="0.3">
      <c r="A122" s="1340" t="s">
        <v>910</v>
      </c>
      <c r="B122" s="1341" t="s">
        <v>826</v>
      </c>
      <c r="C122" s="1360" t="s">
        <v>827</v>
      </c>
      <c r="D122" s="1314" t="s">
        <v>947</v>
      </c>
      <c r="E122" s="1315">
        <v>121</v>
      </c>
      <c r="F122" s="1316" t="s">
        <v>745</v>
      </c>
      <c r="G122" s="1327" t="s">
        <v>539</v>
      </c>
      <c r="H122" s="740" t="s">
        <v>828</v>
      </c>
      <c r="I122" s="714" t="s">
        <v>952</v>
      </c>
      <c r="J122" s="1321" t="s">
        <v>539</v>
      </c>
    </row>
    <row r="123" spans="1:10" x14ac:dyDescent="0.3">
      <c r="A123" s="1344" t="s">
        <v>911</v>
      </c>
      <c r="B123" s="1343" t="s">
        <v>826</v>
      </c>
      <c r="C123" s="1360" t="s">
        <v>827</v>
      </c>
      <c r="D123" s="1314" t="s">
        <v>947</v>
      </c>
      <c r="E123" s="1315">
        <v>122</v>
      </c>
      <c r="F123" s="1316" t="s">
        <v>747</v>
      </c>
      <c r="G123" s="1327" t="s">
        <v>961</v>
      </c>
      <c r="H123" s="740" t="s">
        <v>828</v>
      </c>
      <c r="I123" s="714" t="s">
        <v>952</v>
      </c>
      <c r="J123" s="1321" t="s">
        <v>855</v>
      </c>
    </row>
    <row r="124" spans="1:10" x14ac:dyDescent="0.3">
      <c r="A124" s="1344" t="s">
        <v>912</v>
      </c>
      <c r="B124" s="1343" t="s">
        <v>858</v>
      </c>
      <c r="C124" s="1360" t="s">
        <v>827</v>
      </c>
      <c r="D124" s="1314" t="s">
        <v>947</v>
      </c>
      <c r="E124" s="1315">
        <v>123</v>
      </c>
      <c r="F124" s="1316" t="s">
        <v>749</v>
      </c>
      <c r="G124" s="1327" t="s">
        <v>962</v>
      </c>
      <c r="H124" s="740" t="s">
        <v>828</v>
      </c>
      <c r="I124" s="714" t="s">
        <v>952</v>
      </c>
      <c r="J124" s="1365" t="s">
        <v>963</v>
      </c>
    </row>
    <row r="125" spans="1:10" x14ac:dyDescent="0.3">
      <c r="A125" s="1344" t="s">
        <v>913</v>
      </c>
      <c r="B125" s="1343" t="s">
        <v>914</v>
      </c>
      <c r="C125" s="1360" t="s">
        <v>827</v>
      </c>
      <c r="D125" s="1314" t="s">
        <v>947</v>
      </c>
      <c r="E125" s="1315">
        <v>124</v>
      </c>
      <c r="F125" s="1316" t="s">
        <v>751</v>
      </c>
      <c r="G125" s="1327" t="s">
        <v>903</v>
      </c>
      <c r="H125" s="740" t="s">
        <v>828</v>
      </c>
      <c r="I125" s="714" t="s">
        <v>952</v>
      </c>
      <c r="J125" s="1321" t="s">
        <v>909</v>
      </c>
    </row>
    <row r="126" spans="1:10" x14ac:dyDescent="0.3">
      <c r="A126" s="1344" t="s">
        <v>915</v>
      </c>
      <c r="B126" s="1343" t="s">
        <v>858</v>
      </c>
      <c r="C126" s="1360" t="s">
        <v>827</v>
      </c>
      <c r="D126" s="1314" t="s">
        <v>947</v>
      </c>
      <c r="E126" s="1315">
        <v>125</v>
      </c>
      <c r="F126" s="1316" t="s">
        <v>753</v>
      </c>
      <c r="G126" s="1327" t="s">
        <v>964</v>
      </c>
      <c r="H126" s="740" t="s">
        <v>828</v>
      </c>
      <c r="I126" s="714" t="s">
        <v>952</v>
      </c>
      <c r="J126" s="1349" t="s">
        <v>965</v>
      </c>
    </row>
    <row r="127" spans="1:10" x14ac:dyDescent="0.3">
      <c r="A127" s="1344" t="s">
        <v>916</v>
      </c>
      <c r="B127" s="1343" t="s">
        <v>858</v>
      </c>
      <c r="C127" s="1360" t="s">
        <v>827</v>
      </c>
      <c r="D127" s="1314" t="s">
        <v>947</v>
      </c>
      <c r="E127" s="1315">
        <v>126</v>
      </c>
      <c r="F127" s="1328">
        <v>5.9</v>
      </c>
      <c r="G127" s="1327" t="s">
        <v>826</v>
      </c>
      <c r="H127" s="714" t="s">
        <v>828</v>
      </c>
      <c r="I127" s="714" t="s">
        <v>952</v>
      </c>
      <c r="J127" s="1321" t="s">
        <v>829</v>
      </c>
    </row>
    <row r="128" spans="1:10" x14ac:dyDescent="0.3">
      <c r="A128" s="1344" t="s">
        <v>917</v>
      </c>
      <c r="B128" s="1343" t="s">
        <v>838</v>
      </c>
      <c r="C128" s="1360" t="s">
        <v>827</v>
      </c>
      <c r="D128" s="1314" t="s">
        <v>947</v>
      </c>
      <c r="E128" s="1315">
        <v>127</v>
      </c>
      <c r="F128" s="1332" t="s">
        <v>756</v>
      </c>
      <c r="G128" s="1327" t="s">
        <v>966</v>
      </c>
      <c r="H128" s="714" t="s">
        <v>828</v>
      </c>
      <c r="I128" s="714" t="s">
        <v>952</v>
      </c>
      <c r="J128" s="1321" t="s">
        <v>967</v>
      </c>
    </row>
    <row r="129" spans="1:13" x14ac:dyDescent="0.3">
      <c r="A129" s="1344" t="s">
        <v>918</v>
      </c>
      <c r="B129" s="1343" t="s">
        <v>838</v>
      </c>
      <c r="C129" s="1360" t="s">
        <v>827</v>
      </c>
      <c r="D129" s="1314" t="s">
        <v>947</v>
      </c>
      <c r="E129" s="1315">
        <v>128</v>
      </c>
      <c r="F129" s="1328">
        <v>5.1100000000000003</v>
      </c>
      <c r="G129" s="1327" t="s">
        <v>968</v>
      </c>
      <c r="H129" s="714" t="s">
        <v>828</v>
      </c>
      <c r="I129" s="714" t="s">
        <v>952</v>
      </c>
      <c r="J129" s="1321" t="s">
        <v>969</v>
      </c>
    </row>
    <row r="130" spans="1:13" x14ac:dyDescent="0.3">
      <c r="A130" s="1347" t="s">
        <v>919</v>
      </c>
      <c r="B130" s="1348" t="s">
        <v>920</v>
      </c>
      <c r="C130" s="1360" t="s">
        <v>827</v>
      </c>
      <c r="D130" s="1314" t="s">
        <v>947</v>
      </c>
      <c r="E130" s="1315">
        <v>129</v>
      </c>
      <c r="F130" s="1328">
        <v>5.12</v>
      </c>
      <c r="G130" s="1327" t="s">
        <v>850</v>
      </c>
      <c r="H130" s="714" t="s">
        <v>828</v>
      </c>
      <c r="I130" s="714" t="s">
        <v>952</v>
      </c>
      <c r="J130" s="1321">
        <v>10</v>
      </c>
    </row>
    <row r="131" spans="1:13" x14ac:dyDescent="0.3">
      <c r="A131" s="1340" t="s">
        <v>921</v>
      </c>
      <c r="B131" s="1341" t="s">
        <v>826</v>
      </c>
      <c r="C131" s="1360" t="s">
        <v>827</v>
      </c>
      <c r="D131" s="1314" t="s">
        <v>947</v>
      </c>
      <c r="E131" s="1315">
        <v>130</v>
      </c>
      <c r="F131" s="1328">
        <v>5.13</v>
      </c>
      <c r="G131" s="1327" t="s">
        <v>970</v>
      </c>
      <c r="H131" s="714" t="s">
        <v>828</v>
      </c>
      <c r="I131" s="714" t="s">
        <v>952</v>
      </c>
      <c r="J131" s="1321" t="s">
        <v>971</v>
      </c>
    </row>
    <row r="132" spans="1:13" x14ac:dyDescent="0.3">
      <c r="A132" s="1344" t="s">
        <v>924</v>
      </c>
      <c r="B132" s="1345" t="s">
        <v>925</v>
      </c>
      <c r="C132" s="1360" t="s">
        <v>827</v>
      </c>
      <c r="D132" s="1314" t="s">
        <v>947</v>
      </c>
      <c r="E132" s="1315">
        <v>131</v>
      </c>
      <c r="F132" s="1328">
        <v>6.1</v>
      </c>
      <c r="G132" s="1327" t="s">
        <v>826</v>
      </c>
      <c r="H132" s="714" t="s">
        <v>828</v>
      </c>
      <c r="I132" s="714" t="s">
        <v>952</v>
      </c>
      <c r="J132" s="1321" t="s">
        <v>829</v>
      </c>
    </row>
    <row r="133" spans="1:13" x14ac:dyDescent="0.3">
      <c r="A133" s="1344" t="s">
        <v>926</v>
      </c>
      <c r="B133" s="1343" t="s">
        <v>927</v>
      </c>
      <c r="C133" s="1360" t="s">
        <v>827</v>
      </c>
      <c r="D133" s="1314" t="s">
        <v>947</v>
      </c>
      <c r="E133" s="1315">
        <v>132</v>
      </c>
      <c r="F133" s="1328">
        <v>6.2</v>
      </c>
      <c r="G133" s="1327" t="s">
        <v>826</v>
      </c>
      <c r="H133" s="714" t="s">
        <v>828</v>
      </c>
      <c r="I133" s="714" t="s">
        <v>952</v>
      </c>
      <c r="J133" s="1321" t="s">
        <v>829</v>
      </c>
    </row>
    <row r="134" spans="1:13" x14ac:dyDescent="0.3">
      <c r="A134" s="1344" t="s">
        <v>929</v>
      </c>
      <c r="B134" s="1343" t="s">
        <v>539</v>
      </c>
      <c r="C134" s="1360" t="s">
        <v>827</v>
      </c>
      <c r="D134" s="1314" t="s">
        <v>947</v>
      </c>
      <c r="E134" s="1315">
        <v>133</v>
      </c>
      <c r="F134" s="1328">
        <v>6.3</v>
      </c>
      <c r="G134" s="1327" t="s">
        <v>870</v>
      </c>
      <c r="H134" s="714" t="s">
        <v>828</v>
      </c>
      <c r="I134" s="714" t="s">
        <v>952</v>
      </c>
      <c r="J134" s="1349" t="s">
        <v>871</v>
      </c>
    </row>
    <row r="135" spans="1:13" x14ac:dyDescent="0.3">
      <c r="A135" s="1342" t="s">
        <v>930</v>
      </c>
      <c r="B135" s="1343" t="s">
        <v>838</v>
      </c>
      <c r="C135" s="1360" t="s">
        <v>827</v>
      </c>
      <c r="D135" s="1314" t="s">
        <v>947</v>
      </c>
      <c r="E135" s="1315">
        <v>134</v>
      </c>
      <c r="F135" s="1328">
        <v>6.4</v>
      </c>
      <c r="G135" s="1327" t="s">
        <v>922</v>
      </c>
      <c r="H135" s="714" t="s">
        <v>828</v>
      </c>
      <c r="I135" s="714" t="s">
        <v>952</v>
      </c>
      <c r="J135" s="1321" t="s">
        <v>923</v>
      </c>
    </row>
    <row r="136" spans="1:13" x14ac:dyDescent="0.3">
      <c r="A136" s="1344" t="s">
        <v>931</v>
      </c>
      <c r="B136" s="1343" t="s">
        <v>539</v>
      </c>
      <c r="C136" s="1360" t="s">
        <v>827</v>
      </c>
      <c r="D136" s="1314" t="s">
        <v>947</v>
      </c>
      <c r="E136" s="1315">
        <v>135</v>
      </c>
      <c r="F136" s="1316" t="s">
        <v>766</v>
      </c>
      <c r="G136" s="1327" t="s">
        <v>835</v>
      </c>
      <c r="H136" s="740" t="s">
        <v>828</v>
      </c>
      <c r="I136" s="714" t="s">
        <v>952</v>
      </c>
      <c r="J136" s="1321" t="s">
        <v>855</v>
      </c>
    </row>
    <row r="137" spans="1:13" x14ac:dyDescent="0.3">
      <c r="A137" s="1342" t="s">
        <v>933</v>
      </c>
      <c r="B137" s="1343" t="s">
        <v>842</v>
      </c>
      <c r="C137" s="1360" t="s">
        <v>827</v>
      </c>
      <c r="D137" s="1314" t="s">
        <v>947</v>
      </c>
      <c r="E137" s="1315">
        <v>136</v>
      </c>
      <c r="F137" s="1316" t="s">
        <v>768</v>
      </c>
      <c r="G137" s="1320" t="s">
        <v>928</v>
      </c>
      <c r="H137" s="740" t="s">
        <v>828</v>
      </c>
      <c r="I137" s="714" t="s">
        <v>952</v>
      </c>
      <c r="J137" s="1321" t="s">
        <v>855</v>
      </c>
    </row>
    <row r="138" spans="1:13" x14ac:dyDescent="0.3">
      <c r="A138" s="1344">
        <v>7.5</v>
      </c>
      <c r="B138" s="1343" t="s">
        <v>826</v>
      </c>
      <c r="C138" s="1360" t="s">
        <v>827</v>
      </c>
      <c r="D138" s="1314" t="s">
        <v>947</v>
      </c>
      <c r="E138" s="1315">
        <v>137</v>
      </c>
      <c r="F138" s="1328">
        <v>6.6</v>
      </c>
      <c r="G138" s="1327" t="s">
        <v>833</v>
      </c>
      <c r="H138" s="714" t="s">
        <v>828</v>
      </c>
      <c r="I138" s="714" t="s">
        <v>952</v>
      </c>
      <c r="J138" s="1349" t="s">
        <v>834</v>
      </c>
    </row>
    <row r="139" spans="1:13" x14ac:dyDescent="0.3">
      <c r="A139" s="1344">
        <v>7.6</v>
      </c>
      <c r="B139" s="1343" t="s">
        <v>826</v>
      </c>
      <c r="C139" s="1360" t="s">
        <v>827</v>
      </c>
      <c r="D139" s="1314" t="s">
        <v>947</v>
      </c>
      <c r="E139" s="1315">
        <v>138</v>
      </c>
      <c r="F139" s="1328">
        <v>7.1</v>
      </c>
      <c r="G139" s="1327" t="s">
        <v>826</v>
      </c>
      <c r="H139" s="714" t="s">
        <v>828</v>
      </c>
      <c r="I139" s="714" t="s">
        <v>952</v>
      </c>
      <c r="J139" s="1321" t="s">
        <v>829</v>
      </c>
    </row>
    <row r="140" spans="1:13" x14ac:dyDescent="0.3">
      <c r="A140" s="1344">
        <v>7.7</v>
      </c>
      <c r="B140" s="1343" t="s">
        <v>826</v>
      </c>
      <c r="C140" s="1360" t="s">
        <v>827</v>
      </c>
      <c r="D140" s="1314" t="s">
        <v>947</v>
      </c>
      <c r="E140" s="1315">
        <v>139</v>
      </c>
      <c r="F140" s="1316" t="s">
        <v>774</v>
      </c>
      <c r="G140" s="1320" t="s">
        <v>932</v>
      </c>
      <c r="H140" s="740" t="s">
        <v>828</v>
      </c>
      <c r="I140" s="714" t="s">
        <v>952</v>
      </c>
      <c r="J140" s="1321" t="s">
        <v>865</v>
      </c>
    </row>
    <row r="141" spans="1:13" x14ac:dyDescent="0.3">
      <c r="A141" s="1344">
        <v>7.8</v>
      </c>
      <c r="B141" s="1343" t="s">
        <v>826</v>
      </c>
      <c r="C141" s="1360" t="s">
        <v>827</v>
      </c>
      <c r="D141" s="1314" t="s">
        <v>947</v>
      </c>
      <c r="E141" s="1315">
        <v>140</v>
      </c>
      <c r="F141" s="1316" t="s">
        <v>776</v>
      </c>
      <c r="G141" s="1320" t="s">
        <v>934</v>
      </c>
      <c r="H141" s="740" t="s">
        <v>828</v>
      </c>
      <c r="I141" s="714" t="s">
        <v>952</v>
      </c>
      <c r="J141" s="1321" t="s">
        <v>935</v>
      </c>
      <c r="M141" s="378">
        <f>240/20</f>
        <v>12</v>
      </c>
    </row>
    <row r="142" spans="1:13" x14ac:dyDescent="0.3">
      <c r="A142" s="1350" t="s">
        <v>936</v>
      </c>
      <c r="B142" s="1343" t="s">
        <v>539</v>
      </c>
      <c r="C142" s="1360" t="s">
        <v>827</v>
      </c>
      <c r="D142" s="1314" t="s">
        <v>947</v>
      </c>
      <c r="E142" s="1315">
        <v>141</v>
      </c>
      <c r="F142" s="1316" t="s">
        <v>777</v>
      </c>
      <c r="G142" s="1320" t="s">
        <v>826</v>
      </c>
      <c r="H142" s="740" t="s">
        <v>828</v>
      </c>
      <c r="I142" s="714" t="s">
        <v>952</v>
      </c>
      <c r="J142" s="1321" t="s">
        <v>829</v>
      </c>
    </row>
    <row r="143" spans="1:13" x14ac:dyDescent="0.3">
      <c r="A143" s="1344" t="s">
        <v>937</v>
      </c>
      <c r="B143" s="1343" t="s">
        <v>826</v>
      </c>
      <c r="C143" s="1360" t="s">
        <v>827</v>
      </c>
      <c r="D143" s="1314" t="s">
        <v>947</v>
      </c>
      <c r="E143" s="1315">
        <v>142</v>
      </c>
      <c r="F143" s="1316" t="s">
        <v>779</v>
      </c>
      <c r="G143" s="1327" t="s">
        <v>539</v>
      </c>
      <c r="H143" s="740" t="s">
        <v>828</v>
      </c>
      <c r="I143" s="714" t="s">
        <v>952</v>
      </c>
      <c r="J143" s="1321" t="s">
        <v>539</v>
      </c>
    </row>
    <row r="144" spans="1:13" x14ac:dyDescent="0.3">
      <c r="A144" s="1344" t="s">
        <v>938</v>
      </c>
      <c r="B144" s="1343" t="s">
        <v>826</v>
      </c>
      <c r="C144" s="1360" t="s">
        <v>827</v>
      </c>
      <c r="D144" s="1314" t="s">
        <v>947</v>
      </c>
      <c r="E144" s="1315">
        <v>143</v>
      </c>
      <c r="F144" s="1316" t="s">
        <v>780</v>
      </c>
      <c r="G144" s="1327" t="s">
        <v>539</v>
      </c>
      <c r="H144" s="740" t="s">
        <v>828</v>
      </c>
      <c r="I144" s="714" t="s">
        <v>952</v>
      </c>
      <c r="J144" s="1321" t="s">
        <v>539</v>
      </c>
    </row>
    <row r="145" spans="1:10" x14ac:dyDescent="0.3">
      <c r="A145" s="1344" t="s">
        <v>788</v>
      </c>
      <c r="B145" s="1343" t="s">
        <v>826</v>
      </c>
      <c r="C145" s="1360" t="s">
        <v>827</v>
      </c>
      <c r="D145" s="1314" t="s">
        <v>947</v>
      </c>
      <c r="E145" s="1315">
        <v>144</v>
      </c>
      <c r="F145" s="1316" t="s">
        <v>782</v>
      </c>
      <c r="G145" s="1327" t="s">
        <v>842</v>
      </c>
      <c r="H145" s="740" t="s">
        <v>828</v>
      </c>
      <c r="I145" s="714" t="s">
        <v>952</v>
      </c>
      <c r="J145" s="1321" t="s">
        <v>857</v>
      </c>
    </row>
    <row r="146" spans="1:10" x14ac:dyDescent="0.3">
      <c r="A146" s="1344">
        <v>7.11</v>
      </c>
      <c r="B146" s="1343" t="s">
        <v>826</v>
      </c>
      <c r="C146" s="1360" t="s">
        <v>827</v>
      </c>
      <c r="D146" s="1314" t="s">
        <v>947</v>
      </c>
      <c r="E146" s="1315">
        <v>145</v>
      </c>
      <c r="F146" s="1328">
        <v>7.5</v>
      </c>
      <c r="G146" s="1327" t="s">
        <v>826</v>
      </c>
      <c r="H146" s="714" t="s">
        <v>828</v>
      </c>
      <c r="I146" s="714" t="s">
        <v>952</v>
      </c>
      <c r="J146" s="1321" t="s">
        <v>829</v>
      </c>
    </row>
    <row r="147" spans="1:10" x14ac:dyDescent="0.3">
      <c r="A147" s="1344">
        <v>7.12</v>
      </c>
      <c r="B147" s="1343" t="s">
        <v>826</v>
      </c>
      <c r="C147" s="1360" t="s">
        <v>827</v>
      </c>
      <c r="D147" s="1314" t="s">
        <v>947</v>
      </c>
      <c r="E147" s="1315">
        <v>146</v>
      </c>
      <c r="F147" s="1328">
        <v>7.6</v>
      </c>
      <c r="G147" s="1327" t="s">
        <v>826</v>
      </c>
      <c r="H147" s="714" t="s">
        <v>828</v>
      </c>
      <c r="I147" s="714" t="s">
        <v>952</v>
      </c>
      <c r="J147" s="1321" t="s">
        <v>829</v>
      </c>
    </row>
    <row r="148" spans="1:10" x14ac:dyDescent="0.3">
      <c r="A148" s="1344">
        <v>7.13</v>
      </c>
      <c r="B148" s="1343" t="s">
        <v>539</v>
      </c>
      <c r="C148" s="1360" t="s">
        <v>827</v>
      </c>
      <c r="D148" s="1314" t="s">
        <v>947</v>
      </c>
      <c r="E148" s="1315">
        <v>147</v>
      </c>
      <c r="F148" s="1328">
        <v>7.7</v>
      </c>
      <c r="G148" s="1327" t="s">
        <v>826</v>
      </c>
      <c r="H148" s="714" t="s">
        <v>828</v>
      </c>
      <c r="I148" s="714" t="s">
        <v>952</v>
      </c>
      <c r="J148" s="1321" t="s">
        <v>829</v>
      </c>
    </row>
    <row r="149" spans="1:10" x14ac:dyDescent="0.3">
      <c r="A149" s="1344">
        <v>7.14</v>
      </c>
      <c r="B149" s="1343" t="s">
        <v>826</v>
      </c>
      <c r="C149" s="1360" t="s">
        <v>827</v>
      </c>
      <c r="D149" s="1314" t="s">
        <v>947</v>
      </c>
      <c r="E149" s="1315">
        <v>148</v>
      </c>
      <c r="F149" s="1328">
        <v>7.8</v>
      </c>
      <c r="G149" s="1327" t="s">
        <v>826</v>
      </c>
      <c r="H149" s="714" t="s">
        <v>828</v>
      </c>
      <c r="I149" s="714" t="s">
        <v>952</v>
      </c>
      <c r="J149" s="1321" t="s">
        <v>829</v>
      </c>
    </row>
    <row r="150" spans="1:10" x14ac:dyDescent="0.3">
      <c r="A150" s="1344">
        <v>7.15</v>
      </c>
      <c r="B150" s="1343" t="s">
        <v>826</v>
      </c>
      <c r="C150" s="1360" t="s">
        <v>827</v>
      </c>
      <c r="D150" s="1314" t="s">
        <v>947</v>
      </c>
      <c r="E150" s="1315">
        <v>149</v>
      </c>
      <c r="F150" s="1328">
        <v>7.9</v>
      </c>
      <c r="G150" s="1327" t="s">
        <v>826</v>
      </c>
      <c r="H150" s="714" t="s">
        <v>828</v>
      </c>
      <c r="I150" s="714" t="s">
        <v>952</v>
      </c>
      <c r="J150" s="1321" t="s">
        <v>829</v>
      </c>
    </row>
    <row r="151" spans="1:10" x14ac:dyDescent="0.3">
      <c r="A151" s="1344">
        <v>7.16</v>
      </c>
      <c r="B151" s="1343" t="s">
        <v>826</v>
      </c>
      <c r="C151" s="1360" t="s">
        <v>827</v>
      </c>
      <c r="D151" s="1314" t="s">
        <v>947</v>
      </c>
      <c r="E151" s="1315">
        <v>150</v>
      </c>
      <c r="F151" s="1332" t="s">
        <v>788</v>
      </c>
      <c r="G151" s="1327" t="s">
        <v>972</v>
      </c>
      <c r="H151" s="714" t="s">
        <v>828</v>
      </c>
      <c r="I151" s="714" t="s">
        <v>952</v>
      </c>
      <c r="J151" s="1321" t="s">
        <v>865</v>
      </c>
    </row>
    <row r="152" spans="1:10" x14ac:dyDescent="0.3">
      <c r="A152" s="1347">
        <v>7.17</v>
      </c>
      <c r="B152" s="1348" t="s">
        <v>890</v>
      </c>
      <c r="C152" s="1360" t="s">
        <v>827</v>
      </c>
      <c r="D152" s="1314" t="s">
        <v>947</v>
      </c>
      <c r="E152" s="1315">
        <v>151</v>
      </c>
      <c r="F152" s="1328">
        <v>7.11</v>
      </c>
      <c r="G152" s="1327" t="s">
        <v>826</v>
      </c>
      <c r="H152" s="714" t="s">
        <v>828</v>
      </c>
      <c r="I152" s="714" t="s">
        <v>952</v>
      </c>
      <c r="J152" s="1321" t="s">
        <v>829</v>
      </c>
    </row>
    <row r="153" spans="1:10" x14ac:dyDescent="0.3">
      <c r="A153" s="1340" t="s">
        <v>942</v>
      </c>
      <c r="B153" s="1341" t="s">
        <v>826</v>
      </c>
      <c r="C153" s="1360" t="s">
        <v>827</v>
      </c>
      <c r="D153" s="1314" t="s">
        <v>947</v>
      </c>
      <c r="E153" s="1315">
        <v>152</v>
      </c>
      <c r="F153" s="1328">
        <v>7.12</v>
      </c>
      <c r="G153" s="1327" t="s">
        <v>826</v>
      </c>
      <c r="H153" s="714" t="s">
        <v>828</v>
      </c>
      <c r="I153" s="714" t="s">
        <v>952</v>
      </c>
      <c r="J153" s="1321" t="s">
        <v>829</v>
      </c>
    </row>
    <row r="154" spans="1:10" x14ac:dyDescent="0.3">
      <c r="A154" s="1344" t="s">
        <v>943</v>
      </c>
      <c r="B154" s="1343" t="s">
        <v>826</v>
      </c>
      <c r="C154" s="1360" t="s">
        <v>827</v>
      </c>
      <c r="D154" s="1314" t="s">
        <v>947</v>
      </c>
      <c r="E154" s="1315">
        <v>153</v>
      </c>
      <c r="F154" s="1316" t="s">
        <v>792</v>
      </c>
      <c r="G154" s="1327" t="s">
        <v>539</v>
      </c>
      <c r="H154" s="740" t="s">
        <v>828</v>
      </c>
      <c r="I154" s="714" t="s">
        <v>952</v>
      </c>
      <c r="J154" s="1321" t="s">
        <v>539</v>
      </c>
    </row>
    <row r="155" spans="1:10" x14ac:dyDescent="0.3">
      <c r="A155" s="1344" t="s">
        <v>944</v>
      </c>
      <c r="B155" s="1343" t="s">
        <v>826</v>
      </c>
      <c r="C155" s="1360" t="s">
        <v>827</v>
      </c>
      <c r="D155" s="1314" t="s">
        <v>947</v>
      </c>
      <c r="E155" s="1315">
        <v>154</v>
      </c>
      <c r="F155" s="1316" t="s">
        <v>794</v>
      </c>
      <c r="G155" s="1327" t="s">
        <v>973</v>
      </c>
      <c r="H155" s="740" t="s">
        <v>828</v>
      </c>
      <c r="I155" s="714" t="s">
        <v>952</v>
      </c>
      <c r="J155" s="1321" t="s">
        <v>974</v>
      </c>
    </row>
    <row r="156" spans="1:10" x14ac:dyDescent="0.3">
      <c r="A156" s="1344" t="s">
        <v>945</v>
      </c>
      <c r="B156" s="1343" t="s">
        <v>890</v>
      </c>
      <c r="C156" s="1360" t="s">
        <v>827</v>
      </c>
      <c r="D156" s="1314" t="s">
        <v>947</v>
      </c>
      <c r="E156" s="1315">
        <v>155</v>
      </c>
      <c r="F156" s="1328">
        <v>7.14</v>
      </c>
      <c r="G156" s="1327" t="s">
        <v>826</v>
      </c>
      <c r="H156" s="714" t="s">
        <v>828</v>
      </c>
      <c r="I156" s="714" t="s">
        <v>952</v>
      </c>
      <c r="J156" s="1321" t="s">
        <v>829</v>
      </c>
    </row>
    <row r="157" spans="1:10" s="1030" customFormat="1" x14ac:dyDescent="0.3">
      <c r="A157" s="1366" t="s">
        <v>946</v>
      </c>
      <c r="B157" s="1333" t="s">
        <v>835</v>
      </c>
      <c r="C157" s="1333" t="s">
        <v>827</v>
      </c>
      <c r="D157" s="1333" t="s">
        <v>947</v>
      </c>
      <c r="E157" s="1315">
        <v>156</v>
      </c>
      <c r="F157" s="1338">
        <v>7.15</v>
      </c>
      <c r="G157" s="1327" t="s">
        <v>826</v>
      </c>
      <c r="H157" s="714" t="s">
        <v>828</v>
      </c>
      <c r="I157" s="714" t="s">
        <v>952</v>
      </c>
      <c r="J157" s="1353" t="s">
        <v>829</v>
      </c>
    </row>
    <row r="158" spans="1:10" s="1030" customFormat="1" x14ac:dyDescent="0.3">
      <c r="A158" s="1324">
        <v>1.1000000000000001</v>
      </c>
      <c r="B158" s="1367" t="s">
        <v>826</v>
      </c>
      <c r="C158" s="1368" t="s">
        <v>827</v>
      </c>
      <c r="D158" s="1333" t="s">
        <v>975</v>
      </c>
      <c r="E158" s="1315">
        <v>157</v>
      </c>
      <c r="F158" s="1338">
        <v>7.16</v>
      </c>
      <c r="G158" s="1327" t="s">
        <v>826</v>
      </c>
      <c r="H158" s="714" t="s">
        <v>828</v>
      </c>
      <c r="I158" s="714" t="s">
        <v>952</v>
      </c>
      <c r="J158" s="1369" t="s">
        <v>829</v>
      </c>
    </row>
    <row r="159" spans="1:10" x14ac:dyDescent="0.3">
      <c r="A159" s="1370">
        <v>1.2</v>
      </c>
      <c r="B159" s="1371" t="s">
        <v>830</v>
      </c>
      <c r="C159" s="1358" t="s">
        <v>827</v>
      </c>
      <c r="D159" s="1314" t="s">
        <v>975</v>
      </c>
      <c r="E159" s="1315">
        <v>158</v>
      </c>
      <c r="F159" s="1338">
        <v>7.17</v>
      </c>
      <c r="G159" s="1327" t="s">
        <v>826</v>
      </c>
      <c r="H159" s="740" t="s">
        <v>828</v>
      </c>
      <c r="I159" s="714" t="s">
        <v>952</v>
      </c>
      <c r="J159" s="1359" t="s">
        <v>829</v>
      </c>
    </row>
    <row r="160" spans="1:10" x14ac:dyDescent="0.3">
      <c r="A160" s="1324">
        <v>2.1</v>
      </c>
      <c r="B160" s="1319" t="s">
        <v>826</v>
      </c>
      <c r="C160" s="1360" t="s">
        <v>827</v>
      </c>
      <c r="D160" s="1314" t="s">
        <v>975</v>
      </c>
      <c r="E160" s="1315">
        <v>159</v>
      </c>
      <c r="F160" s="1316" t="s">
        <v>801</v>
      </c>
      <c r="G160" s="1327" t="s">
        <v>826</v>
      </c>
      <c r="H160" s="740" t="s">
        <v>828</v>
      </c>
      <c r="I160" s="714" t="s">
        <v>952</v>
      </c>
      <c r="J160" s="1321" t="s">
        <v>829</v>
      </c>
    </row>
    <row r="161" spans="1:10" x14ac:dyDescent="0.3">
      <c r="A161" s="1325">
        <v>2.2000000000000002</v>
      </c>
      <c r="B161" s="1326" t="s">
        <v>539</v>
      </c>
      <c r="C161" s="1360" t="s">
        <v>827</v>
      </c>
      <c r="D161" s="1314" t="s">
        <v>975</v>
      </c>
      <c r="E161" s="1315">
        <v>160</v>
      </c>
      <c r="F161" s="1316" t="s">
        <v>803</v>
      </c>
      <c r="G161" s="1320" t="s">
        <v>890</v>
      </c>
      <c r="H161" s="740" t="s">
        <v>828</v>
      </c>
      <c r="I161" s="714" t="s">
        <v>952</v>
      </c>
      <c r="J161" s="1321" t="s">
        <v>891</v>
      </c>
    </row>
    <row r="162" spans="1:10" x14ac:dyDescent="0.3">
      <c r="A162" s="1325">
        <v>2.2999999999999998</v>
      </c>
      <c r="B162" s="1326" t="s">
        <v>826</v>
      </c>
      <c r="C162" s="1360" t="s">
        <v>827</v>
      </c>
      <c r="D162" s="1314" t="s">
        <v>975</v>
      </c>
      <c r="E162" s="1315">
        <v>161</v>
      </c>
      <c r="F162" s="1328">
        <v>8.1999999999999993</v>
      </c>
      <c r="G162" s="1327" t="s">
        <v>948</v>
      </c>
      <c r="H162" s="714" t="s">
        <v>828</v>
      </c>
      <c r="I162" s="714" t="s">
        <v>952</v>
      </c>
      <c r="J162" s="1321" t="s">
        <v>949</v>
      </c>
    </row>
    <row r="163" spans="1:10" x14ac:dyDescent="0.3">
      <c r="A163" s="1325">
        <v>2.4</v>
      </c>
      <c r="B163" s="1326" t="s">
        <v>838</v>
      </c>
      <c r="C163" s="1360" t="s">
        <v>827</v>
      </c>
      <c r="D163" s="1314" t="s">
        <v>975</v>
      </c>
      <c r="E163" s="1315">
        <v>162</v>
      </c>
      <c r="F163" s="1328">
        <v>8.3000000000000007</v>
      </c>
      <c r="G163" s="1327" t="s">
        <v>826</v>
      </c>
      <c r="H163" s="714" t="s">
        <v>828</v>
      </c>
      <c r="I163" s="714" t="s">
        <v>952</v>
      </c>
      <c r="J163" s="1321" t="s">
        <v>829</v>
      </c>
    </row>
    <row r="164" spans="1:10" x14ac:dyDescent="0.3">
      <c r="A164" s="1325">
        <v>2.5</v>
      </c>
      <c r="B164" s="1326" t="s">
        <v>841</v>
      </c>
      <c r="C164" s="1360" t="s">
        <v>827</v>
      </c>
      <c r="D164" s="1314" t="s">
        <v>975</v>
      </c>
      <c r="E164" s="1315">
        <v>163</v>
      </c>
      <c r="F164" s="1328">
        <v>8.4</v>
      </c>
      <c r="G164" s="1327" t="s">
        <v>950</v>
      </c>
      <c r="H164" s="714" t="s">
        <v>828</v>
      </c>
      <c r="I164" s="714" t="s">
        <v>952</v>
      </c>
      <c r="J164" s="1321" t="s">
        <v>951</v>
      </c>
    </row>
    <row r="165" spans="1:10" ht="15" thickBot="1" x14ac:dyDescent="0.35">
      <c r="A165" s="1325">
        <v>2.6</v>
      </c>
      <c r="B165" s="1326" t="s">
        <v>842</v>
      </c>
      <c r="C165" s="1360" t="s">
        <v>827</v>
      </c>
      <c r="D165" s="1314" t="s">
        <v>975</v>
      </c>
      <c r="E165" s="1315">
        <v>164</v>
      </c>
      <c r="F165" s="1361">
        <v>8.5</v>
      </c>
      <c r="G165" s="1372" t="s">
        <v>826</v>
      </c>
      <c r="H165" s="1373" t="s">
        <v>828</v>
      </c>
      <c r="I165" s="714" t="s">
        <v>952</v>
      </c>
      <c r="J165" s="1364" t="s">
        <v>829</v>
      </c>
    </row>
    <row r="166" spans="1:10" ht="15" thickTop="1" x14ac:dyDescent="0.3">
      <c r="A166" s="1329" t="s">
        <v>843</v>
      </c>
      <c r="B166" s="1326" t="s">
        <v>539</v>
      </c>
      <c r="C166" s="1360" t="s">
        <v>827</v>
      </c>
      <c r="D166" s="1314" t="s">
        <v>975</v>
      </c>
      <c r="E166" s="1315">
        <v>165</v>
      </c>
      <c r="F166" s="1316" t="s">
        <v>685</v>
      </c>
      <c r="G166" s="1374" t="s">
        <v>826</v>
      </c>
      <c r="H166" s="714" t="s">
        <v>828</v>
      </c>
      <c r="I166" s="714" t="s">
        <v>976</v>
      </c>
      <c r="J166" s="1359" t="s">
        <v>829</v>
      </c>
    </row>
    <row r="167" spans="1:10" x14ac:dyDescent="0.3">
      <c r="A167" s="1325" t="s">
        <v>844</v>
      </c>
      <c r="B167" s="1326" t="s">
        <v>845</v>
      </c>
      <c r="C167" s="1360" t="s">
        <v>827</v>
      </c>
      <c r="D167" s="1314" t="s">
        <v>975</v>
      </c>
      <c r="E167" s="1315">
        <v>166</v>
      </c>
      <c r="F167" s="1316" t="s">
        <v>687</v>
      </c>
      <c r="G167" s="1320" t="s">
        <v>831</v>
      </c>
      <c r="H167" s="714" t="s">
        <v>828</v>
      </c>
      <c r="I167" s="714" t="s">
        <v>976</v>
      </c>
      <c r="J167" s="1321" t="s">
        <v>832</v>
      </c>
    </row>
    <row r="168" spans="1:10" x14ac:dyDescent="0.3">
      <c r="A168" s="1325">
        <v>2.8</v>
      </c>
      <c r="B168" s="1326" t="s">
        <v>847</v>
      </c>
      <c r="C168" s="1360" t="s">
        <v>827</v>
      </c>
      <c r="D168" s="1314" t="s">
        <v>975</v>
      </c>
      <c r="E168" s="1315">
        <v>167</v>
      </c>
      <c r="F168" s="1328">
        <v>1.2</v>
      </c>
      <c r="G168" s="1327" t="s">
        <v>953</v>
      </c>
      <c r="H168" s="714" t="s">
        <v>828</v>
      </c>
      <c r="I168" s="714" t="s">
        <v>976</v>
      </c>
      <c r="J168" s="1321" t="s">
        <v>834</v>
      </c>
    </row>
    <row r="169" spans="1:10" x14ac:dyDescent="0.3">
      <c r="A169" s="1325">
        <v>2.9</v>
      </c>
      <c r="B169" s="1326" t="s">
        <v>850</v>
      </c>
      <c r="C169" s="1360" t="s">
        <v>827</v>
      </c>
      <c r="D169" s="1314" t="s">
        <v>975</v>
      </c>
      <c r="E169" s="1315">
        <v>168</v>
      </c>
      <c r="F169" s="1316" t="s">
        <v>690</v>
      </c>
      <c r="G169" s="1327" t="s">
        <v>826</v>
      </c>
      <c r="H169" s="714" t="s">
        <v>828</v>
      </c>
      <c r="I169" s="714" t="s">
        <v>976</v>
      </c>
      <c r="J169" s="1321" t="s">
        <v>829</v>
      </c>
    </row>
    <row r="170" spans="1:10" x14ac:dyDescent="0.3">
      <c r="A170" s="1330" t="s">
        <v>709</v>
      </c>
      <c r="B170" s="1323" t="s">
        <v>842</v>
      </c>
      <c r="C170" s="1360" t="s">
        <v>827</v>
      </c>
      <c r="D170" s="1314" t="s">
        <v>975</v>
      </c>
      <c r="E170" s="1315">
        <v>169</v>
      </c>
      <c r="F170" s="1316" t="s">
        <v>692</v>
      </c>
      <c r="G170" s="1327" t="s">
        <v>836</v>
      </c>
      <c r="H170" s="714" t="s">
        <v>828</v>
      </c>
      <c r="I170" s="714" t="s">
        <v>976</v>
      </c>
      <c r="J170" s="1321" t="s">
        <v>837</v>
      </c>
    </row>
    <row r="171" spans="1:10" x14ac:dyDescent="0.3">
      <c r="A171" s="1324" t="s">
        <v>851</v>
      </c>
      <c r="B171" s="1319" t="s">
        <v>826</v>
      </c>
      <c r="C171" s="1360" t="s">
        <v>827</v>
      </c>
      <c r="D171" s="1314" t="s">
        <v>975</v>
      </c>
      <c r="E171" s="1315">
        <v>170</v>
      </c>
      <c r="F171" s="1328">
        <v>1.4</v>
      </c>
      <c r="G171" s="1327" t="s">
        <v>839</v>
      </c>
      <c r="H171" s="714" t="s">
        <v>828</v>
      </c>
      <c r="I171" s="714" t="s">
        <v>976</v>
      </c>
      <c r="J171" s="1321" t="s">
        <v>840</v>
      </c>
    </row>
    <row r="172" spans="1:10" x14ac:dyDescent="0.3">
      <c r="A172" s="1325" t="s">
        <v>854</v>
      </c>
      <c r="B172" s="1326" t="s">
        <v>826</v>
      </c>
      <c r="C172" s="1360" t="s">
        <v>827</v>
      </c>
      <c r="D172" s="1314" t="s">
        <v>975</v>
      </c>
      <c r="E172" s="1315">
        <v>171</v>
      </c>
      <c r="F172" s="1328">
        <v>2.1</v>
      </c>
      <c r="G172" s="1327" t="s">
        <v>826</v>
      </c>
      <c r="H172" s="714" t="s">
        <v>828</v>
      </c>
      <c r="I172" s="714" t="s">
        <v>976</v>
      </c>
      <c r="J172" s="1321" t="s">
        <v>829</v>
      </c>
    </row>
    <row r="173" spans="1:10" x14ac:dyDescent="0.3">
      <c r="A173" s="1325" t="s">
        <v>715</v>
      </c>
      <c r="B173" s="1331" t="s">
        <v>856</v>
      </c>
      <c r="C173" s="1360" t="s">
        <v>827</v>
      </c>
      <c r="D173" s="1314" t="s">
        <v>975</v>
      </c>
      <c r="E173" s="1315">
        <v>172</v>
      </c>
      <c r="F173" s="1328">
        <v>2.2000000000000002</v>
      </c>
      <c r="G173" s="1327" t="s">
        <v>539</v>
      </c>
      <c r="H173" s="714" t="s">
        <v>828</v>
      </c>
      <c r="I173" s="714" t="s">
        <v>976</v>
      </c>
      <c r="J173" s="1321" t="s">
        <v>539</v>
      </c>
    </row>
    <row r="174" spans="1:10" x14ac:dyDescent="0.3">
      <c r="A174" s="1325" t="s">
        <v>716</v>
      </c>
      <c r="B174" s="1326" t="s">
        <v>838</v>
      </c>
      <c r="C174" s="1360" t="s">
        <v>827</v>
      </c>
      <c r="D174" s="1314" t="s">
        <v>975</v>
      </c>
      <c r="E174" s="1315">
        <v>173</v>
      </c>
      <c r="F174" s="1328">
        <v>2.2999999999999998</v>
      </c>
      <c r="G174" s="1327" t="s">
        <v>826</v>
      </c>
      <c r="H174" s="714" t="s">
        <v>828</v>
      </c>
      <c r="I174" s="714" t="s">
        <v>976</v>
      </c>
      <c r="J174" s="1321" t="s">
        <v>829</v>
      </c>
    </row>
    <row r="175" spans="1:10" x14ac:dyDescent="0.3">
      <c r="A175" s="1325" t="s">
        <v>717</v>
      </c>
      <c r="B175" s="1326" t="s">
        <v>858</v>
      </c>
      <c r="C175" s="1360" t="s">
        <v>827</v>
      </c>
      <c r="D175" s="1314" t="s">
        <v>975</v>
      </c>
      <c r="E175" s="1315">
        <v>174</v>
      </c>
      <c r="F175" s="1328">
        <v>2.4</v>
      </c>
      <c r="G175" s="1320" t="s">
        <v>838</v>
      </c>
      <c r="H175" s="714" t="s">
        <v>828</v>
      </c>
      <c r="I175" s="714" t="s">
        <v>976</v>
      </c>
      <c r="J175" s="1321" t="s">
        <v>846</v>
      </c>
    </row>
    <row r="176" spans="1:10" x14ac:dyDescent="0.3">
      <c r="A176" s="1325" t="s">
        <v>859</v>
      </c>
      <c r="B176" s="1331" t="s">
        <v>860</v>
      </c>
      <c r="C176" s="1360" t="s">
        <v>827</v>
      </c>
      <c r="D176" s="1314" t="s">
        <v>975</v>
      </c>
      <c r="E176" s="1315">
        <v>175</v>
      </c>
      <c r="F176" s="1328">
        <v>2.5</v>
      </c>
      <c r="G176" s="1320" t="s">
        <v>848</v>
      </c>
      <c r="H176" s="714" t="s">
        <v>828</v>
      </c>
      <c r="I176" s="714" t="s">
        <v>976</v>
      </c>
      <c r="J176" s="1321" t="s">
        <v>849</v>
      </c>
    </row>
    <row r="177" spans="1:10" x14ac:dyDescent="0.3">
      <c r="A177" s="1325" t="s">
        <v>861</v>
      </c>
      <c r="B177" s="1326" t="s">
        <v>862</v>
      </c>
      <c r="C177" s="1360" t="s">
        <v>827</v>
      </c>
      <c r="D177" s="1314" t="s">
        <v>975</v>
      </c>
      <c r="E177" s="1315">
        <v>176</v>
      </c>
      <c r="F177" s="1328">
        <v>2.6</v>
      </c>
      <c r="G177" s="1327" t="s">
        <v>826</v>
      </c>
      <c r="H177" s="714" t="s">
        <v>828</v>
      </c>
      <c r="I177" s="714" t="s">
        <v>976</v>
      </c>
      <c r="J177" s="1321" t="s">
        <v>829</v>
      </c>
    </row>
    <row r="178" spans="1:10" x14ac:dyDescent="0.3">
      <c r="A178" s="1325" t="s">
        <v>866</v>
      </c>
      <c r="B178" s="1323" t="s">
        <v>826</v>
      </c>
      <c r="C178" s="1360" t="s">
        <v>827</v>
      </c>
      <c r="D178" s="1314" t="s">
        <v>975</v>
      </c>
      <c r="E178" s="1315">
        <v>177</v>
      </c>
      <c r="F178" s="1316" t="s">
        <v>703</v>
      </c>
      <c r="G178" s="1320" t="s">
        <v>826</v>
      </c>
      <c r="H178" s="740" t="s">
        <v>828</v>
      </c>
      <c r="I178" s="714" t="s">
        <v>976</v>
      </c>
      <c r="J178" s="1321" t="s">
        <v>829</v>
      </c>
    </row>
    <row r="179" spans="1:10" x14ac:dyDescent="0.3">
      <c r="A179" s="1334" t="s">
        <v>868</v>
      </c>
      <c r="B179" s="1335" t="s">
        <v>826</v>
      </c>
      <c r="C179" s="1360" t="s">
        <v>827</v>
      </c>
      <c r="D179" s="1314" t="s">
        <v>975</v>
      </c>
      <c r="E179" s="1315">
        <v>178</v>
      </c>
      <c r="F179" s="1316" t="s">
        <v>705</v>
      </c>
      <c r="G179" s="1320" t="s">
        <v>852</v>
      </c>
      <c r="H179" s="740" t="s">
        <v>828</v>
      </c>
      <c r="I179" s="714" t="s">
        <v>976</v>
      </c>
      <c r="J179" s="1321" t="s">
        <v>853</v>
      </c>
    </row>
    <row r="180" spans="1:10" x14ac:dyDescent="0.3">
      <c r="A180" s="1336" t="s">
        <v>872</v>
      </c>
      <c r="B180" s="1337" t="s">
        <v>862</v>
      </c>
      <c r="C180" s="1360" t="s">
        <v>827</v>
      </c>
      <c r="D180" s="1314" t="s">
        <v>975</v>
      </c>
      <c r="E180" s="1315">
        <v>179</v>
      </c>
      <c r="F180" s="1328">
        <v>2.8</v>
      </c>
      <c r="G180" s="1327" t="s">
        <v>955</v>
      </c>
      <c r="H180" s="714" t="s">
        <v>828</v>
      </c>
      <c r="I180" s="714" t="s">
        <v>976</v>
      </c>
      <c r="J180" s="1321" t="s">
        <v>956</v>
      </c>
    </row>
    <row r="181" spans="1:10" x14ac:dyDescent="0.3">
      <c r="A181" s="1336" t="s">
        <v>874</v>
      </c>
      <c r="B181" s="1339" t="s">
        <v>875</v>
      </c>
      <c r="C181" s="1360" t="s">
        <v>827</v>
      </c>
      <c r="D181" s="1314" t="s">
        <v>975</v>
      </c>
      <c r="E181" s="1315">
        <v>180</v>
      </c>
      <c r="F181" s="1328">
        <v>2.9</v>
      </c>
      <c r="G181" s="1327" t="s">
        <v>838</v>
      </c>
      <c r="H181" s="714" t="s">
        <v>828</v>
      </c>
      <c r="I181" s="714" t="s">
        <v>976</v>
      </c>
      <c r="J181" s="1321" t="s">
        <v>846</v>
      </c>
    </row>
    <row r="182" spans="1:10" x14ac:dyDescent="0.3">
      <c r="A182" s="1340" t="s">
        <v>878</v>
      </c>
      <c r="B182" s="1341" t="s">
        <v>539</v>
      </c>
      <c r="C182" s="1360" t="s">
        <v>827</v>
      </c>
      <c r="D182" s="1314" t="s">
        <v>975</v>
      </c>
      <c r="E182" s="1315">
        <v>181</v>
      </c>
      <c r="F182" s="1332" t="s">
        <v>709</v>
      </c>
      <c r="G182" s="1320" t="s">
        <v>842</v>
      </c>
      <c r="H182" s="714" t="s">
        <v>828</v>
      </c>
      <c r="I182" s="714" t="s">
        <v>976</v>
      </c>
      <c r="J182" s="1321" t="s">
        <v>857</v>
      </c>
    </row>
    <row r="183" spans="1:10" x14ac:dyDescent="0.3">
      <c r="A183" s="1342" t="s">
        <v>879</v>
      </c>
      <c r="B183" s="1343" t="s">
        <v>826</v>
      </c>
      <c r="C183" s="1360" t="s">
        <v>827</v>
      </c>
      <c r="D183" s="1314" t="s">
        <v>975</v>
      </c>
      <c r="E183" s="1315">
        <v>182</v>
      </c>
      <c r="F183" s="1328">
        <v>3.1</v>
      </c>
      <c r="G183" s="1327" t="s">
        <v>826</v>
      </c>
      <c r="H183" s="714" t="s">
        <v>828</v>
      </c>
      <c r="I183" s="714" t="s">
        <v>976</v>
      </c>
      <c r="J183" s="1321" t="s">
        <v>829</v>
      </c>
    </row>
    <row r="184" spans="1:10" x14ac:dyDescent="0.3">
      <c r="A184" s="1344" t="s">
        <v>880</v>
      </c>
      <c r="B184" s="1343" t="s">
        <v>539</v>
      </c>
      <c r="C184" s="1360" t="s">
        <v>827</v>
      </c>
      <c r="D184" s="1314" t="s">
        <v>975</v>
      </c>
      <c r="E184" s="1315">
        <v>183</v>
      </c>
      <c r="F184" s="1328">
        <v>3.2</v>
      </c>
      <c r="G184" s="1327" t="s">
        <v>826</v>
      </c>
      <c r="H184" s="714" t="s">
        <v>828</v>
      </c>
      <c r="I184" s="714" t="s">
        <v>976</v>
      </c>
      <c r="J184" s="1321" t="s">
        <v>829</v>
      </c>
    </row>
    <row r="185" spans="1:10" x14ac:dyDescent="0.3">
      <c r="A185" s="1342" t="s">
        <v>884</v>
      </c>
      <c r="B185" s="1343" t="s">
        <v>838</v>
      </c>
      <c r="C185" s="1360" t="s">
        <v>827</v>
      </c>
      <c r="D185" s="1314" t="s">
        <v>975</v>
      </c>
      <c r="E185" s="1315">
        <v>184</v>
      </c>
      <c r="F185" s="1316" t="s">
        <v>863</v>
      </c>
      <c r="G185" s="1320" t="s">
        <v>864</v>
      </c>
      <c r="H185" s="740" t="s">
        <v>828</v>
      </c>
      <c r="I185" s="714" t="s">
        <v>976</v>
      </c>
      <c r="J185" s="1321" t="s">
        <v>865</v>
      </c>
    </row>
    <row r="186" spans="1:10" x14ac:dyDescent="0.3">
      <c r="A186" s="1344" t="s">
        <v>885</v>
      </c>
      <c r="B186" s="1343" t="s">
        <v>826</v>
      </c>
      <c r="C186" s="1360" t="s">
        <v>827</v>
      </c>
      <c r="D186" s="1314" t="s">
        <v>975</v>
      </c>
      <c r="E186" s="1315">
        <v>185</v>
      </c>
      <c r="F186" s="1316" t="s">
        <v>867</v>
      </c>
      <c r="G186" s="1320" t="s">
        <v>838</v>
      </c>
      <c r="H186" s="740" t="s">
        <v>828</v>
      </c>
      <c r="I186" s="714" t="s">
        <v>976</v>
      </c>
      <c r="J186" s="1321" t="s">
        <v>846</v>
      </c>
    </row>
    <row r="187" spans="1:10" x14ac:dyDescent="0.3">
      <c r="A187" s="1344" t="s">
        <v>888</v>
      </c>
      <c r="B187" s="1345" t="s">
        <v>889</v>
      </c>
      <c r="C187" s="1360" t="s">
        <v>827</v>
      </c>
      <c r="D187" s="1314" t="s">
        <v>975</v>
      </c>
      <c r="E187" s="1315">
        <v>186</v>
      </c>
      <c r="F187" s="1316" t="s">
        <v>869</v>
      </c>
      <c r="G187" s="1327" t="s">
        <v>870</v>
      </c>
      <c r="H187" s="740" t="s">
        <v>828</v>
      </c>
      <c r="I187" s="714" t="s">
        <v>976</v>
      </c>
      <c r="J187" s="1321" t="s">
        <v>871</v>
      </c>
    </row>
    <row r="188" spans="1:10" x14ac:dyDescent="0.3">
      <c r="A188" s="1344" t="s">
        <v>892</v>
      </c>
      <c r="B188" s="1343" t="s">
        <v>842</v>
      </c>
      <c r="C188" s="1360" t="s">
        <v>827</v>
      </c>
      <c r="D188" s="1314" t="s">
        <v>975</v>
      </c>
      <c r="E188" s="1315">
        <v>187</v>
      </c>
      <c r="F188" s="1328">
        <v>3.4</v>
      </c>
      <c r="G188" s="1327" t="s">
        <v>873</v>
      </c>
      <c r="H188" s="714" t="s">
        <v>828</v>
      </c>
      <c r="I188" s="714" t="s">
        <v>976</v>
      </c>
      <c r="J188" s="1321" t="s">
        <v>865</v>
      </c>
    </row>
    <row r="189" spans="1:10" x14ac:dyDescent="0.3">
      <c r="A189" s="1344" t="s">
        <v>893</v>
      </c>
      <c r="B189" s="1343" t="s">
        <v>826</v>
      </c>
      <c r="C189" s="1360" t="s">
        <v>827</v>
      </c>
      <c r="D189" s="1314" t="s">
        <v>975</v>
      </c>
      <c r="E189" s="1315">
        <v>188</v>
      </c>
      <c r="F189" s="1328">
        <v>3.5</v>
      </c>
      <c r="G189" s="1320" t="s">
        <v>876</v>
      </c>
      <c r="H189" s="714" t="s">
        <v>828</v>
      </c>
      <c r="I189" s="714" t="s">
        <v>976</v>
      </c>
      <c r="J189" s="1321" t="s">
        <v>877</v>
      </c>
    </row>
    <row r="190" spans="1:10" x14ac:dyDescent="0.3">
      <c r="A190" s="1344" t="s">
        <v>894</v>
      </c>
      <c r="B190" s="1343" t="s">
        <v>539</v>
      </c>
      <c r="C190" s="1360" t="s">
        <v>827</v>
      </c>
      <c r="D190" s="1314" t="s">
        <v>975</v>
      </c>
      <c r="E190" s="1315">
        <v>189</v>
      </c>
      <c r="F190" s="1328">
        <v>3.6</v>
      </c>
      <c r="G190" s="1327" t="s">
        <v>826</v>
      </c>
      <c r="H190" s="714" t="s">
        <v>828</v>
      </c>
      <c r="I190" s="714" t="s">
        <v>976</v>
      </c>
      <c r="J190" s="1321" t="s">
        <v>829</v>
      </c>
    </row>
    <row r="191" spans="1:10" x14ac:dyDescent="0.3">
      <c r="A191" s="1342" t="s">
        <v>897</v>
      </c>
      <c r="B191" s="1343" t="s">
        <v>835</v>
      </c>
      <c r="C191" s="1360" t="s">
        <v>827</v>
      </c>
      <c r="D191" s="1314" t="s">
        <v>975</v>
      </c>
      <c r="E191" s="1315">
        <v>190</v>
      </c>
      <c r="F191" s="1316" t="s">
        <v>724</v>
      </c>
      <c r="G191" s="1327" t="s">
        <v>826</v>
      </c>
      <c r="H191" s="740" t="s">
        <v>828</v>
      </c>
      <c r="I191" s="714" t="s">
        <v>976</v>
      </c>
      <c r="J191" s="1321" t="s">
        <v>829</v>
      </c>
    </row>
    <row r="192" spans="1:10" x14ac:dyDescent="0.3">
      <c r="A192" s="1344" t="s">
        <v>898</v>
      </c>
      <c r="B192" s="1343" t="s">
        <v>899</v>
      </c>
      <c r="C192" s="1360" t="s">
        <v>827</v>
      </c>
      <c r="D192" s="1314" t="s">
        <v>975</v>
      </c>
      <c r="E192" s="1315">
        <v>191</v>
      </c>
      <c r="F192" s="1316" t="s">
        <v>726</v>
      </c>
      <c r="G192" s="1327" t="s">
        <v>958</v>
      </c>
      <c r="H192" s="740" t="s">
        <v>828</v>
      </c>
      <c r="I192" s="714" t="s">
        <v>976</v>
      </c>
      <c r="J192" s="1321" t="s">
        <v>883</v>
      </c>
    </row>
    <row r="193" spans="1:10" x14ac:dyDescent="0.3">
      <c r="A193" s="1344" t="s">
        <v>902</v>
      </c>
      <c r="B193" s="1343" t="s">
        <v>903</v>
      </c>
      <c r="C193" s="1360" t="s">
        <v>827</v>
      </c>
      <c r="D193" s="1314" t="s">
        <v>975</v>
      </c>
      <c r="E193" s="1315">
        <v>192</v>
      </c>
      <c r="F193" s="1328">
        <v>4.2</v>
      </c>
      <c r="G193" s="1327" t="s">
        <v>927</v>
      </c>
      <c r="H193" s="714" t="s">
        <v>828</v>
      </c>
      <c r="I193" s="714" t="s">
        <v>976</v>
      </c>
      <c r="J193" s="1321" t="s">
        <v>901</v>
      </c>
    </row>
    <row r="194" spans="1:10" x14ac:dyDescent="0.3">
      <c r="A194" s="1344" t="s">
        <v>905</v>
      </c>
      <c r="B194" s="1343" t="s">
        <v>906</v>
      </c>
      <c r="C194" s="1360" t="s">
        <v>827</v>
      </c>
      <c r="D194" s="1314" t="s">
        <v>975</v>
      </c>
      <c r="E194" s="1315">
        <v>193</v>
      </c>
      <c r="F194" s="1328">
        <v>4.3</v>
      </c>
      <c r="G194" s="1320" t="s">
        <v>886</v>
      </c>
      <c r="H194" s="714" t="s">
        <v>828</v>
      </c>
      <c r="I194" s="714" t="s">
        <v>976</v>
      </c>
      <c r="J194" s="1321" t="s">
        <v>887</v>
      </c>
    </row>
    <row r="195" spans="1:10" x14ac:dyDescent="0.3">
      <c r="A195" s="1344" t="s">
        <v>907</v>
      </c>
      <c r="B195" s="1343" t="s">
        <v>826</v>
      </c>
      <c r="C195" s="1360" t="s">
        <v>827</v>
      </c>
      <c r="D195" s="1314" t="s">
        <v>975</v>
      </c>
      <c r="E195" s="1315">
        <v>194</v>
      </c>
      <c r="F195" s="1328">
        <v>4.4000000000000004</v>
      </c>
      <c r="G195" s="1320" t="s">
        <v>890</v>
      </c>
      <c r="H195" s="714" t="s">
        <v>828</v>
      </c>
      <c r="I195" s="714" t="s">
        <v>976</v>
      </c>
      <c r="J195" s="1321" t="s">
        <v>891</v>
      </c>
    </row>
    <row r="196" spans="1:10" x14ac:dyDescent="0.3">
      <c r="A196" s="1344" t="s">
        <v>756</v>
      </c>
      <c r="B196" s="1343" t="s">
        <v>908</v>
      </c>
      <c r="C196" s="1360" t="s">
        <v>827</v>
      </c>
      <c r="D196" s="1314" t="s">
        <v>975</v>
      </c>
      <c r="E196" s="1315">
        <v>195</v>
      </c>
      <c r="F196" s="1316" t="s">
        <v>733</v>
      </c>
      <c r="G196" s="1327" t="s">
        <v>539</v>
      </c>
      <c r="H196" s="740" t="s">
        <v>828</v>
      </c>
      <c r="I196" s="714" t="s">
        <v>976</v>
      </c>
      <c r="J196" s="1321" t="s">
        <v>539</v>
      </c>
    </row>
    <row r="197" spans="1:10" x14ac:dyDescent="0.3">
      <c r="A197" s="1344">
        <v>5.1100000000000003</v>
      </c>
      <c r="B197" s="1343" t="s">
        <v>959</v>
      </c>
      <c r="C197" s="1360" t="s">
        <v>827</v>
      </c>
      <c r="D197" s="1314" t="s">
        <v>975</v>
      </c>
      <c r="E197" s="1315">
        <v>196</v>
      </c>
      <c r="F197" s="1316" t="s">
        <v>735</v>
      </c>
      <c r="G197" s="1327" t="s">
        <v>826</v>
      </c>
      <c r="H197" s="740" t="s">
        <v>828</v>
      </c>
      <c r="I197" s="714" t="s">
        <v>976</v>
      </c>
      <c r="J197" s="1321" t="s">
        <v>829</v>
      </c>
    </row>
    <row r="198" spans="1:10" x14ac:dyDescent="0.3">
      <c r="A198" s="1344">
        <v>5.12</v>
      </c>
      <c r="B198" s="1343" t="s">
        <v>850</v>
      </c>
      <c r="C198" s="1360" t="s">
        <v>827</v>
      </c>
      <c r="D198" s="1314" t="s">
        <v>975</v>
      </c>
      <c r="E198" s="1315">
        <v>197</v>
      </c>
      <c r="F198" s="1316" t="s">
        <v>737</v>
      </c>
      <c r="G198" s="1346" t="s">
        <v>539</v>
      </c>
      <c r="H198" s="740" t="s">
        <v>828</v>
      </c>
      <c r="I198" s="714" t="s">
        <v>976</v>
      </c>
      <c r="J198" s="1321" t="s">
        <v>539</v>
      </c>
    </row>
    <row r="199" spans="1:10" x14ac:dyDescent="0.3">
      <c r="A199" s="1347">
        <v>5.13</v>
      </c>
      <c r="B199" s="1348" t="s">
        <v>960</v>
      </c>
      <c r="C199" s="1360" t="s">
        <v>827</v>
      </c>
      <c r="D199" s="1314" t="s">
        <v>975</v>
      </c>
      <c r="E199" s="1315">
        <v>198</v>
      </c>
      <c r="F199" s="1316" t="s">
        <v>739</v>
      </c>
      <c r="G199" s="1327" t="s">
        <v>838</v>
      </c>
      <c r="H199" s="740" t="s">
        <v>828</v>
      </c>
      <c r="I199" s="714" t="s">
        <v>976</v>
      </c>
      <c r="J199" s="1321" t="s">
        <v>846</v>
      </c>
    </row>
    <row r="200" spans="1:10" x14ac:dyDescent="0.3">
      <c r="A200" s="1340" t="s">
        <v>910</v>
      </c>
      <c r="B200" s="1341" t="s">
        <v>826</v>
      </c>
      <c r="C200" s="1360" t="s">
        <v>827</v>
      </c>
      <c r="D200" s="1314" t="s">
        <v>975</v>
      </c>
      <c r="E200" s="1315">
        <v>199</v>
      </c>
      <c r="F200" s="1328">
        <v>5.3</v>
      </c>
      <c r="G200" s="1320" t="s">
        <v>900</v>
      </c>
      <c r="H200" s="714" t="s">
        <v>828</v>
      </c>
      <c r="I200" s="714" t="s">
        <v>976</v>
      </c>
      <c r="J200" s="1321" t="s">
        <v>901</v>
      </c>
    </row>
    <row r="201" spans="1:10" x14ac:dyDescent="0.3">
      <c r="A201" s="1344" t="s">
        <v>911</v>
      </c>
      <c r="B201" s="1343" t="s">
        <v>826</v>
      </c>
      <c r="C201" s="1360" t="s">
        <v>827</v>
      </c>
      <c r="D201" s="1314" t="s">
        <v>975</v>
      </c>
      <c r="E201" s="1315">
        <v>200</v>
      </c>
      <c r="F201" s="1328">
        <v>5.4</v>
      </c>
      <c r="G201" s="1327" t="s">
        <v>904</v>
      </c>
      <c r="H201" s="714" t="s">
        <v>828</v>
      </c>
      <c r="I201" s="714" t="s">
        <v>976</v>
      </c>
      <c r="J201" s="1321" t="s">
        <v>865</v>
      </c>
    </row>
    <row r="202" spans="1:10" x14ac:dyDescent="0.3">
      <c r="A202" s="1344" t="s">
        <v>912</v>
      </c>
      <c r="B202" s="1343" t="s">
        <v>858</v>
      </c>
      <c r="C202" s="1360" t="s">
        <v>827</v>
      </c>
      <c r="D202" s="1314" t="s">
        <v>975</v>
      </c>
      <c r="E202" s="1315">
        <v>201</v>
      </c>
      <c r="F202" s="1328">
        <v>5.5</v>
      </c>
      <c r="G202" s="1320" t="s">
        <v>842</v>
      </c>
      <c r="H202" s="714" t="s">
        <v>828</v>
      </c>
      <c r="I202" s="714" t="s">
        <v>976</v>
      </c>
      <c r="J202" s="1321" t="s">
        <v>857</v>
      </c>
    </row>
    <row r="203" spans="1:10" x14ac:dyDescent="0.3">
      <c r="A203" s="1344" t="s">
        <v>913</v>
      </c>
      <c r="B203" s="1343" t="s">
        <v>914</v>
      </c>
      <c r="C203" s="1360" t="s">
        <v>827</v>
      </c>
      <c r="D203" s="1314" t="s">
        <v>975</v>
      </c>
      <c r="E203" s="1315">
        <v>202</v>
      </c>
      <c r="F203" s="1328">
        <v>5.6</v>
      </c>
      <c r="G203" s="1327" t="s">
        <v>826</v>
      </c>
      <c r="H203" s="714" t="s">
        <v>828</v>
      </c>
      <c r="I203" s="714" t="s">
        <v>976</v>
      </c>
      <c r="J203" s="1321" t="s">
        <v>829</v>
      </c>
    </row>
    <row r="204" spans="1:10" x14ac:dyDescent="0.3">
      <c r="A204" s="1344" t="s">
        <v>915</v>
      </c>
      <c r="B204" s="1343" t="s">
        <v>858</v>
      </c>
      <c r="C204" s="1360" t="s">
        <v>827</v>
      </c>
      <c r="D204" s="1314" t="s">
        <v>975</v>
      </c>
      <c r="E204" s="1315">
        <v>203</v>
      </c>
      <c r="F204" s="1316" t="s">
        <v>745</v>
      </c>
      <c r="G204" s="1327" t="s">
        <v>539</v>
      </c>
      <c r="H204" s="740" t="s">
        <v>828</v>
      </c>
      <c r="I204" s="714" t="s">
        <v>976</v>
      </c>
      <c r="J204" s="1321" t="s">
        <v>539</v>
      </c>
    </row>
    <row r="205" spans="1:10" x14ac:dyDescent="0.3">
      <c r="A205" s="1344" t="s">
        <v>916</v>
      </c>
      <c r="B205" s="1343" t="s">
        <v>858</v>
      </c>
      <c r="C205" s="1360" t="s">
        <v>827</v>
      </c>
      <c r="D205" s="1314" t="s">
        <v>975</v>
      </c>
      <c r="E205" s="1315">
        <v>204</v>
      </c>
      <c r="F205" s="1316" t="s">
        <v>747</v>
      </c>
      <c r="G205" s="1327" t="s">
        <v>835</v>
      </c>
      <c r="H205" s="740" t="s">
        <v>828</v>
      </c>
      <c r="I205" s="714" t="s">
        <v>976</v>
      </c>
      <c r="J205" s="1321" t="s">
        <v>855</v>
      </c>
    </row>
    <row r="206" spans="1:10" x14ac:dyDescent="0.3">
      <c r="A206" s="1344" t="s">
        <v>917</v>
      </c>
      <c r="B206" s="1343" t="s">
        <v>838</v>
      </c>
      <c r="C206" s="1360" t="s">
        <v>827</v>
      </c>
      <c r="D206" s="1314" t="s">
        <v>975</v>
      </c>
      <c r="E206" s="1315">
        <v>205</v>
      </c>
      <c r="F206" s="1316" t="s">
        <v>749</v>
      </c>
      <c r="G206" s="1327" t="s">
        <v>962</v>
      </c>
      <c r="H206" s="740" t="s">
        <v>828</v>
      </c>
      <c r="I206" s="714" t="s">
        <v>976</v>
      </c>
      <c r="J206" s="1365" t="s">
        <v>963</v>
      </c>
    </row>
    <row r="207" spans="1:10" x14ac:dyDescent="0.3">
      <c r="A207" s="1344" t="s">
        <v>918</v>
      </c>
      <c r="B207" s="1343" t="s">
        <v>838</v>
      </c>
      <c r="C207" s="1360" t="s">
        <v>827</v>
      </c>
      <c r="D207" s="1314" t="s">
        <v>975</v>
      </c>
      <c r="E207" s="1315">
        <v>206</v>
      </c>
      <c r="F207" s="1316" t="s">
        <v>751</v>
      </c>
      <c r="G207" s="1320" t="s">
        <v>903</v>
      </c>
      <c r="H207" s="740" t="s">
        <v>828</v>
      </c>
      <c r="I207" s="714" t="s">
        <v>976</v>
      </c>
      <c r="J207" s="1321" t="s">
        <v>909</v>
      </c>
    </row>
    <row r="208" spans="1:10" x14ac:dyDescent="0.3">
      <c r="A208" s="1347" t="s">
        <v>919</v>
      </c>
      <c r="B208" s="1348" t="s">
        <v>920</v>
      </c>
      <c r="C208" s="1360" t="s">
        <v>827</v>
      </c>
      <c r="D208" s="1314" t="s">
        <v>975</v>
      </c>
      <c r="E208" s="1315">
        <v>207</v>
      </c>
      <c r="F208" s="1316" t="s">
        <v>753</v>
      </c>
      <c r="G208" s="1327" t="s">
        <v>964</v>
      </c>
      <c r="H208" s="740" t="s">
        <v>828</v>
      </c>
      <c r="I208" s="714" t="s">
        <v>976</v>
      </c>
      <c r="J208" s="1349" t="s">
        <v>965</v>
      </c>
    </row>
    <row r="209" spans="1:10" x14ac:dyDescent="0.3">
      <c r="A209" s="1340" t="s">
        <v>921</v>
      </c>
      <c r="B209" s="1341" t="s">
        <v>826</v>
      </c>
      <c r="C209" s="1360" t="s">
        <v>827</v>
      </c>
      <c r="D209" s="1314" t="s">
        <v>975</v>
      </c>
      <c r="E209" s="1315">
        <v>208</v>
      </c>
      <c r="F209" s="1328">
        <v>5.9</v>
      </c>
      <c r="G209" s="1327" t="s">
        <v>826</v>
      </c>
      <c r="H209" s="714" t="s">
        <v>828</v>
      </c>
      <c r="I209" s="714" t="s">
        <v>976</v>
      </c>
      <c r="J209" s="1321" t="s">
        <v>829</v>
      </c>
    </row>
    <row r="210" spans="1:10" x14ac:dyDescent="0.3">
      <c r="A210" s="1344" t="s">
        <v>924</v>
      </c>
      <c r="B210" s="1345" t="s">
        <v>925</v>
      </c>
      <c r="C210" s="1360" t="s">
        <v>827</v>
      </c>
      <c r="D210" s="1314" t="s">
        <v>975</v>
      </c>
      <c r="E210" s="1315">
        <v>209</v>
      </c>
      <c r="F210" s="1332" t="s">
        <v>756</v>
      </c>
      <c r="G210" s="1327" t="s">
        <v>977</v>
      </c>
      <c r="H210" s="714" t="s">
        <v>828</v>
      </c>
      <c r="I210" s="714" t="s">
        <v>976</v>
      </c>
      <c r="J210" s="1321" t="s">
        <v>967</v>
      </c>
    </row>
    <row r="211" spans="1:10" x14ac:dyDescent="0.3">
      <c r="A211" s="1344" t="s">
        <v>926</v>
      </c>
      <c r="B211" s="1343" t="s">
        <v>927</v>
      </c>
      <c r="C211" s="1360" t="s">
        <v>827</v>
      </c>
      <c r="D211" s="1314" t="s">
        <v>975</v>
      </c>
      <c r="E211" s="1315">
        <v>210</v>
      </c>
      <c r="F211" s="1328">
        <v>5.1100000000000003</v>
      </c>
      <c r="G211" s="1327" t="s">
        <v>959</v>
      </c>
      <c r="H211" s="714" t="s">
        <v>828</v>
      </c>
      <c r="I211" s="714" t="s">
        <v>976</v>
      </c>
      <c r="J211" s="1321" t="s">
        <v>969</v>
      </c>
    </row>
    <row r="212" spans="1:10" x14ac:dyDescent="0.3">
      <c r="A212" s="1344" t="s">
        <v>929</v>
      </c>
      <c r="B212" s="1343" t="s">
        <v>826</v>
      </c>
      <c r="C212" s="1360" t="s">
        <v>827</v>
      </c>
      <c r="D212" s="1314" t="s">
        <v>975</v>
      </c>
      <c r="E212" s="1315">
        <v>211</v>
      </c>
      <c r="F212" s="1328">
        <v>5.12</v>
      </c>
      <c r="G212" s="1327" t="s">
        <v>850</v>
      </c>
      <c r="H212" s="714" t="s">
        <v>828</v>
      </c>
      <c r="I212" s="714" t="s">
        <v>976</v>
      </c>
      <c r="J212" s="1321">
        <v>10</v>
      </c>
    </row>
    <row r="213" spans="1:10" x14ac:dyDescent="0.3">
      <c r="A213" s="1342" t="s">
        <v>930</v>
      </c>
      <c r="B213" s="1343" t="s">
        <v>539</v>
      </c>
      <c r="C213" s="1360" t="s">
        <v>827</v>
      </c>
      <c r="D213" s="1314" t="s">
        <v>975</v>
      </c>
      <c r="E213" s="1315">
        <v>212</v>
      </c>
      <c r="F213" s="1328">
        <v>5.13</v>
      </c>
      <c r="G213" s="1327" t="s">
        <v>978</v>
      </c>
      <c r="H213" s="714" t="s">
        <v>828</v>
      </c>
      <c r="I213" s="714" t="s">
        <v>976</v>
      </c>
      <c r="J213" s="1321" t="s">
        <v>971</v>
      </c>
    </row>
    <row r="214" spans="1:10" x14ac:dyDescent="0.3">
      <c r="A214" s="1344" t="s">
        <v>931</v>
      </c>
      <c r="B214" s="1343" t="s">
        <v>539</v>
      </c>
      <c r="C214" s="1360" t="s">
        <v>827</v>
      </c>
      <c r="D214" s="1314" t="s">
        <v>975</v>
      </c>
      <c r="E214" s="1315">
        <v>213</v>
      </c>
      <c r="F214" s="1328">
        <v>6.1</v>
      </c>
      <c r="G214" s="1327" t="s">
        <v>826</v>
      </c>
      <c r="H214" s="714" t="s">
        <v>828</v>
      </c>
      <c r="I214" s="714" t="s">
        <v>976</v>
      </c>
      <c r="J214" s="1321" t="s">
        <v>829</v>
      </c>
    </row>
    <row r="215" spans="1:10" x14ac:dyDescent="0.3">
      <c r="A215" s="1342" t="s">
        <v>933</v>
      </c>
      <c r="B215" s="1343" t="s">
        <v>842</v>
      </c>
      <c r="C215" s="1360" t="s">
        <v>827</v>
      </c>
      <c r="D215" s="1314" t="s">
        <v>975</v>
      </c>
      <c r="E215" s="1315">
        <v>214</v>
      </c>
      <c r="F215" s="1328">
        <v>6.2</v>
      </c>
      <c r="G215" s="1327" t="s">
        <v>826</v>
      </c>
      <c r="H215" s="714" t="s">
        <v>828</v>
      </c>
      <c r="I215" s="714" t="s">
        <v>976</v>
      </c>
      <c r="J215" s="1321" t="s">
        <v>829</v>
      </c>
    </row>
    <row r="216" spans="1:10" x14ac:dyDescent="0.3">
      <c r="A216" s="1344">
        <v>7.5</v>
      </c>
      <c r="B216" s="1343" t="s">
        <v>826</v>
      </c>
      <c r="C216" s="1360" t="s">
        <v>827</v>
      </c>
      <c r="D216" s="1314" t="s">
        <v>975</v>
      </c>
      <c r="E216" s="1315">
        <v>215</v>
      </c>
      <c r="F216" s="1328">
        <v>6.3</v>
      </c>
      <c r="G216" s="1327" t="s">
        <v>870</v>
      </c>
      <c r="H216" s="714" t="s">
        <v>828</v>
      </c>
      <c r="I216" s="714" t="s">
        <v>976</v>
      </c>
      <c r="J216" s="1349" t="s">
        <v>871</v>
      </c>
    </row>
    <row r="217" spans="1:10" x14ac:dyDescent="0.3">
      <c r="A217" s="1344">
        <v>7.6</v>
      </c>
      <c r="B217" s="1343" t="s">
        <v>826</v>
      </c>
      <c r="C217" s="1360" t="s">
        <v>827</v>
      </c>
      <c r="D217" s="1314" t="s">
        <v>975</v>
      </c>
      <c r="E217" s="1315">
        <v>216</v>
      </c>
      <c r="F217" s="1328">
        <v>6.4</v>
      </c>
      <c r="G217" s="1327" t="s">
        <v>922</v>
      </c>
      <c r="H217" s="714" t="s">
        <v>828</v>
      </c>
      <c r="I217" s="714" t="s">
        <v>976</v>
      </c>
      <c r="J217" s="1321" t="s">
        <v>923</v>
      </c>
    </row>
    <row r="218" spans="1:10" x14ac:dyDescent="0.3">
      <c r="A218" s="1344">
        <v>7.7</v>
      </c>
      <c r="B218" s="1343" t="s">
        <v>826</v>
      </c>
      <c r="C218" s="1360" t="s">
        <v>827</v>
      </c>
      <c r="D218" s="1314" t="s">
        <v>975</v>
      </c>
      <c r="E218" s="1315">
        <v>217</v>
      </c>
      <c r="F218" s="1316" t="s">
        <v>766</v>
      </c>
      <c r="G218" s="1320" t="s">
        <v>835</v>
      </c>
      <c r="H218" s="740" t="s">
        <v>828</v>
      </c>
      <c r="I218" s="714" t="s">
        <v>976</v>
      </c>
      <c r="J218" s="1321" t="s">
        <v>855</v>
      </c>
    </row>
    <row r="219" spans="1:10" x14ac:dyDescent="0.3">
      <c r="A219" s="1344">
        <v>7.8</v>
      </c>
      <c r="B219" s="1343" t="s">
        <v>826</v>
      </c>
      <c r="C219" s="1360" t="s">
        <v>827</v>
      </c>
      <c r="D219" s="1314" t="s">
        <v>975</v>
      </c>
      <c r="E219" s="1315">
        <v>218</v>
      </c>
      <c r="F219" s="1316" t="s">
        <v>768</v>
      </c>
      <c r="G219" s="1320" t="s">
        <v>928</v>
      </c>
      <c r="H219" s="740" t="s">
        <v>828</v>
      </c>
      <c r="I219" s="714" t="s">
        <v>976</v>
      </c>
      <c r="J219" s="1321" t="s">
        <v>855</v>
      </c>
    </row>
    <row r="220" spans="1:10" x14ac:dyDescent="0.3">
      <c r="A220" s="1350" t="s">
        <v>936</v>
      </c>
      <c r="B220" s="1343" t="s">
        <v>539</v>
      </c>
      <c r="C220" s="1360" t="s">
        <v>827</v>
      </c>
      <c r="D220" s="1314" t="s">
        <v>975</v>
      </c>
      <c r="E220" s="1315">
        <v>219</v>
      </c>
      <c r="F220" s="1328">
        <v>6.6</v>
      </c>
      <c r="G220" s="1327" t="s">
        <v>833</v>
      </c>
      <c r="H220" s="714" t="s">
        <v>828</v>
      </c>
      <c r="I220" s="714" t="s">
        <v>976</v>
      </c>
      <c r="J220" s="1349" t="s">
        <v>834</v>
      </c>
    </row>
    <row r="221" spans="1:10" x14ac:dyDescent="0.3">
      <c r="A221" s="1344" t="s">
        <v>937</v>
      </c>
      <c r="B221" s="1343" t="s">
        <v>826</v>
      </c>
      <c r="C221" s="1360" t="s">
        <v>827</v>
      </c>
      <c r="D221" s="1314" t="s">
        <v>975</v>
      </c>
      <c r="E221" s="1315">
        <v>220</v>
      </c>
      <c r="F221" s="1328">
        <v>7.1</v>
      </c>
      <c r="G221" s="1327" t="s">
        <v>826</v>
      </c>
      <c r="H221" s="714" t="s">
        <v>828</v>
      </c>
      <c r="I221" s="714" t="s">
        <v>976</v>
      </c>
      <c r="J221" s="1321" t="s">
        <v>829</v>
      </c>
    </row>
    <row r="222" spans="1:10" x14ac:dyDescent="0.3">
      <c r="A222" s="1344" t="s">
        <v>938</v>
      </c>
      <c r="B222" s="1343" t="s">
        <v>826</v>
      </c>
      <c r="C222" s="1360" t="s">
        <v>827</v>
      </c>
      <c r="D222" s="1314" t="s">
        <v>975</v>
      </c>
      <c r="E222" s="1315">
        <v>221</v>
      </c>
      <c r="F222" s="1316" t="s">
        <v>774</v>
      </c>
      <c r="G222" s="1320" t="s">
        <v>932</v>
      </c>
      <c r="H222" s="740" t="s">
        <v>828</v>
      </c>
      <c r="I222" s="714" t="s">
        <v>976</v>
      </c>
      <c r="J222" s="1321" t="s">
        <v>865</v>
      </c>
    </row>
    <row r="223" spans="1:10" x14ac:dyDescent="0.3">
      <c r="A223" s="1344" t="s">
        <v>788</v>
      </c>
      <c r="B223" s="1343" t="s">
        <v>826</v>
      </c>
      <c r="C223" s="1360" t="s">
        <v>827</v>
      </c>
      <c r="D223" s="1314" t="s">
        <v>975</v>
      </c>
      <c r="E223" s="1315">
        <v>222</v>
      </c>
      <c r="F223" s="1316" t="s">
        <v>776</v>
      </c>
      <c r="G223" s="1320" t="s">
        <v>934</v>
      </c>
      <c r="H223" s="740" t="s">
        <v>828</v>
      </c>
      <c r="I223" s="714" t="s">
        <v>976</v>
      </c>
      <c r="J223" s="1321" t="s">
        <v>935</v>
      </c>
    </row>
    <row r="224" spans="1:10" x14ac:dyDescent="0.3">
      <c r="A224" s="1344">
        <v>7.11</v>
      </c>
      <c r="B224" s="1343" t="s">
        <v>826</v>
      </c>
      <c r="C224" s="1360" t="s">
        <v>827</v>
      </c>
      <c r="D224" s="1314" t="s">
        <v>975</v>
      </c>
      <c r="E224" s="1315">
        <v>223</v>
      </c>
      <c r="F224" s="1316" t="s">
        <v>777</v>
      </c>
      <c r="G224" s="1327" t="s">
        <v>539</v>
      </c>
      <c r="H224" s="740" t="s">
        <v>828</v>
      </c>
      <c r="I224" s="714" t="s">
        <v>976</v>
      </c>
      <c r="J224" s="1321" t="s">
        <v>539</v>
      </c>
    </row>
    <row r="225" spans="1:10" x14ac:dyDescent="0.3">
      <c r="A225" s="1344">
        <v>7.12</v>
      </c>
      <c r="B225" s="1343" t="s">
        <v>826</v>
      </c>
      <c r="C225" s="1360" t="s">
        <v>827</v>
      </c>
      <c r="D225" s="1314" t="s">
        <v>975</v>
      </c>
      <c r="E225" s="1315">
        <v>224</v>
      </c>
      <c r="F225" s="1316" t="s">
        <v>779</v>
      </c>
      <c r="G225" s="1327" t="s">
        <v>842</v>
      </c>
      <c r="H225" s="740" t="s">
        <v>828</v>
      </c>
      <c r="I225" s="714" t="s">
        <v>976</v>
      </c>
      <c r="J225" s="1321" t="s">
        <v>857</v>
      </c>
    </row>
    <row r="226" spans="1:10" x14ac:dyDescent="0.3">
      <c r="A226" s="1344">
        <v>7.13</v>
      </c>
      <c r="B226" s="1343" t="s">
        <v>939</v>
      </c>
      <c r="C226" s="1360" t="s">
        <v>827</v>
      </c>
      <c r="D226" s="1314" t="s">
        <v>975</v>
      </c>
      <c r="E226" s="1315">
        <v>225</v>
      </c>
      <c r="F226" s="1316" t="s">
        <v>780</v>
      </c>
      <c r="G226" s="1327" t="s">
        <v>539</v>
      </c>
      <c r="H226" s="740" t="s">
        <v>828</v>
      </c>
      <c r="I226" s="714" t="s">
        <v>976</v>
      </c>
      <c r="J226" s="1321" t="s">
        <v>539</v>
      </c>
    </row>
    <row r="227" spans="1:10" x14ac:dyDescent="0.3">
      <c r="A227" s="1344">
        <v>7.14</v>
      </c>
      <c r="B227" s="1343" t="s">
        <v>826</v>
      </c>
      <c r="C227" s="1360" t="s">
        <v>827</v>
      </c>
      <c r="D227" s="1314" t="s">
        <v>975</v>
      </c>
      <c r="E227" s="1315">
        <v>226</v>
      </c>
      <c r="F227" s="1316" t="s">
        <v>782</v>
      </c>
      <c r="G227" s="1327" t="s">
        <v>842</v>
      </c>
      <c r="H227" s="740" t="s">
        <v>828</v>
      </c>
      <c r="I227" s="714" t="s">
        <v>976</v>
      </c>
      <c r="J227" s="1321" t="s">
        <v>857</v>
      </c>
    </row>
    <row r="228" spans="1:10" x14ac:dyDescent="0.3">
      <c r="A228" s="1344">
        <v>7.15</v>
      </c>
      <c r="B228" s="1343" t="s">
        <v>826</v>
      </c>
      <c r="C228" s="1360" t="s">
        <v>827</v>
      </c>
      <c r="D228" s="1314" t="s">
        <v>975</v>
      </c>
      <c r="E228" s="1315">
        <v>227</v>
      </c>
      <c r="F228" s="1328">
        <v>7.5</v>
      </c>
      <c r="G228" s="1327" t="s">
        <v>826</v>
      </c>
      <c r="H228" s="714" t="s">
        <v>828</v>
      </c>
      <c r="I228" s="714" t="s">
        <v>976</v>
      </c>
      <c r="J228" s="1321" t="s">
        <v>829</v>
      </c>
    </row>
    <row r="229" spans="1:10" x14ac:dyDescent="0.3">
      <c r="A229" s="1344">
        <v>7.16</v>
      </c>
      <c r="B229" s="1343" t="s">
        <v>826</v>
      </c>
      <c r="C229" s="1360" t="s">
        <v>827</v>
      </c>
      <c r="D229" s="1314" t="s">
        <v>975</v>
      </c>
      <c r="E229" s="1315">
        <v>228</v>
      </c>
      <c r="F229" s="1328">
        <v>7.6</v>
      </c>
      <c r="G229" s="1327" t="s">
        <v>826</v>
      </c>
      <c r="H229" s="714" t="s">
        <v>828</v>
      </c>
      <c r="I229" s="714" t="s">
        <v>976</v>
      </c>
      <c r="J229" s="1321" t="s">
        <v>829</v>
      </c>
    </row>
    <row r="230" spans="1:10" x14ac:dyDescent="0.3">
      <c r="A230" s="1347">
        <v>7.17</v>
      </c>
      <c r="B230" s="1348" t="s">
        <v>890</v>
      </c>
      <c r="C230" s="1360" t="s">
        <v>827</v>
      </c>
      <c r="D230" s="1314" t="s">
        <v>975</v>
      </c>
      <c r="E230" s="1315">
        <v>229</v>
      </c>
      <c r="F230" s="1328">
        <v>7.7</v>
      </c>
      <c r="G230" s="1327" t="s">
        <v>826</v>
      </c>
      <c r="H230" s="714" t="s">
        <v>828</v>
      </c>
      <c r="I230" s="714" t="s">
        <v>976</v>
      </c>
      <c r="J230" s="1321" t="s">
        <v>829</v>
      </c>
    </row>
    <row r="231" spans="1:10" x14ac:dyDescent="0.3">
      <c r="A231" s="1340" t="s">
        <v>942</v>
      </c>
      <c r="B231" s="1341" t="s">
        <v>826</v>
      </c>
      <c r="C231" s="1360" t="s">
        <v>827</v>
      </c>
      <c r="D231" s="1314" t="s">
        <v>975</v>
      </c>
      <c r="E231" s="1315">
        <v>230</v>
      </c>
      <c r="F231" s="1328">
        <v>7.8</v>
      </c>
      <c r="G231" s="1327" t="s">
        <v>826</v>
      </c>
      <c r="H231" s="714" t="s">
        <v>828</v>
      </c>
      <c r="I231" s="714" t="s">
        <v>976</v>
      </c>
      <c r="J231" s="1321" t="s">
        <v>829</v>
      </c>
    </row>
    <row r="232" spans="1:10" x14ac:dyDescent="0.3">
      <c r="A232" s="1344" t="s">
        <v>943</v>
      </c>
      <c r="B232" s="1343" t="s">
        <v>826</v>
      </c>
      <c r="C232" s="1360" t="s">
        <v>827</v>
      </c>
      <c r="D232" s="1314" t="s">
        <v>975</v>
      </c>
      <c r="E232" s="1315">
        <v>231</v>
      </c>
      <c r="F232" s="1328">
        <v>7.9</v>
      </c>
      <c r="G232" s="1327" t="s">
        <v>826</v>
      </c>
      <c r="H232" s="714" t="s">
        <v>828</v>
      </c>
      <c r="I232" s="714" t="s">
        <v>976</v>
      </c>
      <c r="J232" s="1321" t="s">
        <v>829</v>
      </c>
    </row>
    <row r="233" spans="1:10" x14ac:dyDescent="0.3">
      <c r="A233" s="1344" t="s">
        <v>944</v>
      </c>
      <c r="B233" s="1343" t="s">
        <v>826</v>
      </c>
      <c r="C233" s="1360" t="s">
        <v>827</v>
      </c>
      <c r="D233" s="1314" t="s">
        <v>975</v>
      </c>
      <c r="E233" s="1315">
        <v>232</v>
      </c>
      <c r="F233" s="1332" t="s">
        <v>788</v>
      </c>
      <c r="G233" s="1327" t="s">
        <v>972</v>
      </c>
      <c r="H233" s="714" t="s">
        <v>828</v>
      </c>
      <c r="I233" s="714" t="s">
        <v>976</v>
      </c>
      <c r="J233" s="1321" t="s">
        <v>865</v>
      </c>
    </row>
    <row r="234" spans="1:10" x14ac:dyDescent="0.3">
      <c r="A234" s="1344" t="s">
        <v>945</v>
      </c>
      <c r="B234" s="1343" t="s">
        <v>890</v>
      </c>
      <c r="C234" s="1360" t="s">
        <v>827</v>
      </c>
      <c r="D234" s="1314" t="s">
        <v>975</v>
      </c>
      <c r="E234" s="1315">
        <v>233</v>
      </c>
      <c r="F234" s="1328">
        <v>7.11</v>
      </c>
      <c r="G234" s="1327" t="s">
        <v>826</v>
      </c>
      <c r="H234" s="714" t="s">
        <v>828</v>
      </c>
      <c r="I234" s="714" t="s">
        <v>976</v>
      </c>
      <c r="J234" s="1321" t="s">
        <v>829</v>
      </c>
    </row>
    <row r="235" spans="1:10" s="1030" customFormat="1" x14ac:dyDescent="0.3">
      <c r="A235" s="1351" t="s">
        <v>946</v>
      </c>
      <c r="B235" s="1352" t="s">
        <v>835</v>
      </c>
      <c r="C235" s="1375" t="s">
        <v>827</v>
      </c>
      <c r="D235" s="1333" t="s">
        <v>975</v>
      </c>
      <c r="E235" s="1315">
        <v>234</v>
      </c>
      <c r="F235" s="1338">
        <v>7.12</v>
      </c>
      <c r="G235" s="1376" t="s">
        <v>826</v>
      </c>
      <c r="H235" s="714" t="s">
        <v>828</v>
      </c>
      <c r="I235" s="714" t="s">
        <v>976</v>
      </c>
      <c r="J235" s="1353" t="s">
        <v>829</v>
      </c>
    </row>
    <row r="236" spans="1:10" x14ac:dyDescent="0.3">
      <c r="A236" s="1356">
        <v>1.1000000000000001</v>
      </c>
      <c r="B236" s="1357" t="s">
        <v>826</v>
      </c>
      <c r="C236" s="1377" t="s">
        <v>828</v>
      </c>
      <c r="D236" s="1314" t="s">
        <v>27</v>
      </c>
      <c r="E236" s="1315">
        <v>235</v>
      </c>
      <c r="F236" s="1316" t="s">
        <v>792</v>
      </c>
      <c r="G236" s="1374" t="s">
        <v>539</v>
      </c>
      <c r="H236" s="740" t="s">
        <v>828</v>
      </c>
      <c r="I236" s="714" t="s">
        <v>976</v>
      </c>
      <c r="J236" s="1359" t="s">
        <v>539</v>
      </c>
    </row>
    <row r="237" spans="1:10" x14ac:dyDescent="0.3">
      <c r="A237" s="1322">
        <v>1.2</v>
      </c>
      <c r="B237" s="1323" t="s">
        <v>830</v>
      </c>
      <c r="C237" s="1377" t="s">
        <v>828</v>
      </c>
      <c r="D237" s="1314" t="s">
        <v>27</v>
      </c>
      <c r="E237" s="1315">
        <v>236</v>
      </c>
      <c r="F237" s="1316" t="s">
        <v>794</v>
      </c>
      <c r="G237" s="1327" t="s">
        <v>973</v>
      </c>
      <c r="H237" s="740" t="s">
        <v>828</v>
      </c>
      <c r="I237" s="714" t="s">
        <v>976</v>
      </c>
      <c r="J237" s="1321" t="s">
        <v>539</v>
      </c>
    </row>
    <row r="238" spans="1:10" x14ac:dyDescent="0.3">
      <c r="A238" s="1324">
        <v>2.1</v>
      </c>
      <c r="B238" s="1319" t="s">
        <v>826</v>
      </c>
      <c r="C238" s="1377" t="s">
        <v>828</v>
      </c>
      <c r="D238" s="1314" t="s">
        <v>27</v>
      </c>
      <c r="E238" s="1315">
        <v>237</v>
      </c>
      <c r="F238" s="1328">
        <v>7.14</v>
      </c>
      <c r="G238" s="1327" t="s">
        <v>826</v>
      </c>
      <c r="H238" s="714" t="s">
        <v>828</v>
      </c>
      <c r="I238" s="714" t="s">
        <v>976</v>
      </c>
      <c r="J238" s="1321" t="s">
        <v>829</v>
      </c>
    </row>
    <row r="239" spans="1:10" x14ac:dyDescent="0.3">
      <c r="A239" s="1325">
        <v>2.2000000000000002</v>
      </c>
      <c r="B239" s="1326" t="s">
        <v>826</v>
      </c>
      <c r="C239" s="1377" t="s">
        <v>828</v>
      </c>
      <c r="D239" s="1314" t="s">
        <v>27</v>
      </c>
      <c r="E239" s="1315">
        <v>238</v>
      </c>
      <c r="F239" s="1328">
        <v>7.15</v>
      </c>
      <c r="G239" s="1327" t="s">
        <v>826</v>
      </c>
      <c r="H239" s="714" t="s">
        <v>828</v>
      </c>
      <c r="I239" s="714" t="s">
        <v>976</v>
      </c>
      <c r="J239" s="1321" t="s">
        <v>829</v>
      </c>
    </row>
    <row r="240" spans="1:10" x14ac:dyDescent="0.3">
      <c r="A240" s="1325">
        <v>2.2999999999999998</v>
      </c>
      <c r="B240" s="1326" t="s">
        <v>826</v>
      </c>
      <c r="C240" s="1377" t="s">
        <v>828</v>
      </c>
      <c r="D240" s="1314" t="s">
        <v>27</v>
      </c>
      <c r="E240" s="1315">
        <v>239</v>
      </c>
      <c r="F240" s="1328">
        <v>7.16</v>
      </c>
      <c r="G240" s="1327" t="s">
        <v>826</v>
      </c>
      <c r="H240" s="714" t="s">
        <v>828</v>
      </c>
      <c r="I240" s="714" t="s">
        <v>976</v>
      </c>
      <c r="J240" s="1321" t="s">
        <v>829</v>
      </c>
    </row>
    <row r="241" spans="1:10" x14ac:dyDescent="0.3">
      <c r="A241" s="1325">
        <v>2.4</v>
      </c>
      <c r="B241" s="1326" t="s">
        <v>838</v>
      </c>
      <c r="C241" s="1377" t="s">
        <v>828</v>
      </c>
      <c r="D241" s="1314" t="s">
        <v>27</v>
      </c>
      <c r="E241" s="1315">
        <v>240</v>
      </c>
      <c r="F241" s="1328">
        <v>7.17</v>
      </c>
      <c r="G241" s="1327" t="s">
        <v>826</v>
      </c>
      <c r="H241" s="714" t="s">
        <v>828</v>
      </c>
      <c r="I241" s="714" t="s">
        <v>976</v>
      </c>
      <c r="J241" s="1321" t="s">
        <v>829</v>
      </c>
    </row>
    <row r="242" spans="1:10" x14ac:dyDescent="0.3">
      <c r="A242" s="1325">
        <v>2.5</v>
      </c>
      <c r="B242" s="1326" t="s">
        <v>841</v>
      </c>
      <c r="C242" s="1377" t="s">
        <v>828</v>
      </c>
      <c r="D242" s="1314" t="s">
        <v>27</v>
      </c>
      <c r="E242" s="1315">
        <v>241</v>
      </c>
      <c r="F242" s="1316" t="s">
        <v>801</v>
      </c>
      <c r="G242" s="1327" t="s">
        <v>826</v>
      </c>
      <c r="H242" s="740" t="s">
        <v>828</v>
      </c>
      <c r="I242" s="714" t="s">
        <v>976</v>
      </c>
      <c r="J242" s="1321" t="s">
        <v>829</v>
      </c>
    </row>
    <row r="243" spans="1:10" x14ac:dyDescent="0.3">
      <c r="A243" s="1325">
        <v>2.6</v>
      </c>
      <c r="B243" s="1326" t="s">
        <v>842</v>
      </c>
      <c r="C243" s="1377" t="s">
        <v>828</v>
      </c>
      <c r="D243" s="1314" t="s">
        <v>27</v>
      </c>
      <c r="E243" s="1315">
        <v>242</v>
      </c>
      <c r="F243" s="1316" t="s">
        <v>803</v>
      </c>
      <c r="G243" s="1320" t="s">
        <v>890</v>
      </c>
      <c r="H243" s="740" t="s">
        <v>828</v>
      </c>
      <c r="I243" s="714" t="s">
        <v>976</v>
      </c>
      <c r="J243" s="1321" t="s">
        <v>891</v>
      </c>
    </row>
    <row r="244" spans="1:10" x14ac:dyDescent="0.3">
      <c r="A244" s="1329" t="s">
        <v>843</v>
      </c>
      <c r="B244" s="1326" t="s">
        <v>826</v>
      </c>
      <c r="C244" s="1377" t="s">
        <v>828</v>
      </c>
      <c r="D244" s="1314" t="s">
        <v>27</v>
      </c>
      <c r="E244" s="1315">
        <v>243</v>
      </c>
      <c r="F244" s="1328">
        <v>8.1999999999999993</v>
      </c>
      <c r="G244" s="1327" t="s">
        <v>948</v>
      </c>
      <c r="H244" s="714" t="s">
        <v>828</v>
      </c>
      <c r="I244" s="714" t="s">
        <v>976</v>
      </c>
      <c r="J244" s="1321" t="s">
        <v>949</v>
      </c>
    </row>
    <row r="245" spans="1:10" x14ac:dyDescent="0.3">
      <c r="A245" s="1325" t="s">
        <v>844</v>
      </c>
      <c r="B245" s="1326" t="s">
        <v>979</v>
      </c>
      <c r="C245" s="1377" t="s">
        <v>828</v>
      </c>
      <c r="D245" s="1314" t="s">
        <v>27</v>
      </c>
      <c r="E245" s="1315">
        <v>244</v>
      </c>
      <c r="F245" s="1328">
        <v>8.3000000000000007</v>
      </c>
      <c r="G245" s="1327" t="s">
        <v>826</v>
      </c>
      <c r="H245" s="714" t="s">
        <v>828</v>
      </c>
      <c r="I245" s="714" t="s">
        <v>976</v>
      </c>
      <c r="J245" s="1321" t="s">
        <v>829</v>
      </c>
    </row>
    <row r="246" spans="1:10" x14ac:dyDescent="0.3">
      <c r="A246" s="1325">
        <v>2.8</v>
      </c>
      <c r="B246" s="1326" t="s">
        <v>847</v>
      </c>
      <c r="C246" s="1377" t="s">
        <v>828</v>
      </c>
      <c r="D246" s="1314" t="s">
        <v>27</v>
      </c>
      <c r="E246" s="1315">
        <v>245</v>
      </c>
      <c r="F246" s="1328">
        <v>8.4</v>
      </c>
      <c r="G246" s="1327" t="s">
        <v>950</v>
      </c>
      <c r="H246" s="714" t="s">
        <v>828</v>
      </c>
      <c r="I246" s="714" t="s">
        <v>976</v>
      </c>
      <c r="J246" s="1321" t="s">
        <v>951</v>
      </c>
    </row>
    <row r="247" spans="1:10" ht="15" thickBot="1" x14ac:dyDescent="0.35">
      <c r="A247" s="1325">
        <v>2.9</v>
      </c>
      <c r="B247" s="1326" t="s">
        <v>850</v>
      </c>
      <c r="C247" s="1377" t="s">
        <v>828</v>
      </c>
      <c r="D247" s="1314" t="s">
        <v>27</v>
      </c>
      <c r="E247" s="1315">
        <v>246</v>
      </c>
      <c r="F247" s="1361">
        <v>8.5</v>
      </c>
      <c r="G247" s="1372" t="s">
        <v>826</v>
      </c>
      <c r="H247" s="1373" t="s">
        <v>828</v>
      </c>
      <c r="I247" s="714" t="s">
        <v>976</v>
      </c>
      <c r="J247" s="1364" t="s">
        <v>829</v>
      </c>
    </row>
    <row r="248" spans="1:10" ht="15" thickTop="1" x14ac:dyDescent="0.3">
      <c r="A248" s="1330" t="s">
        <v>709</v>
      </c>
      <c r="B248" s="1323" t="s">
        <v>842</v>
      </c>
      <c r="C248" s="1377" t="s">
        <v>828</v>
      </c>
      <c r="D248" s="1314" t="s">
        <v>27</v>
      </c>
      <c r="E248" s="1315">
        <v>247</v>
      </c>
      <c r="F248" s="1316" t="s">
        <v>685</v>
      </c>
      <c r="G248" s="1327" t="s">
        <v>826</v>
      </c>
      <c r="H248" s="378" t="s">
        <v>827</v>
      </c>
      <c r="I248" s="714" t="s">
        <v>27</v>
      </c>
      <c r="J248" s="1321" t="s">
        <v>829</v>
      </c>
    </row>
    <row r="249" spans="1:10" x14ac:dyDescent="0.3">
      <c r="A249" s="1324" t="s">
        <v>851</v>
      </c>
      <c r="B249" s="1319" t="s">
        <v>826</v>
      </c>
      <c r="C249" s="1377" t="s">
        <v>828</v>
      </c>
      <c r="D249" s="1314" t="s">
        <v>27</v>
      </c>
      <c r="E249" s="1315">
        <v>248</v>
      </c>
      <c r="F249" s="1316" t="s">
        <v>687</v>
      </c>
      <c r="G249" s="1320" t="s">
        <v>831</v>
      </c>
      <c r="H249" s="378" t="s">
        <v>827</v>
      </c>
      <c r="I249" s="714" t="s">
        <v>27</v>
      </c>
      <c r="J249" s="1321" t="s">
        <v>832</v>
      </c>
    </row>
    <row r="250" spans="1:10" x14ac:dyDescent="0.3">
      <c r="A250" s="1325" t="s">
        <v>854</v>
      </c>
      <c r="B250" s="1326" t="s">
        <v>826</v>
      </c>
      <c r="C250" s="1377" t="s">
        <v>828</v>
      </c>
      <c r="D250" s="1314" t="s">
        <v>27</v>
      </c>
      <c r="E250" s="1315">
        <v>249</v>
      </c>
      <c r="F250" s="1328">
        <v>1.2</v>
      </c>
      <c r="G250" s="1327" t="s">
        <v>953</v>
      </c>
      <c r="H250" s="378" t="s">
        <v>827</v>
      </c>
      <c r="I250" s="714" t="s">
        <v>27</v>
      </c>
      <c r="J250" s="1321" t="s">
        <v>834</v>
      </c>
    </row>
    <row r="251" spans="1:10" x14ac:dyDescent="0.3">
      <c r="A251" s="1325" t="s">
        <v>715</v>
      </c>
      <c r="B251" s="1331" t="s">
        <v>856</v>
      </c>
      <c r="C251" s="1377" t="s">
        <v>828</v>
      </c>
      <c r="D251" s="1314" t="s">
        <v>27</v>
      </c>
      <c r="E251" s="1315">
        <v>250</v>
      </c>
      <c r="F251" s="1316" t="s">
        <v>690</v>
      </c>
      <c r="G251" s="1327" t="s">
        <v>826</v>
      </c>
      <c r="H251" s="378" t="s">
        <v>827</v>
      </c>
      <c r="I251" s="714" t="s">
        <v>27</v>
      </c>
      <c r="J251" s="1321" t="s">
        <v>829</v>
      </c>
    </row>
    <row r="252" spans="1:10" x14ac:dyDescent="0.3">
      <c r="A252" s="1325" t="s">
        <v>716</v>
      </c>
      <c r="B252" s="1326" t="s">
        <v>838</v>
      </c>
      <c r="C252" s="1377" t="s">
        <v>828</v>
      </c>
      <c r="D252" s="1314" t="s">
        <v>27</v>
      </c>
      <c r="E252" s="1315">
        <v>251</v>
      </c>
      <c r="F252" s="1316" t="s">
        <v>692</v>
      </c>
      <c r="G252" s="1327" t="s">
        <v>836</v>
      </c>
      <c r="H252" s="378" t="s">
        <v>827</v>
      </c>
      <c r="I252" s="714" t="s">
        <v>27</v>
      </c>
      <c r="J252" s="1321" t="s">
        <v>837</v>
      </c>
    </row>
    <row r="253" spans="1:10" x14ac:dyDescent="0.3">
      <c r="A253" s="1325" t="s">
        <v>717</v>
      </c>
      <c r="B253" s="1326" t="s">
        <v>858</v>
      </c>
      <c r="C253" s="1377" t="s">
        <v>828</v>
      </c>
      <c r="D253" s="1314" t="s">
        <v>27</v>
      </c>
      <c r="E253" s="1315">
        <v>252</v>
      </c>
      <c r="F253" s="1328">
        <v>1.4</v>
      </c>
      <c r="G253" s="1327" t="s">
        <v>839</v>
      </c>
      <c r="H253" s="378" t="s">
        <v>827</v>
      </c>
      <c r="I253" s="714" t="s">
        <v>27</v>
      </c>
      <c r="J253" s="1321" t="s">
        <v>840</v>
      </c>
    </row>
    <row r="254" spans="1:10" x14ac:dyDescent="0.3">
      <c r="A254" s="1325" t="s">
        <v>859</v>
      </c>
      <c r="B254" s="1331" t="s">
        <v>860</v>
      </c>
      <c r="C254" s="1377" t="s">
        <v>828</v>
      </c>
      <c r="D254" s="1314" t="s">
        <v>27</v>
      </c>
      <c r="E254" s="1315">
        <v>253</v>
      </c>
      <c r="F254" s="1328">
        <v>2.1</v>
      </c>
      <c r="G254" s="1327" t="s">
        <v>826</v>
      </c>
      <c r="H254" s="378" t="s">
        <v>827</v>
      </c>
      <c r="I254" s="714" t="s">
        <v>27</v>
      </c>
      <c r="J254" s="1321" t="s">
        <v>829</v>
      </c>
    </row>
    <row r="255" spans="1:10" x14ac:dyDescent="0.3">
      <c r="A255" s="1325" t="s">
        <v>861</v>
      </c>
      <c r="B255" s="1326" t="s">
        <v>862</v>
      </c>
      <c r="C255" s="1377" t="s">
        <v>828</v>
      </c>
      <c r="D255" s="1314" t="s">
        <v>27</v>
      </c>
      <c r="E255" s="1315">
        <v>254</v>
      </c>
      <c r="F255" s="1328">
        <v>2.2000000000000002</v>
      </c>
      <c r="G255" s="1327" t="s">
        <v>835</v>
      </c>
      <c r="H255" s="378" t="s">
        <v>827</v>
      </c>
      <c r="I255" s="714" t="s">
        <v>27</v>
      </c>
      <c r="J255" s="1321">
        <v>2</v>
      </c>
    </row>
    <row r="256" spans="1:10" x14ac:dyDescent="0.3">
      <c r="A256" s="1325" t="s">
        <v>866</v>
      </c>
      <c r="B256" s="1323" t="s">
        <v>826</v>
      </c>
      <c r="C256" s="1377" t="s">
        <v>828</v>
      </c>
      <c r="D256" s="1314" t="s">
        <v>27</v>
      </c>
      <c r="E256" s="1315">
        <v>255</v>
      </c>
      <c r="F256" s="1328">
        <v>2.2999999999999998</v>
      </c>
      <c r="G256" s="1327" t="s">
        <v>826</v>
      </c>
      <c r="H256" s="378" t="s">
        <v>827</v>
      </c>
      <c r="I256" s="714" t="s">
        <v>27</v>
      </c>
      <c r="J256" s="1321" t="s">
        <v>829</v>
      </c>
    </row>
    <row r="257" spans="1:10" x14ac:dyDescent="0.3">
      <c r="A257" s="1334" t="s">
        <v>868</v>
      </c>
      <c r="B257" s="1335" t="s">
        <v>826</v>
      </c>
      <c r="C257" s="1377" t="s">
        <v>828</v>
      </c>
      <c r="D257" s="1314" t="s">
        <v>27</v>
      </c>
      <c r="E257" s="1315">
        <v>256</v>
      </c>
      <c r="F257" s="1328">
        <v>2.4</v>
      </c>
      <c r="G257" s="1320" t="s">
        <v>838</v>
      </c>
      <c r="H257" s="378" t="s">
        <v>827</v>
      </c>
      <c r="I257" s="714" t="s">
        <v>27</v>
      </c>
      <c r="J257" s="1321" t="s">
        <v>846</v>
      </c>
    </row>
    <row r="258" spans="1:10" x14ac:dyDescent="0.3">
      <c r="A258" s="1336" t="s">
        <v>872</v>
      </c>
      <c r="B258" s="1337" t="s">
        <v>862</v>
      </c>
      <c r="C258" s="1377" t="s">
        <v>828</v>
      </c>
      <c r="D258" s="1314" t="s">
        <v>27</v>
      </c>
      <c r="E258" s="1315">
        <v>257</v>
      </c>
      <c r="F258" s="1328">
        <v>2.5</v>
      </c>
      <c r="G258" s="1320" t="s">
        <v>848</v>
      </c>
      <c r="H258" s="378" t="s">
        <v>827</v>
      </c>
      <c r="I258" s="714" t="s">
        <v>27</v>
      </c>
      <c r="J258" s="1321" t="s">
        <v>849</v>
      </c>
    </row>
    <row r="259" spans="1:10" x14ac:dyDescent="0.3">
      <c r="A259" s="1336" t="s">
        <v>874</v>
      </c>
      <c r="B259" s="1339" t="s">
        <v>875</v>
      </c>
      <c r="C259" s="1377" t="s">
        <v>828</v>
      </c>
      <c r="D259" s="1314" t="s">
        <v>27</v>
      </c>
      <c r="E259" s="1315">
        <v>258</v>
      </c>
      <c r="F259" s="1328">
        <v>2.6</v>
      </c>
      <c r="G259" s="1327" t="s">
        <v>826</v>
      </c>
      <c r="H259" s="378" t="s">
        <v>827</v>
      </c>
      <c r="I259" s="714" t="s">
        <v>27</v>
      </c>
      <c r="J259" s="1321" t="s">
        <v>829</v>
      </c>
    </row>
    <row r="260" spans="1:10" x14ac:dyDescent="0.3">
      <c r="A260" s="1340" t="s">
        <v>878</v>
      </c>
      <c r="B260" s="1341" t="s">
        <v>826</v>
      </c>
      <c r="C260" s="1377" t="s">
        <v>828</v>
      </c>
      <c r="D260" s="1314" t="s">
        <v>27</v>
      </c>
      <c r="E260" s="1315">
        <v>259</v>
      </c>
      <c r="F260" s="1316" t="s">
        <v>703</v>
      </c>
      <c r="G260" s="1327" t="s">
        <v>539</v>
      </c>
      <c r="H260" s="378" t="s">
        <v>827</v>
      </c>
      <c r="I260" s="714" t="s">
        <v>27</v>
      </c>
      <c r="J260" s="1321" t="s">
        <v>539</v>
      </c>
    </row>
    <row r="261" spans="1:10" x14ac:dyDescent="0.3">
      <c r="A261" s="1342" t="s">
        <v>879</v>
      </c>
      <c r="B261" s="1343" t="s">
        <v>539</v>
      </c>
      <c r="C261" s="1377" t="s">
        <v>828</v>
      </c>
      <c r="D261" s="1314" t="s">
        <v>27</v>
      </c>
      <c r="E261" s="1315">
        <v>260</v>
      </c>
      <c r="F261" s="1316" t="s">
        <v>705</v>
      </c>
      <c r="G261" s="1327" t="s">
        <v>980</v>
      </c>
      <c r="H261" s="1030" t="s">
        <v>827</v>
      </c>
      <c r="I261" s="714" t="s">
        <v>27</v>
      </c>
      <c r="J261" s="1321" t="s">
        <v>981</v>
      </c>
    </row>
    <row r="262" spans="1:10" x14ac:dyDescent="0.3">
      <c r="A262" s="1344" t="s">
        <v>880</v>
      </c>
      <c r="B262" s="1343" t="s">
        <v>881</v>
      </c>
      <c r="C262" s="1377" t="s">
        <v>828</v>
      </c>
      <c r="D262" s="1314" t="s">
        <v>27</v>
      </c>
      <c r="E262" s="1315">
        <v>261</v>
      </c>
      <c r="F262" s="1328">
        <v>2.8</v>
      </c>
      <c r="G262" s="1327" t="s">
        <v>955</v>
      </c>
      <c r="H262" s="378" t="s">
        <v>827</v>
      </c>
      <c r="I262" s="714" t="s">
        <v>27</v>
      </c>
      <c r="J262" s="1321" t="s">
        <v>956</v>
      </c>
    </row>
    <row r="263" spans="1:10" x14ac:dyDescent="0.3">
      <c r="A263" s="1342" t="s">
        <v>884</v>
      </c>
      <c r="B263" s="1343" t="s">
        <v>539</v>
      </c>
      <c r="C263" s="1377" t="s">
        <v>828</v>
      </c>
      <c r="D263" s="1314" t="s">
        <v>27</v>
      </c>
      <c r="E263" s="1315">
        <v>262</v>
      </c>
      <c r="F263" s="1328">
        <v>2.9</v>
      </c>
      <c r="G263" s="1327" t="s">
        <v>838</v>
      </c>
      <c r="H263" s="378" t="s">
        <v>827</v>
      </c>
      <c r="I263" s="714" t="s">
        <v>27</v>
      </c>
      <c r="J263" s="1321" t="s">
        <v>846</v>
      </c>
    </row>
    <row r="264" spans="1:10" x14ac:dyDescent="0.3">
      <c r="A264" s="1344" t="s">
        <v>885</v>
      </c>
      <c r="B264" s="1343" t="s">
        <v>826</v>
      </c>
      <c r="C264" s="1377" t="s">
        <v>828</v>
      </c>
      <c r="D264" s="1314" t="s">
        <v>27</v>
      </c>
      <c r="E264" s="1315">
        <v>263</v>
      </c>
      <c r="F264" s="1332" t="s">
        <v>709</v>
      </c>
      <c r="G264" s="1327" t="s">
        <v>842</v>
      </c>
      <c r="H264" s="378" t="s">
        <v>827</v>
      </c>
      <c r="I264" s="714" t="s">
        <v>27</v>
      </c>
      <c r="J264" s="1321" t="s">
        <v>857</v>
      </c>
    </row>
    <row r="265" spans="1:10" x14ac:dyDescent="0.3">
      <c r="A265" s="1344" t="s">
        <v>888</v>
      </c>
      <c r="B265" s="1345" t="s">
        <v>889</v>
      </c>
      <c r="C265" s="1377" t="s">
        <v>828</v>
      </c>
      <c r="D265" s="1314" t="s">
        <v>27</v>
      </c>
      <c r="E265" s="1315">
        <v>264</v>
      </c>
      <c r="F265" s="1328">
        <v>3.1</v>
      </c>
      <c r="G265" s="1327" t="s">
        <v>826</v>
      </c>
      <c r="H265" s="378" t="s">
        <v>827</v>
      </c>
      <c r="I265" s="714" t="s">
        <v>27</v>
      </c>
      <c r="J265" s="1321" t="s">
        <v>829</v>
      </c>
    </row>
    <row r="266" spans="1:10" x14ac:dyDescent="0.3">
      <c r="A266" s="1344" t="s">
        <v>892</v>
      </c>
      <c r="B266" s="1343" t="s">
        <v>842</v>
      </c>
      <c r="C266" s="1377" t="s">
        <v>828</v>
      </c>
      <c r="D266" s="1314" t="s">
        <v>27</v>
      </c>
      <c r="E266" s="1315">
        <v>265</v>
      </c>
      <c r="F266" s="1328">
        <v>3.2</v>
      </c>
      <c r="G266" s="1327" t="s">
        <v>826</v>
      </c>
      <c r="H266" s="378" t="s">
        <v>827</v>
      </c>
      <c r="I266" s="714" t="s">
        <v>27</v>
      </c>
      <c r="J266" s="1321" t="s">
        <v>829</v>
      </c>
    </row>
    <row r="267" spans="1:10" x14ac:dyDescent="0.3">
      <c r="A267" s="1344" t="s">
        <v>893</v>
      </c>
      <c r="B267" s="1343" t="s">
        <v>826</v>
      </c>
      <c r="C267" s="1377" t="s">
        <v>828</v>
      </c>
      <c r="D267" s="1314" t="s">
        <v>27</v>
      </c>
      <c r="E267" s="1315">
        <v>266</v>
      </c>
      <c r="F267" s="1316" t="s">
        <v>863</v>
      </c>
      <c r="G267" s="1320" t="s">
        <v>864</v>
      </c>
      <c r="H267" s="1030" t="s">
        <v>827</v>
      </c>
      <c r="I267" s="714" t="s">
        <v>27</v>
      </c>
      <c r="J267" s="1321" t="s">
        <v>865</v>
      </c>
    </row>
    <row r="268" spans="1:10" x14ac:dyDescent="0.3">
      <c r="A268" s="1344" t="s">
        <v>894</v>
      </c>
      <c r="B268" s="1343" t="s">
        <v>826</v>
      </c>
      <c r="C268" s="1377" t="s">
        <v>828</v>
      </c>
      <c r="D268" s="1314" t="s">
        <v>27</v>
      </c>
      <c r="E268" s="1315">
        <v>267</v>
      </c>
      <c r="F268" s="1316" t="s">
        <v>867</v>
      </c>
      <c r="G268" s="1320" t="s">
        <v>838</v>
      </c>
      <c r="H268" s="1030" t="s">
        <v>827</v>
      </c>
      <c r="I268" s="714" t="s">
        <v>27</v>
      </c>
      <c r="J268" s="1321" t="s">
        <v>846</v>
      </c>
    </row>
    <row r="269" spans="1:10" x14ac:dyDescent="0.3">
      <c r="A269" s="1342" t="s">
        <v>897</v>
      </c>
      <c r="B269" s="1343" t="s">
        <v>539</v>
      </c>
      <c r="C269" s="1377" t="s">
        <v>828</v>
      </c>
      <c r="D269" s="1314" t="s">
        <v>27</v>
      </c>
      <c r="E269" s="1315">
        <v>268</v>
      </c>
      <c r="F269" s="1316" t="s">
        <v>869</v>
      </c>
      <c r="G269" s="1327" t="s">
        <v>870</v>
      </c>
      <c r="H269" s="1030" t="s">
        <v>827</v>
      </c>
      <c r="I269" s="714" t="s">
        <v>27</v>
      </c>
      <c r="J269" s="1321" t="s">
        <v>871</v>
      </c>
    </row>
    <row r="270" spans="1:10" x14ac:dyDescent="0.3">
      <c r="A270" s="1344" t="s">
        <v>898</v>
      </c>
      <c r="B270" s="1343" t="s">
        <v>899</v>
      </c>
      <c r="C270" s="1377" t="s">
        <v>828</v>
      </c>
      <c r="D270" s="1314" t="s">
        <v>27</v>
      </c>
      <c r="E270" s="1315">
        <v>269</v>
      </c>
      <c r="F270" s="1328">
        <v>3.4</v>
      </c>
      <c r="G270" s="1327" t="s">
        <v>873</v>
      </c>
      <c r="H270" s="378" t="s">
        <v>827</v>
      </c>
      <c r="I270" s="714" t="s">
        <v>27</v>
      </c>
      <c r="J270" s="1321" t="s">
        <v>865</v>
      </c>
    </row>
    <row r="271" spans="1:10" x14ac:dyDescent="0.3">
      <c r="A271" s="1344" t="s">
        <v>902</v>
      </c>
      <c r="B271" s="1343" t="s">
        <v>903</v>
      </c>
      <c r="C271" s="1377" t="s">
        <v>828</v>
      </c>
      <c r="D271" s="1314" t="s">
        <v>27</v>
      </c>
      <c r="E271" s="1315">
        <v>270</v>
      </c>
      <c r="F271" s="1328">
        <v>3.5</v>
      </c>
      <c r="G271" s="1320" t="s">
        <v>876</v>
      </c>
      <c r="H271" s="378" t="s">
        <v>827</v>
      </c>
      <c r="I271" s="714" t="s">
        <v>27</v>
      </c>
      <c r="J271" s="1321" t="s">
        <v>877</v>
      </c>
    </row>
    <row r="272" spans="1:10" x14ac:dyDescent="0.3">
      <c r="A272" s="1344" t="s">
        <v>905</v>
      </c>
      <c r="B272" s="1343" t="s">
        <v>906</v>
      </c>
      <c r="C272" s="1377" t="s">
        <v>828</v>
      </c>
      <c r="D272" s="1314" t="s">
        <v>27</v>
      </c>
      <c r="E272" s="1315">
        <v>271</v>
      </c>
      <c r="F272" s="1328">
        <v>3.6</v>
      </c>
      <c r="G272" s="1327" t="s">
        <v>826</v>
      </c>
      <c r="H272" s="378" t="s">
        <v>827</v>
      </c>
      <c r="I272" s="714" t="s">
        <v>27</v>
      </c>
      <c r="J272" s="1321" t="s">
        <v>829</v>
      </c>
    </row>
    <row r="273" spans="1:10" x14ac:dyDescent="0.3">
      <c r="A273" s="1344" t="s">
        <v>907</v>
      </c>
      <c r="B273" s="1343" t="s">
        <v>826</v>
      </c>
      <c r="C273" s="1377" t="s">
        <v>828</v>
      </c>
      <c r="D273" s="1314" t="s">
        <v>27</v>
      </c>
      <c r="E273" s="1315">
        <v>272</v>
      </c>
      <c r="F273" s="1316" t="s">
        <v>724</v>
      </c>
      <c r="G273" s="1327" t="s">
        <v>826</v>
      </c>
      <c r="H273" s="1030" t="s">
        <v>827</v>
      </c>
      <c r="I273" s="714" t="s">
        <v>27</v>
      </c>
      <c r="J273" s="1321" t="s">
        <v>829</v>
      </c>
    </row>
    <row r="274" spans="1:10" x14ac:dyDescent="0.3">
      <c r="A274" s="1344" t="s">
        <v>756</v>
      </c>
      <c r="B274" s="1343" t="s">
        <v>908</v>
      </c>
      <c r="C274" s="1377" t="s">
        <v>828</v>
      </c>
      <c r="D274" s="1314" t="s">
        <v>27</v>
      </c>
      <c r="E274" s="1315">
        <v>273</v>
      </c>
      <c r="F274" s="1316" t="s">
        <v>726</v>
      </c>
      <c r="G274" s="1327" t="s">
        <v>882</v>
      </c>
      <c r="H274" s="1030" t="s">
        <v>827</v>
      </c>
      <c r="I274" s="714" t="s">
        <v>27</v>
      </c>
      <c r="J274" s="1321" t="s">
        <v>883</v>
      </c>
    </row>
    <row r="275" spans="1:10" x14ac:dyDescent="0.3">
      <c r="A275" s="1344">
        <v>5.1100000000000003</v>
      </c>
      <c r="B275" s="1343" t="s">
        <v>539</v>
      </c>
      <c r="C275" s="1377" t="s">
        <v>828</v>
      </c>
      <c r="D275" s="1314" t="s">
        <v>27</v>
      </c>
      <c r="E275" s="1315">
        <v>274</v>
      </c>
      <c r="F275" s="1328">
        <v>4.2</v>
      </c>
      <c r="G275" s="1327" t="s">
        <v>835</v>
      </c>
      <c r="H275" s="378" t="s">
        <v>827</v>
      </c>
      <c r="I275" s="714" t="s">
        <v>27</v>
      </c>
      <c r="J275" s="1321" t="s">
        <v>855</v>
      </c>
    </row>
    <row r="276" spans="1:10" x14ac:dyDescent="0.3">
      <c r="A276" s="1344">
        <v>5.12</v>
      </c>
      <c r="B276" s="1343" t="s">
        <v>539</v>
      </c>
      <c r="C276" s="1377" t="s">
        <v>828</v>
      </c>
      <c r="D276" s="1314" t="s">
        <v>27</v>
      </c>
      <c r="E276" s="1315">
        <v>275</v>
      </c>
      <c r="F276" s="1328">
        <v>4.3</v>
      </c>
      <c r="G276" s="1320" t="s">
        <v>886</v>
      </c>
      <c r="H276" s="378" t="s">
        <v>827</v>
      </c>
      <c r="I276" s="714" t="s">
        <v>27</v>
      </c>
      <c r="J276" s="1321" t="s">
        <v>887</v>
      </c>
    </row>
    <row r="277" spans="1:10" x14ac:dyDescent="0.3">
      <c r="A277" s="1347">
        <v>5.13</v>
      </c>
      <c r="B277" s="1348" t="s">
        <v>539</v>
      </c>
      <c r="C277" s="1377" t="s">
        <v>828</v>
      </c>
      <c r="D277" s="1314" t="s">
        <v>27</v>
      </c>
      <c r="E277" s="1315">
        <v>276</v>
      </c>
      <c r="F277" s="1328">
        <v>4.4000000000000004</v>
      </c>
      <c r="G277" s="1320" t="s">
        <v>890</v>
      </c>
      <c r="H277" s="378" t="s">
        <v>827</v>
      </c>
      <c r="I277" s="714" t="s">
        <v>27</v>
      </c>
      <c r="J277" s="1321" t="s">
        <v>891</v>
      </c>
    </row>
    <row r="278" spans="1:10" x14ac:dyDescent="0.3">
      <c r="A278" s="1340" t="s">
        <v>910</v>
      </c>
      <c r="B278" s="1341" t="s">
        <v>826</v>
      </c>
      <c r="C278" s="1377" t="s">
        <v>828</v>
      </c>
      <c r="D278" s="1314" t="s">
        <v>27</v>
      </c>
      <c r="E278" s="1315">
        <v>277</v>
      </c>
      <c r="F278" s="1316" t="s">
        <v>733</v>
      </c>
      <c r="G278" s="1327" t="s">
        <v>826</v>
      </c>
      <c r="H278" s="1030" t="s">
        <v>827</v>
      </c>
      <c r="I278" s="714" t="s">
        <v>27</v>
      </c>
      <c r="J278" s="1321" t="s">
        <v>829</v>
      </c>
    </row>
    <row r="279" spans="1:10" x14ac:dyDescent="0.3">
      <c r="A279" s="1344" t="s">
        <v>911</v>
      </c>
      <c r="B279" s="1343" t="s">
        <v>826</v>
      </c>
      <c r="C279" s="1377" t="s">
        <v>828</v>
      </c>
      <c r="D279" s="1314" t="s">
        <v>27</v>
      </c>
      <c r="E279" s="1315">
        <v>278</v>
      </c>
      <c r="F279" s="1316" t="s">
        <v>735</v>
      </c>
      <c r="G279" s="1327" t="s">
        <v>539</v>
      </c>
      <c r="H279" s="1030" t="s">
        <v>827</v>
      </c>
      <c r="I279" s="714" t="s">
        <v>27</v>
      </c>
      <c r="J279" s="1321" t="s">
        <v>539</v>
      </c>
    </row>
    <row r="280" spans="1:10" x14ac:dyDescent="0.3">
      <c r="A280" s="1344" t="s">
        <v>912</v>
      </c>
      <c r="B280" s="1343" t="s">
        <v>858</v>
      </c>
      <c r="C280" s="1377" t="s">
        <v>828</v>
      </c>
      <c r="D280" s="1314" t="s">
        <v>27</v>
      </c>
      <c r="E280" s="1315">
        <v>279</v>
      </c>
      <c r="F280" s="1316" t="s">
        <v>737</v>
      </c>
      <c r="G280" s="1346" t="s">
        <v>895</v>
      </c>
      <c r="H280" s="1030" t="s">
        <v>827</v>
      </c>
      <c r="I280" s="714" t="s">
        <v>27</v>
      </c>
      <c r="J280" s="1321" t="s">
        <v>896</v>
      </c>
    </row>
    <row r="281" spans="1:10" x14ac:dyDescent="0.3">
      <c r="A281" s="1344" t="s">
        <v>913</v>
      </c>
      <c r="B281" s="1343" t="s">
        <v>914</v>
      </c>
      <c r="C281" s="1377" t="s">
        <v>828</v>
      </c>
      <c r="D281" s="1314" t="s">
        <v>27</v>
      </c>
      <c r="E281" s="1315">
        <v>280</v>
      </c>
      <c r="F281" s="1316" t="s">
        <v>739</v>
      </c>
      <c r="G281" s="1327" t="s">
        <v>539</v>
      </c>
      <c r="H281" s="1030" t="s">
        <v>827</v>
      </c>
      <c r="I281" s="714" t="s">
        <v>27</v>
      </c>
      <c r="J281" s="1321" t="s">
        <v>539</v>
      </c>
    </row>
    <row r="282" spans="1:10" x14ac:dyDescent="0.3">
      <c r="A282" s="1344" t="s">
        <v>915</v>
      </c>
      <c r="B282" s="1343" t="s">
        <v>858</v>
      </c>
      <c r="C282" s="1377" t="s">
        <v>828</v>
      </c>
      <c r="D282" s="1314" t="s">
        <v>27</v>
      </c>
      <c r="E282" s="1315">
        <v>281</v>
      </c>
      <c r="F282" s="1328">
        <v>5.3</v>
      </c>
      <c r="G282" s="1320" t="s">
        <v>900</v>
      </c>
      <c r="H282" s="378" t="s">
        <v>827</v>
      </c>
      <c r="I282" s="714" t="s">
        <v>27</v>
      </c>
      <c r="J282" s="1321" t="s">
        <v>901</v>
      </c>
    </row>
    <row r="283" spans="1:10" x14ac:dyDescent="0.3">
      <c r="A283" s="1344" t="s">
        <v>916</v>
      </c>
      <c r="B283" s="1343" t="s">
        <v>858</v>
      </c>
      <c r="C283" s="1377" t="s">
        <v>828</v>
      </c>
      <c r="D283" s="1314" t="s">
        <v>27</v>
      </c>
      <c r="E283" s="1315">
        <v>282</v>
      </c>
      <c r="F283" s="1328">
        <v>5.4</v>
      </c>
      <c r="G283" s="1327" t="s">
        <v>904</v>
      </c>
      <c r="H283" s="378" t="s">
        <v>827</v>
      </c>
      <c r="I283" s="714" t="s">
        <v>27</v>
      </c>
      <c r="J283" s="1321" t="s">
        <v>865</v>
      </c>
    </row>
    <row r="284" spans="1:10" x14ac:dyDescent="0.3">
      <c r="A284" s="1344" t="s">
        <v>917</v>
      </c>
      <c r="B284" s="1343" t="s">
        <v>838</v>
      </c>
      <c r="C284" s="1377" t="s">
        <v>828</v>
      </c>
      <c r="D284" s="1314" t="s">
        <v>27</v>
      </c>
      <c r="E284" s="1315">
        <v>283</v>
      </c>
      <c r="F284" s="1328">
        <v>5.5</v>
      </c>
      <c r="G284" s="1320" t="s">
        <v>842</v>
      </c>
      <c r="H284" s="378" t="s">
        <v>827</v>
      </c>
      <c r="I284" s="714" t="s">
        <v>27</v>
      </c>
      <c r="J284" s="1321" t="s">
        <v>857</v>
      </c>
    </row>
    <row r="285" spans="1:10" x14ac:dyDescent="0.3">
      <c r="A285" s="1344" t="s">
        <v>918</v>
      </c>
      <c r="B285" s="1343" t="s">
        <v>838</v>
      </c>
      <c r="C285" s="1377" t="s">
        <v>828</v>
      </c>
      <c r="D285" s="1314" t="s">
        <v>27</v>
      </c>
      <c r="E285" s="1315">
        <v>284</v>
      </c>
      <c r="F285" s="1328">
        <v>5.6</v>
      </c>
      <c r="G285" s="1320" t="s">
        <v>826</v>
      </c>
      <c r="H285" s="378" t="s">
        <v>827</v>
      </c>
      <c r="I285" s="714" t="s">
        <v>27</v>
      </c>
      <c r="J285" s="1321" t="s">
        <v>829</v>
      </c>
    </row>
    <row r="286" spans="1:10" x14ac:dyDescent="0.3">
      <c r="A286" s="1347" t="s">
        <v>919</v>
      </c>
      <c r="B286" s="1348" t="s">
        <v>920</v>
      </c>
      <c r="C286" s="1377" t="s">
        <v>828</v>
      </c>
      <c r="D286" s="1314" t="s">
        <v>27</v>
      </c>
      <c r="E286" s="1315">
        <v>285</v>
      </c>
      <c r="F286" s="1316" t="s">
        <v>745</v>
      </c>
      <c r="G286" s="1327" t="s">
        <v>826</v>
      </c>
      <c r="H286" s="1030" t="s">
        <v>827</v>
      </c>
      <c r="I286" s="714" t="s">
        <v>27</v>
      </c>
      <c r="J286" s="1321" t="s">
        <v>829</v>
      </c>
    </row>
    <row r="287" spans="1:10" x14ac:dyDescent="0.3">
      <c r="A287" s="1340" t="s">
        <v>921</v>
      </c>
      <c r="B287" s="1341" t="s">
        <v>826</v>
      </c>
      <c r="C287" s="1377" t="s">
        <v>828</v>
      </c>
      <c r="D287" s="1314" t="s">
        <v>27</v>
      </c>
      <c r="E287" s="1315">
        <v>286</v>
      </c>
      <c r="F287" s="1316" t="s">
        <v>747</v>
      </c>
      <c r="G287" s="1327" t="s">
        <v>539</v>
      </c>
      <c r="H287" s="1030" t="s">
        <v>827</v>
      </c>
      <c r="I287" s="714" t="s">
        <v>27</v>
      </c>
      <c r="J287" s="1321" t="s">
        <v>539</v>
      </c>
    </row>
    <row r="288" spans="1:10" x14ac:dyDescent="0.3">
      <c r="A288" s="1344" t="s">
        <v>924</v>
      </c>
      <c r="B288" s="1345" t="s">
        <v>925</v>
      </c>
      <c r="C288" s="1377" t="s">
        <v>828</v>
      </c>
      <c r="D288" s="1314" t="s">
        <v>27</v>
      </c>
      <c r="E288" s="1315">
        <v>287</v>
      </c>
      <c r="F288" s="1316" t="s">
        <v>749</v>
      </c>
      <c r="G288" s="1327" t="s">
        <v>539</v>
      </c>
      <c r="H288" s="1030" t="s">
        <v>827</v>
      </c>
      <c r="I288" s="714" t="s">
        <v>27</v>
      </c>
      <c r="J288" s="1321" t="s">
        <v>539</v>
      </c>
    </row>
    <row r="289" spans="1:10" x14ac:dyDescent="0.3">
      <c r="A289" s="1344" t="s">
        <v>926</v>
      </c>
      <c r="B289" s="1343" t="s">
        <v>927</v>
      </c>
      <c r="C289" s="1377" t="s">
        <v>828</v>
      </c>
      <c r="D289" s="1314" t="s">
        <v>27</v>
      </c>
      <c r="E289" s="1315">
        <v>288</v>
      </c>
      <c r="F289" s="1316" t="s">
        <v>751</v>
      </c>
      <c r="G289" s="1320" t="s">
        <v>903</v>
      </c>
      <c r="H289" s="1030" t="s">
        <v>827</v>
      </c>
      <c r="I289" s="714" t="s">
        <v>27</v>
      </c>
      <c r="J289" s="1321" t="s">
        <v>909</v>
      </c>
    </row>
    <row r="290" spans="1:10" x14ac:dyDescent="0.3">
      <c r="A290" s="1344" t="s">
        <v>929</v>
      </c>
      <c r="B290" s="1343" t="s">
        <v>826</v>
      </c>
      <c r="C290" s="1377" t="s">
        <v>828</v>
      </c>
      <c r="D290" s="1314" t="s">
        <v>27</v>
      </c>
      <c r="E290" s="1315">
        <v>289</v>
      </c>
      <c r="F290" s="1316" t="s">
        <v>753</v>
      </c>
      <c r="G290" s="1327" t="s">
        <v>539</v>
      </c>
      <c r="H290" s="1030" t="s">
        <v>827</v>
      </c>
      <c r="I290" s="714" t="s">
        <v>27</v>
      </c>
      <c r="J290" s="1321" t="s">
        <v>539</v>
      </c>
    </row>
    <row r="291" spans="1:10" x14ac:dyDescent="0.3">
      <c r="A291" s="1342" t="s">
        <v>930</v>
      </c>
      <c r="B291" s="1343" t="s">
        <v>539</v>
      </c>
      <c r="C291" s="1377" t="s">
        <v>828</v>
      </c>
      <c r="D291" s="1314" t="s">
        <v>27</v>
      </c>
      <c r="E291" s="1315">
        <v>290</v>
      </c>
      <c r="F291" s="1328">
        <v>5.9</v>
      </c>
      <c r="G291" s="1327" t="s">
        <v>826</v>
      </c>
      <c r="H291" s="378" t="s">
        <v>827</v>
      </c>
      <c r="I291" s="714" t="s">
        <v>27</v>
      </c>
      <c r="J291" s="1321" t="s">
        <v>829</v>
      </c>
    </row>
    <row r="292" spans="1:10" x14ac:dyDescent="0.3">
      <c r="A292" s="1344" t="s">
        <v>931</v>
      </c>
      <c r="B292" s="1343" t="s">
        <v>826</v>
      </c>
      <c r="C292" s="1377" t="s">
        <v>828</v>
      </c>
      <c r="D292" s="1314" t="s">
        <v>27</v>
      </c>
      <c r="E292" s="1315">
        <v>291</v>
      </c>
      <c r="F292" s="1332" t="s">
        <v>756</v>
      </c>
      <c r="G292" s="1327" t="s">
        <v>539</v>
      </c>
      <c r="H292" s="378" t="s">
        <v>827</v>
      </c>
      <c r="I292" s="714" t="s">
        <v>27</v>
      </c>
      <c r="J292" s="1321" t="s">
        <v>539</v>
      </c>
    </row>
    <row r="293" spans="1:10" x14ac:dyDescent="0.3">
      <c r="A293" s="1342" t="s">
        <v>933</v>
      </c>
      <c r="B293" s="1343" t="s">
        <v>539</v>
      </c>
      <c r="C293" s="1377" t="s">
        <v>828</v>
      </c>
      <c r="D293" s="1314" t="s">
        <v>27</v>
      </c>
      <c r="E293" s="1315">
        <v>292</v>
      </c>
      <c r="F293" s="1328">
        <v>5.1100000000000003</v>
      </c>
      <c r="G293" s="1327" t="s">
        <v>539</v>
      </c>
      <c r="H293" s="378" t="s">
        <v>827</v>
      </c>
      <c r="I293" s="714" t="s">
        <v>27</v>
      </c>
      <c r="J293" s="1321" t="s">
        <v>539</v>
      </c>
    </row>
    <row r="294" spans="1:10" x14ac:dyDescent="0.3">
      <c r="A294" s="1344">
        <v>7.5</v>
      </c>
      <c r="B294" s="1343" t="s">
        <v>826</v>
      </c>
      <c r="C294" s="1377" t="s">
        <v>828</v>
      </c>
      <c r="D294" s="1314" t="s">
        <v>27</v>
      </c>
      <c r="E294" s="1315">
        <v>293</v>
      </c>
      <c r="F294" s="1328">
        <v>5.12</v>
      </c>
      <c r="G294" s="1327" t="s">
        <v>539</v>
      </c>
      <c r="H294" s="378" t="s">
        <v>827</v>
      </c>
      <c r="I294" s="714" t="s">
        <v>27</v>
      </c>
      <c r="J294" s="1321" t="s">
        <v>539</v>
      </c>
    </row>
    <row r="295" spans="1:10" x14ac:dyDescent="0.3">
      <c r="A295" s="1344">
        <v>7.6</v>
      </c>
      <c r="B295" s="1343" t="s">
        <v>826</v>
      </c>
      <c r="C295" s="1377" t="s">
        <v>828</v>
      </c>
      <c r="D295" s="1314" t="s">
        <v>27</v>
      </c>
      <c r="E295" s="1315">
        <v>294</v>
      </c>
      <c r="F295" s="1328">
        <v>5.13</v>
      </c>
      <c r="G295" s="1327" t="s">
        <v>539</v>
      </c>
      <c r="H295" s="378" t="s">
        <v>827</v>
      </c>
      <c r="I295" s="714" t="s">
        <v>27</v>
      </c>
      <c r="J295" s="1321" t="s">
        <v>539</v>
      </c>
    </row>
    <row r="296" spans="1:10" x14ac:dyDescent="0.3">
      <c r="A296" s="1344">
        <v>7.7</v>
      </c>
      <c r="B296" s="1343" t="s">
        <v>826</v>
      </c>
      <c r="C296" s="1377" t="s">
        <v>828</v>
      </c>
      <c r="D296" s="1314" t="s">
        <v>27</v>
      </c>
      <c r="E296" s="1315">
        <v>295</v>
      </c>
      <c r="F296" s="1328">
        <v>6.1</v>
      </c>
      <c r="G296" s="1327" t="s">
        <v>826</v>
      </c>
      <c r="H296" s="378" t="s">
        <v>827</v>
      </c>
      <c r="I296" s="714" t="s">
        <v>27</v>
      </c>
      <c r="J296" s="1321" t="s">
        <v>829</v>
      </c>
    </row>
    <row r="297" spans="1:10" x14ac:dyDescent="0.3">
      <c r="A297" s="1344">
        <v>7.8</v>
      </c>
      <c r="B297" s="1343" t="s">
        <v>826</v>
      </c>
      <c r="C297" s="1377" t="s">
        <v>828</v>
      </c>
      <c r="D297" s="1314" t="s">
        <v>27</v>
      </c>
      <c r="E297" s="1315">
        <v>296</v>
      </c>
      <c r="F297" s="1328">
        <v>6.2</v>
      </c>
      <c r="G297" s="1327" t="s">
        <v>826</v>
      </c>
      <c r="H297" s="378" t="s">
        <v>827</v>
      </c>
      <c r="I297" s="714" t="s">
        <v>27</v>
      </c>
      <c r="J297" s="1321" t="s">
        <v>829</v>
      </c>
    </row>
    <row r="298" spans="1:10" x14ac:dyDescent="0.3">
      <c r="A298" s="1350" t="s">
        <v>936</v>
      </c>
      <c r="B298" s="1343" t="s">
        <v>826</v>
      </c>
      <c r="C298" s="1377" t="s">
        <v>828</v>
      </c>
      <c r="D298" s="1314" t="s">
        <v>27</v>
      </c>
      <c r="E298" s="1315">
        <v>297</v>
      </c>
      <c r="F298" s="1328">
        <v>6.3</v>
      </c>
      <c r="G298" s="1327" t="s">
        <v>870</v>
      </c>
      <c r="H298" s="378" t="s">
        <v>827</v>
      </c>
      <c r="I298" s="714" t="s">
        <v>27</v>
      </c>
      <c r="J298" s="1349" t="s">
        <v>871</v>
      </c>
    </row>
    <row r="299" spans="1:10" x14ac:dyDescent="0.3">
      <c r="A299" s="1344" t="s">
        <v>937</v>
      </c>
      <c r="B299" s="1343" t="s">
        <v>826</v>
      </c>
      <c r="C299" s="1377" t="s">
        <v>828</v>
      </c>
      <c r="D299" s="1314" t="s">
        <v>27</v>
      </c>
      <c r="E299" s="1315">
        <v>298</v>
      </c>
      <c r="F299" s="1328">
        <v>6.4</v>
      </c>
      <c r="G299" s="1327" t="s">
        <v>922</v>
      </c>
      <c r="H299" s="378" t="s">
        <v>827</v>
      </c>
      <c r="I299" s="714" t="s">
        <v>27</v>
      </c>
      <c r="J299" s="1321" t="s">
        <v>923</v>
      </c>
    </row>
    <row r="300" spans="1:10" x14ac:dyDescent="0.3">
      <c r="A300" s="1344" t="s">
        <v>938</v>
      </c>
      <c r="B300" s="1343" t="s">
        <v>826</v>
      </c>
      <c r="C300" s="1377" t="s">
        <v>828</v>
      </c>
      <c r="D300" s="1314" t="s">
        <v>27</v>
      </c>
      <c r="E300" s="1315">
        <v>299</v>
      </c>
      <c r="F300" s="1316" t="s">
        <v>766</v>
      </c>
      <c r="G300" s="1320" t="s">
        <v>835</v>
      </c>
      <c r="H300" s="1030" t="s">
        <v>827</v>
      </c>
      <c r="I300" s="714" t="s">
        <v>27</v>
      </c>
      <c r="J300" s="1321" t="s">
        <v>855</v>
      </c>
    </row>
    <row r="301" spans="1:10" x14ac:dyDescent="0.3">
      <c r="A301" s="1344" t="s">
        <v>788</v>
      </c>
      <c r="B301" s="1343" t="s">
        <v>826</v>
      </c>
      <c r="C301" s="1377" t="s">
        <v>828</v>
      </c>
      <c r="D301" s="1314" t="s">
        <v>27</v>
      </c>
      <c r="E301" s="1315">
        <v>300</v>
      </c>
      <c r="F301" s="1316" t="s">
        <v>768</v>
      </c>
      <c r="G301" s="1320" t="s">
        <v>928</v>
      </c>
      <c r="H301" s="1030" t="s">
        <v>827</v>
      </c>
      <c r="I301" s="714" t="s">
        <v>27</v>
      </c>
      <c r="J301" s="1321" t="s">
        <v>855</v>
      </c>
    </row>
    <row r="302" spans="1:10" x14ac:dyDescent="0.3">
      <c r="A302" s="1344">
        <v>7.11</v>
      </c>
      <c r="B302" s="1343" t="s">
        <v>826</v>
      </c>
      <c r="C302" s="1377" t="s">
        <v>828</v>
      </c>
      <c r="D302" s="1314" t="s">
        <v>27</v>
      </c>
      <c r="E302" s="1315">
        <v>301</v>
      </c>
      <c r="F302" s="1328">
        <v>6.6</v>
      </c>
      <c r="G302" s="1327" t="s">
        <v>833</v>
      </c>
      <c r="H302" s="378" t="s">
        <v>827</v>
      </c>
      <c r="I302" s="714" t="s">
        <v>27</v>
      </c>
      <c r="J302" s="1349" t="s">
        <v>834</v>
      </c>
    </row>
    <row r="303" spans="1:10" x14ac:dyDescent="0.3">
      <c r="A303" s="1344">
        <v>7.12</v>
      </c>
      <c r="B303" s="1343" t="s">
        <v>826</v>
      </c>
      <c r="C303" s="1377" t="s">
        <v>828</v>
      </c>
      <c r="D303" s="1314" t="s">
        <v>27</v>
      </c>
      <c r="E303" s="1315">
        <v>302</v>
      </c>
      <c r="F303" s="1328">
        <v>7.1</v>
      </c>
      <c r="G303" s="1327" t="s">
        <v>826</v>
      </c>
      <c r="H303" s="378" t="s">
        <v>827</v>
      </c>
      <c r="I303" s="714" t="s">
        <v>27</v>
      </c>
      <c r="J303" s="1321" t="s">
        <v>829</v>
      </c>
    </row>
    <row r="304" spans="1:10" x14ac:dyDescent="0.3">
      <c r="A304" s="1344">
        <v>7.13</v>
      </c>
      <c r="B304" s="1343" t="s">
        <v>939</v>
      </c>
      <c r="C304" s="1377" t="s">
        <v>828</v>
      </c>
      <c r="D304" s="1314" t="s">
        <v>27</v>
      </c>
      <c r="E304" s="1315">
        <v>303</v>
      </c>
      <c r="F304" s="1316" t="s">
        <v>774</v>
      </c>
      <c r="G304" s="1320" t="s">
        <v>932</v>
      </c>
      <c r="H304" s="1030" t="s">
        <v>827</v>
      </c>
      <c r="I304" s="714" t="s">
        <v>27</v>
      </c>
      <c r="J304" s="1321" t="s">
        <v>865</v>
      </c>
    </row>
    <row r="305" spans="1:10" x14ac:dyDescent="0.3">
      <c r="A305" s="1344">
        <v>7.14</v>
      </c>
      <c r="B305" s="1343" t="s">
        <v>826</v>
      </c>
      <c r="C305" s="1377" t="s">
        <v>828</v>
      </c>
      <c r="D305" s="1314" t="s">
        <v>27</v>
      </c>
      <c r="E305" s="1315">
        <v>304</v>
      </c>
      <c r="F305" s="1316" t="s">
        <v>776</v>
      </c>
      <c r="G305" s="1320" t="s">
        <v>934</v>
      </c>
      <c r="H305" s="1030" t="s">
        <v>827</v>
      </c>
      <c r="I305" s="714" t="s">
        <v>27</v>
      </c>
      <c r="J305" s="1321" t="s">
        <v>935</v>
      </c>
    </row>
    <row r="306" spans="1:10" x14ac:dyDescent="0.3">
      <c r="A306" s="1344">
        <v>7.15</v>
      </c>
      <c r="B306" s="1343" t="s">
        <v>826</v>
      </c>
      <c r="C306" s="1377" t="s">
        <v>828</v>
      </c>
      <c r="D306" s="1314" t="s">
        <v>27</v>
      </c>
      <c r="E306" s="1315">
        <v>305</v>
      </c>
      <c r="F306" s="1316" t="s">
        <v>777</v>
      </c>
      <c r="G306" s="1320" t="s">
        <v>826</v>
      </c>
      <c r="H306" s="1030" t="s">
        <v>827</v>
      </c>
      <c r="I306" s="714" t="s">
        <v>27</v>
      </c>
      <c r="J306" s="1321" t="s">
        <v>829</v>
      </c>
    </row>
    <row r="307" spans="1:10" x14ac:dyDescent="0.3">
      <c r="A307" s="1344">
        <v>7.16</v>
      </c>
      <c r="B307" s="1343" t="s">
        <v>826</v>
      </c>
      <c r="C307" s="1377" t="s">
        <v>828</v>
      </c>
      <c r="D307" s="1314" t="s">
        <v>27</v>
      </c>
      <c r="E307" s="1315">
        <v>306</v>
      </c>
      <c r="F307" s="1316" t="s">
        <v>779</v>
      </c>
      <c r="G307" s="1327" t="s">
        <v>539</v>
      </c>
      <c r="H307" s="1030" t="s">
        <v>827</v>
      </c>
      <c r="I307" s="714" t="s">
        <v>27</v>
      </c>
      <c r="J307" s="1321" t="s">
        <v>539</v>
      </c>
    </row>
    <row r="308" spans="1:10" x14ac:dyDescent="0.3">
      <c r="A308" s="1347">
        <v>7.17</v>
      </c>
      <c r="B308" s="1348" t="s">
        <v>890</v>
      </c>
      <c r="C308" s="1377" t="s">
        <v>828</v>
      </c>
      <c r="D308" s="1314" t="s">
        <v>27</v>
      </c>
      <c r="E308" s="1315">
        <v>307</v>
      </c>
      <c r="F308" s="1316" t="s">
        <v>780</v>
      </c>
      <c r="G308" s="1327" t="s">
        <v>826</v>
      </c>
      <c r="H308" s="1030" t="s">
        <v>827</v>
      </c>
      <c r="I308" s="714" t="s">
        <v>27</v>
      </c>
      <c r="J308" s="1321" t="s">
        <v>829</v>
      </c>
    </row>
    <row r="309" spans="1:10" x14ac:dyDescent="0.3">
      <c r="A309" s="1340" t="s">
        <v>942</v>
      </c>
      <c r="B309" s="1341" t="s">
        <v>826</v>
      </c>
      <c r="C309" s="1377" t="s">
        <v>828</v>
      </c>
      <c r="D309" s="1314" t="s">
        <v>27</v>
      </c>
      <c r="E309" s="1315">
        <v>308</v>
      </c>
      <c r="F309" s="1316" t="s">
        <v>782</v>
      </c>
      <c r="G309" s="1327" t="s">
        <v>539</v>
      </c>
      <c r="H309" s="1030" t="s">
        <v>827</v>
      </c>
      <c r="I309" s="714" t="s">
        <v>27</v>
      </c>
      <c r="J309" s="1321" t="s">
        <v>539</v>
      </c>
    </row>
    <row r="310" spans="1:10" x14ac:dyDescent="0.3">
      <c r="A310" s="1344" t="s">
        <v>943</v>
      </c>
      <c r="B310" s="1343" t="s">
        <v>826</v>
      </c>
      <c r="C310" s="1377" t="s">
        <v>828</v>
      </c>
      <c r="D310" s="1314" t="s">
        <v>27</v>
      </c>
      <c r="E310" s="1315">
        <v>309</v>
      </c>
      <c r="F310" s="1328">
        <v>7.5</v>
      </c>
      <c r="G310" s="1327" t="s">
        <v>826</v>
      </c>
      <c r="H310" s="378" t="s">
        <v>827</v>
      </c>
      <c r="I310" s="714" t="s">
        <v>27</v>
      </c>
      <c r="J310" s="1321" t="s">
        <v>829</v>
      </c>
    </row>
    <row r="311" spans="1:10" x14ac:dyDescent="0.3">
      <c r="A311" s="1344" t="s">
        <v>944</v>
      </c>
      <c r="B311" s="1343" t="s">
        <v>826</v>
      </c>
      <c r="C311" s="1377" t="s">
        <v>828</v>
      </c>
      <c r="D311" s="1314" t="s">
        <v>27</v>
      </c>
      <c r="E311" s="1315">
        <v>310</v>
      </c>
      <c r="F311" s="1328">
        <v>7.6</v>
      </c>
      <c r="G311" s="1327" t="s">
        <v>826</v>
      </c>
      <c r="H311" s="378" t="s">
        <v>827</v>
      </c>
      <c r="I311" s="714" t="s">
        <v>27</v>
      </c>
      <c r="J311" s="1321" t="s">
        <v>829</v>
      </c>
    </row>
    <row r="312" spans="1:10" x14ac:dyDescent="0.3">
      <c r="A312" s="1344" t="s">
        <v>945</v>
      </c>
      <c r="B312" s="1343" t="s">
        <v>890</v>
      </c>
      <c r="C312" s="1377" t="s">
        <v>828</v>
      </c>
      <c r="D312" s="1314" t="s">
        <v>27</v>
      </c>
      <c r="E312" s="1315">
        <v>311</v>
      </c>
      <c r="F312" s="1328">
        <v>7.7</v>
      </c>
      <c r="G312" s="1327" t="s">
        <v>826</v>
      </c>
      <c r="H312" s="378" t="s">
        <v>827</v>
      </c>
      <c r="I312" s="714" t="s">
        <v>27</v>
      </c>
      <c r="J312" s="1321" t="s">
        <v>829</v>
      </c>
    </row>
    <row r="313" spans="1:10" x14ac:dyDescent="0.3">
      <c r="A313" s="1344" t="s">
        <v>946</v>
      </c>
      <c r="B313" s="1343" t="s">
        <v>835</v>
      </c>
      <c r="C313" s="1377" t="s">
        <v>828</v>
      </c>
      <c r="D313" s="1314" t="s">
        <v>27</v>
      </c>
      <c r="E313" s="1315">
        <v>312</v>
      </c>
      <c r="F313" s="1328">
        <v>7.8</v>
      </c>
      <c r="G313" s="1327" t="s">
        <v>826</v>
      </c>
      <c r="H313" s="378" t="s">
        <v>827</v>
      </c>
      <c r="I313" s="714" t="s">
        <v>27</v>
      </c>
      <c r="J313" s="1321" t="s">
        <v>829</v>
      </c>
    </row>
    <row r="314" spans="1:10" x14ac:dyDescent="0.3">
      <c r="A314" s="1356">
        <v>1.1000000000000001</v>
      </c>
      <c r="B314" s="1357" t="s">
        <v>826</v>
      </c>
      <c r="C314" s="1377" t="s">
        <v>828</v>
      </c>
      <c r="D314" s="1314" t="s">
        <v>947</v>
      </c>
      <c r="E314" s="1315">
        <v>313</v>
      </c>
      <c r="F314" s="1328">
        <v>7.9</v>
      </c>
      <c r="G314" s="1327" t="s">
        <v>826</v>
      </c>
      <c r="H314" s="378" t="s">
        <v>827</v>
      </c>
      <c r="I314" s="714" t="s">
        <v>27</v>
      </c>
      <c r="J314" s="1321" t="s">
        <v>829</v>
      </c>
    </row>
    <row r="315" spans="1:10" x14ac:dyDescent="0.3">
      <c r="A315" s="1322">
        <v>1.2</v>
      </c>
      <c r="B315" s="1323" t="s">
        <v>830</v>
      </c>
      <c r="C315" s="1377" t="s">
        <v>828</v>
      </c>
      <c r="D315" s="1314" t="s">
        <v>947</v>
      </c>
      <c r="E315" s="1315">
        <v>314</v>
      </c>
      <c r="F315" s="1332" t="s">
        <v>788</v>
      </c>
      <c r="G315" s="1320" t="s">
        <v>826</v>
      </c>
      <c r="H315" s="378" t="s">
        <v>827</v>
      </c>
      <c r="I315" s="714" t="s">
        <v>27</v>
      </c>
      <c r="J315" s="1321" t="s">
        <v>829</v>
      </c>
    </row>
    <row r="316" spans="1:10" x14ac:dyDescent="0.3">
      <c r="A316" s="1324">
        <v>2.1</v>
      </c>
      <c r="B316" s="1319" t="s">
        <v>826</v>
      </c>
      <c r="C316" s="1377" t="s">
        <v>828</v>
      </c>
      <c r="D316" s="1314" t="s">
        <v>947</v>
      </c>
      <c r="E316" s="1315">
        <v>315</v>
      </c>
      <c r="F316" s="1328">
        <v>7.11</v>
      </c>
      <c r="G316" s="1327" t="s">
        <v>826</v>
      </c>
      <c r="H316" s="378" t="s">
        <v>827</v>
      </c>
      <c r="I316" s="714" t="s">
        <v>27</v>
      </c>
      <c r="J316" s="1321" t="s">
        <v>829</v>
      </c>
    </row>
    <row r="317" spans="1:10" x14ac:dyDescent="0.3">
      <c r="A317" s="1325">
        <v>2.2000000000000002</v>
      </c>
      <c r="B317" s="1326" t="s">
        <v>539</v>
      </c>
      <c r="C317" s="1377" t="s">
        <v>828</v>
      </c>
      <c r="D317" s="1314" t="s">
        <v>947</v>
      </c>
      <c r="E317" s="1315">
        <v>316</v>
      </c>
      <c r="F317" s="1328">
        <v>7.12</v>
      </c>
      <c r="G317" s="1327" t="s">
        <v>826</v>
      </c>
      <c r="H317" s="378" t="s">
        <v>827</v>
      </c>
      <c r="I317" s="714" t="s">
        <v>27</v>
      </c>
      <c r="J317" s="1321" t="s">
        <v>829</v>
      </c>
    </row>
    <row r="318" spans="1:10" x14ac:dyDescent="0.3">
      <c r="A318" s="1325">
        <v>2.2999999999999998</v>
      </c>
      <c r="B318" s="1326" t="s">
        <v>826</v>
      </c>
      <c r="C318" s="1377" t="s">
        <v>828</v>
      </c>
      <c r="D318" s="1314" t="s">
        <v>947</v>
      </c>
      <c r="E318" s="1315">
        <v>317</v>
      </c>
      <c r="F318" s="1316" t="s">
        <v>792</v>
      </c>
      <c r="G318" s="1327" t="s">
        <v>826</v>
      </c>
      <c r="H318" s="1030" t="s">
        <v>827</v>
      </c>
      <c r="I318" s="714" t="s">
        <v>27</v>
      </c>
      <c r="J318" s="1321" t="s">
        <v>829</v>
      </c>
    </row>
    <row r="319" spans="1:10" x14ac:dyDescent="0.3">
      <c r="A319" s="1325">
        <v>2.4</v>
      </c>
      <c r="B319" s="1326" t="s">
        <v>838</v>
      </c>
      <c r="C319" s="1377" t="s">
        <v>828</v>
      </c>
      <c r="D319" s="1314" t="s">
        <v>947</v>
      </c>
      <c r="E319" s="1315">
        <v>318</v>
      </c>
      <c r="F319" s="1316" t="s">
        <v>794</v>
      </c>
      <c r="G319" s="1327" t="s">
        <v>940</v>
      </c>
      <c r="H319" s="1030" t="s">
        <v>827</v>
      </c>
      <c r="I319" s="714" t="s">
        <v>27</v>
      </c>
      <c r="J319" s="1321" t="s">
        <v>941</v>
      </c>
    </row>
    <row r="320" spans="1:10" x14ac:dyDescent="0.3">
      <c r="A320" s="1325">
        <v>2.5</v>
      </c>
      <c r="B320" s="1326" t="s">
        <v>890</v>
      </c>
      <c r="C320" s="1377" t="s">
        <v>828</v>
      </c>
      <c r="D320" s="1314" t="s">
        <v>947</v>
      </c>
      <c r="E320" s="1315">
        <v>319</v>
      </c>
      <c r="F320" s="1328">
        <v>7.14</v>
      </c>
      <c r="G320" s="1327" t="s">
        <v>826</v>
      </c>
      <c r="H320" s="378" t="s">
        <v>827</v>
      </c>
      <c r="I320" s="714" t="s">
        <v>27</v>
      </c>
      <c r="J320" s="1321" t="s">
        <v>829</v>
      </c>
    </row>
    <row r="321" spans="1:10" x14ac:dyDescent="0.3">
      <c r="A321" s="1325">
        <v>2.6</v>
      </c>
      <c r="B321" s="1326" t="s">
        <v>842</v>
      </c>
      <c r="C321" s="1377" t="s">
        <v>828</v>
      </c>
      <c r="D321" s="1314" t="s">
        <v>947</v>
      </c>
      <c r="E321" s="1315">
        <v>320</v>
      </c>
      <c r="F321" s="1328">
        <v>7.15</v>
      </c>
      <c r="G321" s="1327" t="s">
        <v>826</v>
      </c>
      <c r="H321" s="378" t="s">
        <v>827</v>
      </c>
      <c r="I321" s="714" t="s">
        <v>27</v>
      </c>
      <c r="J321" s="1321" t="s">
        <v>829</v>
      </c>
    </row>
    <row r="322" spans="1:10" x14ac:dyDescent="0.3">
      <c r="A322" s="1329" t="s">
        <v>843</v>
      </c>
      <c r="B322" s="1326" t="s">
        <v>826</v>
      </c>
      <c r="C322" s="1377" t="s">
        <v>828</v>
      </c>
      <c r="D322" s="1314" t="s">
        <v>947</v>
      </c>
      <c r="E322" s="1315">
        <v>321</v>
      </c>
      <c r="F322" s="1328">
        <v>7.16</v>
      </c>
      <c r="G322" s="1327" t="s">
        <v>826</v>
      </c>
      <c r="H322" s="378" t="s">
        <v>827</v>
      </c>
      <c r="I322" s="714" t="s">
        <v>27</v>
      </c>
      <c r="J322" s="1321" t="s">
        <v>829</v>
      </c>
    </row>
    <row r="323" spans="1:10" x14ac:dyDescent="0.3">
      <c r="A323" s="1325" t="s">
        <v>844</v>
      </c>
      <c r="B323" s="1326" t="s">
        <v>979</v>
      </c>
      <c r="C323" s="1377" t="s">
        <v>828</v>
      </c>
      <c r="D323" s="1314" t="s">
        <v>947</v>
      </c>
      <c r="E323" s="1315">
        <v>322</v>
      </c>
      <c r="F323" s="1328">
        <v>7.17</v>
      </c>
      <c r="G323" s="1327" t="s">
        <v>826</v>
      </c>
      <c r="H323" s="378" t="s">
        <v>827</v>
      </c>
      <c r="I323" s="714" t="s">
        <v>27</v>
      </c>
      <c r="J323" s="1321" t="s">
        <v>829</v>
      </c>
    </row>
    <row r="324" spans="1:10" x14ac:dyDescent="0.3">
      <c r="A324" s="1325">
        <v>2.8</v>
      </c>
      <c r="B324" s="1326" t="s">
        <v>847</v>
      </c>
      <c r="C324" s="1377" t="s">
        <v>828</v>
      </c>
      <c r="D324" s="1314" t="s">
        <v>947</v>
      </c>
      <c r="E324" s="1315">
        <v>323</v>
      </c>
      <c r="F324" s="1316" t="s">
        <v>801</v>
      </c>
      <c r="G324" s="1327" t="s">
        <v>826</v>
      </c>
      <c r="H324" s="1030" t="s">
        <v>827</v>
      </c>
      <c r="I324" s="714" t="s">
        <v>27</v>
      </c>
      <c r="J324" s="1321" t="s">
        <v>829</v>
      </c>
    </row>
    <row r="325" spans="1:10" x14ac:dyDescent="0.3">
      <c r="A325" s="1325">
        <v>2.9</v>
      </c>
      <c r="B325" s="1326" t="s">
        <v>850</v>
      </c>
      <c r="C325" s="1377" t="s">
        <v>828</v>
      </c>
      <c r="D325" s="1314" t="s">
        <v>947</v>
      </c>
      <c r="E325" s="1315">
        <v>324</v>
      </c>
      <c r="F325" s="1316" t="s">
        <v>803</v>
      </c>
      <c r="G325" s="1320" t="s">
        <v>890</v>
      </c>
      <c r="H325" s="1030" t="s">
        <v>827</v>
      </c>
      <c r="I325" s="714" t="s">
        <v>27</v>
      </c>
      <c r="J325" s="1321" t="s">
        <v>891</v>
      </c>
    </row>
    <row r="326" spans="1:10" x14ac:dyDescent="0.3">
      <c r="A326" s="1330" t="s">
        <v>709</v>
      </c>
      <c r="B326" s="1323" t="s">
        <v>842</v>
      </c>
      <c r="C326" s="1377" t="s">
        <v>828</v>
      </c>
      <c r="D326" s="1314" t="s">
        <v>947</v>
      </c>
      <c r="E326" s="1315">
        <v>325</v>
      </c>
      <c r="F326" s="1328">
        <v>8.1999999999999993</v>
      </c>
      <c r="G326" s="1327" t="s">
        <v>948</v>
      </c>
      <c r="H326" s="378" t="s">
        <v>827</v>
      </c>
      <c r="I326" s="714" t="s">
        <v>27</v>
      </c>
      <c r="J326" s="1321" t="s">
        <v>949</v>
      </c>
    </row>
    <row r="327" spans="1:10" x14ac:dyDescent="0.3">
      <c r="A327" s="1324" t="s">
        <v>851</v>
      </c>
      <c r="B327" s="1319" t="s">
        <v>826</v>
      </c>
      <c r="C327" s="1377" t="s">
        <v>828</v>
      </c>
      <c r="D327" s="1314" t="s">
        <v>947</v>
      </c>
      <c r="E327" s="1315">
        <v>326</v>
      </c>
      <c r="F327" s="1328">
        <v>8.3000000000000007</v>
      </c>
      <c r="G327" s="1327" t="s">
        <v>826</v>
      </c>
      <c r="H327" s="378" t="s">
        <v>827</v>
      </c>
      <c r="I327" s="714" t="s">
        <v>27</v>
      </c>
      <c r="J327" s="1321" t="s">
        <v>829</v>
      </c>
    </row>
    <row r="328" spans="1:10" x14ac:dyDescent="0.3">
      <c r="A328" s="1325" t="s">
        <v>854</v>
      </c>
      <c r="B328" s="1326" t="s">
        <v>826</v>
      </c>
      <c r="C328" s="1377" t="s">
        <v>828</v>
      </c>
      <c r="D328" s="1314" t="s">
        <v>947</v>
      </c>
      <c r="E328" s="1315">
        <v>327</v>
      </c>
      <c r="F328" s="1328">
        <v>8.4</v>
      </c>
      <c r="G328" s="1327" t="s">
        <v>950</v>
      </c>
      <c r="H328" s="378" t="s">
        <v>827</v>
      </c>
      <c r="I328" s="714" t="s">
        <v>27</v>
      </c>
      <c r="J328" s="1321" t="s">
        <v>951</v>
      </c>
    </row>
    <row r="329" spans="1:10" ht="15" thickBot="1" x14ac:dyDescent="0.35">
      <c r="A329" s="1325" t="s">
        <v>715</v>
      </c>
      <c r="B329" s="1331" t="s">
        <v>856</v>
      </c>
      <c r="C329" s="1377" t="s">
        <v>828</v>
      </c>
      <c r="D329" s="1314" t="s">
        <v>947</v>
      </c>
      <c r="E329" s="1315">
        <v>328</v>
      </c>
      <c r="F329" s="1361">
        <v>8.5</v>
      </c>
      <c r="G329" s="1372" t="s">
        <v>826</v>
      </c>
      <c r="H329" s="1378" t="s">
        <v>827</v>
      </c>
      <c r="I329" s="1379" t="s">
        <v>27</v>
      </c>
      <c r="J329" s="1364" t="s">
        <v>829</v>
      </c>
    </row>
    <row r="330" spans="1:10" ht="15.6" thickTop="1" thickBot="1" x14ac:dyDescent="0.35">
      <c r="A330" s="1325" t="s">
        <v>716</v>
      </c>
      <c r="B330" s="1326" t="s">
        <v>838</v>
      </c>
      <c r="C330" s="1377" t="s">
        <v>828</v>
      </c>
      <c r="D330" s="1314" t="s">
        <v>947</v>
      </c>
      <c r="E330" s="1315">
        <v>329</v>
      </c>
      <c r="F330" s="1316" t="s">
        <v>685</v>
      </c>
      <c r="G330" s="1372" t="s">
        <v>826</v>
      </c>
      <c r="H330" s="1380" t="s">
        <v>827</v>
      </c>
      <c r="I330" s="714" t="s">
        <v>952</v>
      </c>
      <c r="J330" s="1321" t="s">
        <v>829</v>
      </c>
    </row>
    <row r="331" spans="1:10" ht="15" thickTop="1" x14ac:dyDescent="0.3">
      <c r="A331" s="1325" t="s">
        <v>717</v>
      </c>
      <c r="B331" s="1326" t="s">
        <v>858</v>
      </c>
      <c r="C331" s="1377" t="s">
        <v>828</v>
      </c>
      <c r="D331" s="1314" t="s">
        <v>947</v>
      </c>
      <c r="E331" s="1315">
        <v>330</v>
      </c>
      <c r="F331" s="1316" t="s">
        <v>687</v>
      </c>
      <c r="G331" s="1320" t="s">
        <v>831</v>
      </c>
      <c r="H331" s="1380" t="s">
        <v>827</v>
      </c>
      <c r="I331" s="714" t="s">
        <v>952</v>
      </c>
      <c r="J331" s="1321" t="s">
        <v>832</v>
      </c>
    </row>
    <row r="332" spans="1:10" x14ac:dyDescent="0.3">
      <c r="A332" s="1325" t="s">
        <v>859</v>
      </c>
      <c r="B332" s="1331" t="s">
        <v>860</v>
      </c>
      <c r="C332" s="1377" t="s">
        <v>828</v>
      </c>
      <c r="D332" s="1314" t="s">
        <v>947</v>
      </c>
      <c r="E332" s="1315">
        <v>331</v>
      </c>
      <c r="F332" s="1328">
        <v>1.2</v>
      </c>
      <c r="G332" s="1327" t="s">
        <v>953</v>
      </c>
      <c r="H332" s="1380" t="s">
        <v>827</v>
      </c>
      <c r="I332" s="714" t="s">
        <v>952</v>
      </c>
      <c r="J332" s="1321" t="s">
        <v>834</v>
      </c>
    </row>
    <row r="333" spans="1:10" x14ac:dyDescent="0.3">
      <c r="A333" s="1325" t="s">
        <v>861</v>
      </c>
      <c r="B333" s="1326" t="s">
        <v>862</v>
      </c>
      <c r="C333" s="1377" t="s">
        <v>828</v>
      </c>
      <c r="D333" s="1314" t="s">
        <v>947</v>
      </c>
      <c r="E333" s="1315">
        <v>332</v>
      </c>
      <c r="F333" s="1316" t="s">
        <v>690</v>
      </c>
      <c r="G333" s="1327" t="s">
        <v>826</v>
      </c>
      <c r="H333" s="1380" t="s">
        <v>827</v>
      </c>
      <c r="I333" s="714" t="s">
        <v>952</v>
      </c>
      <c r="J333" s="1321" t="s">
        <v>829</v>
      </c>
    </row>
    <row r="334" spans="1:10" x14ac:dyDescent="0.3">
      <c r="A334" s="1325" t="s">
        <v>866</v>
      </c>
      <c r="B334" s="1323" t="s">
        <v>826</v>
      </c>
      <c r="C334" s="1377" t="s">
        <v>828</v>
      </c>
      <c r="D334" s="1314" t="s">
        <v>947</v>
      </c>
      <c r="E334" s="1315">
        <v>333</v>
      </c>
      <c r="F334" s="1316" t="s">
        <v>692</v>
      </c>
      <c r="G334" s="1327" t="s">
        <v>836</v>
      </c>
      <c r="H334" s="1380" t="s">
        <v>827</v>
      </c>
      <c r="I334" s="714" t="s">
        <v>952</v>
      </c>
      <c r="J334" s="1321" t="s">
        <v>837</v>
      </c>
    </row>
    <row r="335" spans="1:10" x14ac:dyDescent="0.3">
      <c r="A335" s="1334" t="s">
        <v>868</v>
      </c>
      <c r="B335" s="1335" t="s">
        <v>826</v>
      </c>
      <c r="C335" s="1377" t="s">
        <v>828</v>
      </c>
      <c r="D335" s="1314" t="s">
        <v>947</v>
      </c>
      <c r="E335" s="1315">
        <v>334</v>
      </c>
      <c r="F335" s="1328">
        <v>1.4</v>
      </c>
      <c r="G335" s="1327" t="s">
        <v>839</v>
      </c>
      <c r="H335" s="1380" t="s">
        <v>827</v>
      </c>
      <c r="I335" s="714" t="s">
        <v>952</v>
      </c>
      <c r="J335" s="1321" t="s">
        <v>840</v>
      </c>
    </row>
    <row r="336" spans="1:10" x14ac:dyDescent="0.3">
      <c r="A336" s="1336" t="s">
        <v>872</v>
      </c>
      <c r="B336" s="1337" t="s">
        <v>862</v>
      </c>
      <c r="C336" s="1377" t="s">
        <v>828</v>
      </c>
      <c r="D336" s="1314" t="s">
        <v>947</v>
      </c>
      <c r="E336" s="1315">
        <v>335</v>
      </c>
      <c r="F336" s="1328">
        <v>2.1</v>
      </c>
      <c r="G336" s="1327" t="s">
        <v>826</v>
      </c>
      <c r="H336" s="1380" t="s">
        <v>827</v>
      </c>
      <c r="I336" s="714" t="s">
        <v>952</v>
      </c>
      <c r="J336" s="1321" t="s">
        <v>829</v>
      </c>
    </row>
    <row r="337" spans="1:10" x14ac:dyDescent="0.3">
      <c r="A337" s="1336" t="s">
        <v>874</v>
      </c>
      <c r="B337" s="1339" t="s">
        <v>875</v>
      </c>
      <c r="C337" s="1377" t="s">
        <v>828</v>
      </c>
      <c r="D337" s="1314" t="s">
        <v>947</v>
      </c>
      <c r="E337" s="1315">
        <v>336</v>
      </c>
      <c r="F337" s="1328">
        <v>2.2000000000000002</v>
      </c>
      <c r="G337" s="1327" t="s">
        <v>539</v>
      </c>
      <c r="H337" s="1380" t="s">
        <v>827</v>
      </c>
      <c r="I337" s="714" t="s">
        <v>952</v>
      </c>
      <c r="J337" s="1321" t="s">
        <v>539</v>
      </c>
    </row>
    <row r="338" spans="1:10" x14ac:dyDescent="0.3">
      <c r="A338" s="1340" t="s">
        <v>878</v>
      </c>
      <c r="B338" s="1341" t="s">
        <v>539</v>
      </c>
      <c r="C338" s="1377" t="s">
        <v>828</v>
      </c>
      <c r="D338" s="1314" t="s">
        <v>947</v>
      </c>
      <c r="E338" s="1315">
        <v>337</v>
      </c>
      <c r="F338" s="1328">
        <v>2.2999999999999998</v>
      </c>
      <c r="G338" s="1327" t="s">
        <v>826</v>
      </c>
      <c r="H338" s="1380" t="s">
        <v>827</v>
      </c>
      <c r="I338" s="714" t="s">
        <v>952</v>
      </c>
      <c r="J338" s="1321" t="s">
        <v>829</v>
      </c>
    </row>
    <row r="339" spans="1:10" x14ac:dyDescent="0.3">
      <c r="A339" s="1342" t="s">
        <v>879</v>
      </c>
      <c r="B339" s="1343" t="s">
        <v>826</v>
      </c>
      <c r="C339" s="1377" t="s">
        <v>828</v>
      </c>
      <c r="D339" s="1314" t="s">
        <v>947</v>
      </c>
      <c r="E339" s="1315">
        <v>338</v>
      </c>
      <c r="F339" s="1328">
        <v>2.4</v>
      </c>
      <c r="G339" s="1320" t="s">
        <v>838</v>
      </c>
      <c r="H339" s="1380" t="s">
        <v>827</v>
      </c>
      <c r="I339" s="714" t="s">
        <v>952</v>
      </c>
      <c r="J339" s="1321" t="s">
        <v>846</v>
      </c>
    </row>
    <row r="340" spans="1:10" x14ac:dyDescent="0.3">
      <c r="A340" s="1344" t="s">
        <v>880</v>
      </c>
      <c r="B340" s="1343" t="s">
        <v>539</v>
      </c>
      <c r="C340" s="1377" t="s">
        <v>828</v>
      </c>
      <c r="D340" s="1314" t="s">
        <v>947</v>
      </c>
      <c r="E340" s="1315">
        <v>339</v>
      </c>
      <c r="F340" s="1328">
        <v>2.5</v>
      </c>
      <c r="G340" s="1320" t="s">
        <v>848</v>
      </c>
      <c r="H340" s="1380" t="s">
        <v>827</v>
      </c>
      <c r="I340" s="714" t="s">
        <v>952</v>
      </c>
      <c r="J340" s="1321" t="s">
        <v>849</v>
      </c>
    </row>
    <row r="341" spans="1:10" x14ac:dyDescent="0.3">
      <c r="A341" s="1342" t="s">
        <v>884</v>
      </c>
      <c r="B341" s="1343" t="s">
        <v>838</v>
      </c>
      <c r="C341" s="1377" t="s">
        <v>828</v>
      </c>
      <c r="D341" s="1314" t="s">
        <v>947</v>
      </c>
      <c r="E341" s="1315">
        <v>340</v>
      </c>
      <c r="F341" s="1328">
        <v>2.6</v>
      </c>
      <c r="G341" s="1327" t="s">
        <v>826</v>
      </c>
      <c r="H341" s="1380" t="s">
        <v>827</v>
      </c>
      <c r="I341" s="714" t="s">
        <v>952</v>
      </c>
      <c r="J341" s="1321" t="s">
        <v>829</v>
      </c>
    </row>
    <row r="342" spans="1:10" x14ac:dyDescent="0.3">
      <c r="A342" s="1344" t="s">
        <v>885</v>
      </c>
      <c r="B342" s="1343" t="s">
        <v>826</v>
      </c>
      <c r="C342" s="1377" t="s">
        <v>828</v>
      </c>
      <c r="D342" s="1314" t="s">
        <v>947</v>
      </c>
      <c r="E342" s="1315">
        <v>341</v>
      </c>
      <c r="F342" s="1316" t="s">
        <v>703</v>
      </c>
      <c r="G342" s="1327" t="s">
        <v>539</v>
      </c>
      <c r="H342" s="1380" t="s">
        <v>827</v>
      </c>
      <c r="I342" s="714" t="s">
        <v>952</v>
      </c>
      <c r="J342" s="1321" t="s">
        <v>539</v>
      </c>
    </row>
    <row r="343" spans="1:10" x14ac:dyDescent="0.3">
      <c r="A343" s="1344" t="s">
        <v>888</v>
      </c>
      <c r="B343" s="1345" t="s">
        <v>889</v>
      </c>
      <c r="C343" s="1377" t="s">
        <v>828</v>
      </c>
      <c r="D343" s="1314" t="s">
        <v>947</v>
      </c>
      <c r="E343" s="1315">
        <v>342</v>
      </c>
      <c r="F343" s="1316" t="s">
        <v>705</v>
      </c>
      <c r="G343" s="1327" t="s">
        <v>980</v>
      </c>
      <c r="H343" s="1380" t="s">
        <v>827</v>
      </c>
      <c r="I343" s="714" t="s">
        <v>952</v>
      </c>
      <c r="J343" s="1321" t="s">
        <v>981</v>
      </c>
    </row>
    <row r="344" spans="1:10" x14ac:dyDescent="0.3">
      <c r="A344" s="1344" t="s">
        <v>892</v>
      </c>
      <c r="B344" s="1343" t="s">
        <v>842</v>
      </c>
      <c r="C344" s="1377" t="s">
        <v>828</v>
      </c>
      <c r="D344" s="1314" t="s">
        <v>947</v>
      </c>
      <c r="E344" s="1315">
        <v>343</v>
      </c>
      <c r="F344" s="1328">
        <v>2.8</v>
      </c>
      <c r="G344" s="1327" t="s">
        <v>955</v>
      </c>
      <c r="H344" s="1380" t="s">
        <v>827</v>
      </c>
      <c r="I344" s="714" t="s">
        <v>952</v>
      </c>
      <c r="J344" s="1321" t="s">
        <v>956</v>
      </c>
    </row>
    <row r="345" spans="1:10" x14ac:dyDescent="0.3">
      <c r="A345" s="1344" t="s">
        <v>893</v>
      </c>
      <c r="B345" s="1343" t="s">
        <v>826</v>
      </c>
      <c r="C345" s="1377" t="s">
        <v>828</v>
      </c>
      <c r="D345" s="1314" t="s">
        <v>947</v>
      </c>
      <c r="E345" s="1315">
        <v>344</v>
      </c>
      <c r="F345" s="1328">
        <v>2.9</v>
      </c>
      <c r="G345" s="1327" t="s">
        <v>838</v>
      </c>
      <c r="H345" s="1380" t="s">
        <v>827</v>
      </c>
      <c r="I345" s="714" t="s">
        <v>952</v>
      </c>
      <c r="J345" s="1321" t="s">
        <v>846</v>
      </c>
    </row>
    <row r="346" spans="1:10" x14ac:dyDescent="0.3">
      <c r="A346" s="1344" t="s">
        <v>894</v>
      </c>
      <c r="B346" s="1343" t="s">
        <v>539</v>
      </c>
      <c r="C346" s="1377" t="s">
        <v>828</v>
      </c>
      <c r="D346" s="1314" t="s">
        <v>947</v>
      </c>
      <c r="E346" s="1315">
        <v>345</v>
      </c>
      <c r="F346" s="1332" t="s">
        <v>709</v>
      </c>
      <c r="G346" s="1327" t="s">
        <v>842</v>
      </c>
      <c r="H346" s="1380" t="s">
        <v>827</v>
      </c>
      <c r="I346" s="714" t="s">
        <v>952</v>
      </c>
      <c r="J346" s="1321" t="s">
        <v>857</v>
      </c>
    </row>
    <row r="347" spans="1:10" x14ac:dyDescent="0.3">
      <c r="A347" s="1342" t="s">
        <v>897</v>
      </c>
      <c r="B347" s="1343" t="s">
        <v>835</v>
      </c>
      <c r="C347" s="1377" t="s">
        <v>828</v>
      </c>
      <c r="D347" s="1314" t="s">
        <v>947</v>
      </c>
      <c r="E347" s="1315">
        <v>346</v>
      </c>
      <c r="F347" s="1328">
        <v>3.1</v>
      </c>
      <c r="G347" s="1327" t="s">
        <v>826</v>
      </c>
      <c r="H347" s="1380" t="s">
        <v>827</v>
      </c>
      <c r="I347" s="714" t="s">
        <v>952</v>
      </c>
      <c r="J347" s="1321" t="s">
        <v>829</v>
      </c>
    </row>
    <row r="348" spans="1:10" x14ac:dyDescent="0.3">
      <c r="A348" s="1344" t="s">
        <v>898</v>
      </c>
      <c r="B348" s="1343" t="s">
        <v>899</v>
      </c>
      <c r="C348" s="1377" t="s">
        <v>828</v>
      </c>
      <c r="D348" s="1314" t="s">
        <v>947</v>
      </c>
      <c r="E348" s="1315">
        <v>347</v>
      </c>
      <c r="F348" s="1328">
        <v>3.2</v>
      </c>
      <c r="G348" s="1327" t="s">
        <v>826</v>
      </c>
      <c r="H348" s="1380" t="s">
        <v>827</v>
      </c>
      <c r="I348" s="714" t="s">
        <v>952</v>
      </c>
      <c r="J348" s="1321" t="s">
        <v>829</v>
      </c>
    </row>
    <row r="349" spans="1:10" x14ac:dyDescent="0.3">
      <c r="A349" s="1344" t="s">
        <v>902</v>
      </c>
      <c r="B349" s="1343" t="s">
        <v>903</v>
      </c>
      <c r="C349" s="1377" t="s">
        <v>828</v>
      </c>
      <c r="D349" s="1314" t="s">
        <v>947</v>
      </c>
      <c r="E349" s="1315">
        <v>348</v>
      </c>
      <c r="F349" s="1316" t="s">
        <v>863</v>
      </c>
      <c r="G349" s="1320" t="s">
        <v>864</v>
      </c>
      <c r="H349" s="1380" t="s">
        <v>827</v>
      </c>
      <c r="I349" s="714" t="s">
        <v>952</v>
      </c>
      <c r="J349" s="1321" t="s">
        <v>865</v>
      </c>
    </row>
    <row r="350" spans="1:10" x14ac:dyDescent="0.3">
      <c r="A350" s="1344" t="s">
        <v>905</v>
      </c>
      <c r="B350" s="1343" t="s">
        <v>906</v>
      </c>
      <c r="C350" s="1377" t="s">
        <v>828</v>
      </c>
      <c r="D350" s="1314" t="s">
        <v>947</v>
      </c>
      <c r="E350" s="1315">
        <v>349</v>
      </c>
      <c r="F350" s="1316" t="s">
        <v>867</v>
      </c>
      <c r="G350" s="1320" t="s">
        <v>838</v>
      </c>
      <c r="H350" s="1380" t="s">
        <v>827</v>
      </c>
      <c r="I350" s="714" t="s">
        <v>952</v>
      </c>
      <c r="J350" s="1321" t="s">
        <v>846</v>
      </c>
    </row>
    <row r="351" spans="1:10" x14ac:dyDescent="0.3">
      <c r="A351" s="1344" t="s">
        <v>907</v>
      </c>
      <c r="B351" s="1343" t="s">
        <v>826</v>
      </c>
      <c r="C351" s="1377" t="s">
        <v>828</v>
      </c>
      <c r="D351" s="1314" t="s">
        <v>947</v>
      </c>
      <c r="E351" s="1315">
        <v>350</v>
      </c>
      <c r="F351" s="1316" t="s">
        <v>869</v>
      </c>
      <c r="G351" s="1327" t="s">
        <v>870</v>
      </c>
      <c r="H351" s="1380" t="s">
        <v>827</v>
      </c>
      <c r="I351" s="714" t="s">
        <v>952</v>
      </c>
      <c r="J351" s="1321" t="s">
        <v>871</v>
      </c>
    </row>
    <row r="352" spans="1:10" x14ac:dyDescent="0.3">
      <c r="A352" s="1344" t="s">
        <v>756</v>
      </c>
      <c r="B352" s="1343" t="s">
        <v>908</v>
      </c>
      <c r="C352" s="1377" t="s">
        <v>828</v>
      </c>
      <c r="D352" s="1314" t="s">
        <v>947</v>
      </c>
      <c r="E352" s="1315">
        <v>351</v>
      </c>
      <c r="F352" s="1328">
        <v>3.4</v>
      </c>
      <c r="G352" s="1327" t="s">
        <v>873</v>
      </c>
      <c r="H352" s="1380" t="s">
        <v>827</v>
      </c>
      <c r="I352" s="714" t="s">
        <v>952</v>
      </c>
      <c r="J352" s="1321" t="s">
        <v>865</v>
      </c>
    </row>
    <row r="353" spans="1:10" x14ac:dyDescent="0.3">
      <c r="A353" s="1344">
        <v>5.1100000000000003</v>
      </c>
      <c r="B353" s="1343" t="s">
        <v>959</v>
      </c>
      <c r="C353" s="1377" t="s">
        <v>828</v>
      </c>
      <c r="D353" s="1314" t="s">
        <v>947</v>
      </c>
      <c r="E353" s="1315">
        <v>352</v>
      </c>
      <c r="F353" s="1328">
        <v>3.5</v>
      </c>
      <c r="G353" s="1320" t="s">
        <v>876</v>
      </c>
      <c r="H353" s="1380" t="s">
        <v>827</v>
      </c>
      <c r="I353" s="714" t="s">
        <v>952</v>
      </c>
      <c r="J353" s="1321" t="s">
        <v>877</v>
      </c>
    </row>
    <row r="354" spans="1:10" x14ac:dyDescent="0.3">
      <c r="A354" s="1344">
        <v>5.12</v>
      </c>
      <c r="B354" s="1343" t="s">
        <v>850</v>
      </c>
      <c r="C354" s="1377" t="s">
        <v>828</v>
      </c>
      <c r="D354" s="1314" t="s">
        <v>947</v>
      </c>
      <c r="E354" s="1315">
        <v>353</v>
      </c>
      <c r="F354" s="1328">
        <v>3.6</v>
      </c>
      <c r="G354" s="1327" t="s">
        <v>826</v>
      </c>
      <c r="H354" s="1380" t="s">
        <v>827</v>
      </c>
      <c r="I354" s="714" t="s">
        <v>952</v>
      </c>
      <c r="J354" s="1321" t="s">
        <v>829</v>
      </c>
    </row>
    <row r="355" spans="1:10" x14ac:dyDescent="0.3">
      <c r="A355" s="1347">
        <v>5.13</v>
      </c>
      <c r="B355" s="1348" t="s">
        <v>960</v>
      </c>
      <c r="C355" s="1377" t="s">
        <v>828</v>
      </c>
      <c r="D355" s="1314" t="s">
        <v>947</v>
      </c>
      <c r="E355" s="1315">
        <v>354</v>
      </c>
      <c r="F355" s="1316" t="s">
        <v>724</v>
      </c>
      <c r="G355" s="1327" t="s">
        <v>826</v>
      </c>
      <c r="H355" s="1380" t="s">
        <v>827</v>
      </c>
      <c r="I355" s="714" t="s">
        <v>952</v>
      </c>
      <c r="J355" s="1321" t="s">
        <v>829</v>
      </c>
    </row>
    <row r="356" spans="1:10" x14ac:dyDescent="0.3">
      <c r="A356" s="1340" t="s">
        <v>910</v>
      </c>
      <c r="B356" s="1341" t="s">
        <v>826</v>
      </c>
      <c r="C356" s="1377" t="s">
        <v>828</v>
      </c>
      <c r="D356" s="1314" t="s">
        <v>947</v>
      </c>
      <c r="E356" s="1315">
        <v>355</v>
      </c>
      <c r="F356" s="1316" t="s">
        <v>726</v>
      </c>
      <c r="G356" s="1327" t="s">
        <v>958</v>
      </c>
      <c r="H356" s="1380" t="s">
        <v>827</v>
      </c>
      <c r="I356" s="714" t="s">
        <v>952</v>
      </c>
      <c r="J356" s="1321" t="s">
        <v>883</v>
      </c>
    </row>
    <row r="357" spans="1:10" x14ac:dyDescent="0.3">
      <c r="A357" s="1344" t="s">
        <v>911</v>
      </c>
      <c r="B357" s="1343" t="s">
        <v>826</v>
      </c>
      <c r="C357" s="1377" t="s">
        <v>828</v>
      </c>
      <c r="D357" s="1314" t="s">
        <v>947</v>
      </c>
      <c r="E357" s="1315">
        <v>356</v>
      </c>
      <c r="F357" s="1328">
        <v>4.2</v>
      </c>
      <c r="G357" s="1327" t="s">
        <v>927</v>
      </c>
      <c r="H357" s="1380" t="s">
        <v>827</v>
      </c>
      <c r="I357" s="714" t="s">
        <v>952</v>
      </c>
      <c r="J357" s="1321" t="s">
        <v>901</v>
      </c>
    </row>
    <row r="358" spans="1:10" x14ac:dyDescent="0.3">
      <c r="A358" s="1344" t="s">
        <v>912</v>
      </c>
      <c r="B358" s="1343" t="s">
        <v>858</v>
      </c>
      <c r="C358" s="1377" t="s">
        <v>828</v>
      </c>
      <c r="D358" s="1314" t="s">
        <v>947</v>
      </c>
      <c r="E358" s="1315">
        <v>357</v>
      </c>
      <c r="F358" s="1328">
        <v>4.3</v>
      </c>
      <c r="G358" s="1320" t="s">
        <v>886</v>
      </c>
      <c r="H358" s="1380" t="s">
        <v>827</v>
      </c>
      <c r="I358" s="714" t="s">
        <v>952</v>
      </c>
      <c r="J358" s="1321" t="s">
        <v>887</v>
      </c>
    </row>
    <row r="359" spans="1:10" x14ac:dyDescent="0.3">
      <c r="A359" s="1344" t="s">
        <v>913</v>
      </c>
      <c r="B359" s="1343" t="s">
        <v>914</v>
      </c>
      <c r="C359" s="1377" t="s">
        <v>828</v>
      </c>
      <c r="D359" s="1314" t="s">
        <v>947</v>
      </c>
      <c r="E359" s="1315">
        <v>358</v>
      </c>
      <c r="F359" s="1328">
        <v>4.4000000000000004</v>
      </c>
      <c r="G359" s="1320" t="s">
        <v>890</v>
      </c>
      <c r="H359" s="1380" t="s">
        <v>827</v>
      </c>
      <c r="I359" s="714" t="s">
        <v>952</v>
      </c>
      <c r="J359" s="1321" t="s">
        <v>891</v>
      </c>
    </row>
    <row r="360" spans="1:10" x14ac:dyDescent="0.3">
      <c r="A360" s="1344" t="s">
        <v>915</v>
      </c>
      <c r="B360" s="1343" t="s">
        <v>858</v>
      </c>
      <c r="C360" s="1377" t="s">
        <v>828</v>
      </c>
      <c r="D360" s="1314" t="s">
        <v>947</v>
      </c>
      <c r="E360" s="1315">
        <v>359</v>
      </c>
      <c r="F360" s="1316" t="s">
        <v>733</v>
      </c>
      <c r="G360" s="1327" t="s">
        <v>539</v>
      </c>
      <c r="H360" s="1380" t="s">
        <v>827</v>
      </c>
      <c r="I360" s="714" t="s">
        <v>952</v>
      </c>
      <c r="J360" s="1321" t="s">
        <v>539</v>
      </c>
    </row>
    <row r="361" spans="1:10" x14ac:dyDescent="0.3">
      <c r="A361" s="1344" t="s">
        <v>916</v>
      </c>
      <c r="B361" s="1343" t="s">
        <v>858</v>
      </c>
      <c r="C361" s="1377" t="s">
        <v>828</v>
      </c>
      <c r="D361" s="1314" t="s">
        <v>947</v>
      </c>
      <c r="E361" s="1315">
        <v>360</v>
      </c>
      <c r="F361" s="1316" t="s">
        <v>735</v>
      </c>
      <c r="G361" s="1327" t="s">
        <v>826</v>
      </c>
      <c r="H361" s="1380" t="s">
        <v>827</v>
      </c>
      <c r="I361" s="714" t="s">
        <v>952</v>
      </c>
      <c r="J361" s="1321" t="s">
        <v>829</v>
      </c>
    </row>
    <row r="362" spans="1:10" x14ac:dyDescent="0.3">
      <c r="A362" s="1344" t="s">
        <v>917</v>
      </c>
      <c r="B362" s="1343" t="s">
        <v>838</v>
      </c>
      <c r="C362" s="1377" t="s">
        <v>828</v>
      </c>
      <c r="D362" s="1314" t="s">
        <v>947</v>
      </c>
      <c r="E362" s="1315">
        <v>361</v>
      </c>
      <c r="F362" s="1316" t="s">
        <v>737</v>
      </c>
      <c r="G362" s="1346" t="s">
        <v>539</v>
      </c>
      <c r="H362" s="1380" t="s">
        <v>827</v>
      </c>
      <c r="I362" s="714" t="s">
        <v>952</v>
      </c>
      <c r="J362" s="1321" t="s">
        <v>539</v>
      </c>
    </row>
    <row r="363" spans="1:10" x14ac:dyDescent="0.3">
      <c r="A363" s="1344" t="s">
        <v>918</v>
      </c>
      <c r="B363" s="1343" t="s">
        <v>838</v>
      </c>
      <c r="C363" s="1377" t="s">
        <v>828</v>
      </c>
      <c r="D363" s="1314" t="s">
        <v>947</v>
      </c>
      <c r="E363" s="1315">
        <v>362</v>
      </c>
      <c r="F363" s="1316" t="s">
        <v>739</v>
      </c>
      <c r="G363" s="1327" t="s">
        <v>838</v>
      </c>
      <c r="H363" s="1380" t="s">
        <v>827</v>
      </c>
      <c r="I363" s="714" t="s">
        <v>952</v>
      </c>
      <c r="J363" s="1321" t="s">
        <v>846</v>
      </c>
    </row>
    <row r="364" spans="1:10" x14ac:dyDescent="0.3">
      <c r="A364" s="1347" t="s">
        <v>919</v>
      </c>
      <c r="B364" s="1348" t="s">
        <v>920</v>
      </c>
      <c r="C364" s="1377" t="s">
        <v>828</v>
      </c>
      <c r="D364" s="1314" t="s">
        <v>947</v>
      </c>
      <c r="E364" s="1315">
        <v>363</v>
      </c>
      <c r="F364" s="1328">
        <v>5.3</v>
      </c>
      <c r="G364" s="1320" t="s">
        <v>900</v>
      </c>
      <c r="H364" s="1380" t="s">
        <v>827</v>
      </c>
      <c r="I364" s="714" t="s">
        <v>952</v>
      </c>
      <c r="J364" s="1321" t="s">
        <v>901</v>
      </c>
    </row>
    <row r="365" spans="1:10" x14ac:dyDescent="0.3">
      <c r="A365" s="1340" t="s">
        <v>921</v>
      </c>
      <c r="B365" s="1341" t="s">
        <v>826</v>
      </c>
      <c r="C365" s="1377" t="s">
        <v>828</v>
      </c>
      <c r="D365" s="1314" t="s">
        <v>947</v>
      </c>
      <c r="E365" s="1315">
        <v>364</v>
      </c>
      <c r="F365" s="1328">
        <v>5.4</v>
      </c>
      <c r="G365" s="1327" t="s">
        <v>904</v>
      </c>
      <c r="H365" s="1380" t="s">
        <v>827</v>
      </c>
      <c r="I365" s="714" t="s">
        <v>952</v>
      </c>
      <c r="J365" s="1321" t="s">
        <v>865</v>
      </c>
    </row>
    <row r="366" spans="1:10" x14ac:dyDescent="0.3">
      <c r="A366" s="1344" t="s">
        <v>924</v>
      </c>
      <c r="B366" s="1345" t="s">
        <v>925</v>
      </c>
      <c r="C366" s="1377" t="s">
        <v>828</v>
      </c>
      <c r="D366" s="1314" t="s">
        <v>947</v>
      </c>
      <c r="E366" s="1315">
        <v>365</v>
      </c>
      <c r="F366" s="1328">
        <v>5.5</v>
      </c>
      <c r="G366" s="1320" t="s">
        <v>842</v>
      </c>
      <c r="H366" s="1380" t="s">
        <v>827</v>
      </c>
      <c r="I366" s="714" t="s">
        <v>952</v>
      </c>
      <c r="J366" s="1321" t="s">
        <v>857</v>
      </c>
    </row>
    <row r="367" spans="1:10" x14ac:dyDescent="0.3">
      <c r="A367" s="1344" t="s">
        <v>926</v>
      </c>
      <c r="B367" s="1343" t="s">
        <v>927</v>
      </c>
      <c r="C367" s="1377" t="s">
        <v>828</v>
      </c>
      <c r="D367" s="1314" t="s">
        <v>947</v>
      </c>
      <c r="E367" s="1315">
        <v>366</v>
      </c>
      <c r="F367" s="1328">
        <v>5.6</v>
      </c>
      <c r="G367" s="1327" t="s">
        <v>826</v>
      </c>
      <c r="H367" s="1380" t="s">
        <v>827</v>
      </c>
      <c r="I367" s="714" t="s">
        <v>952</v>
      </c>
      <c r="J367" s="1321" t="s">
        <v>829</v>
      </c>
    </row>
    <row r="368" spans="1:10" x14ac:dyDescent="0.3">
      <c r="A368" s="1344" t="s">
        <v>929</v>
      </c>
      <c r="B368" s="1343" t="s">
        <v>539</v>
      </c>
      <c r="C368" s="1377" t="s">
        <v>828</v>
      </c>
      <c r="D368" s="1314" t="s">
        <v>947</v>
      </c>
      <c r="E368" s="1315">
        <v>367</v>
      </c>
      <c r="F368" s="1316" t="s">
        <v>745</v>
      </c>
      <c r="G368" s="1327" t="s">
        <v>539</v>
      </c>
      <c r="H368" s="1380" t="s">
        <v>827</v>
      </c>
      <c r="I368" s="714" t="s">
        <v>952</v>
      </c>
      <c r="J368" s="1321" t="s">
        <v>539</v>
      </c>
    </row>
    <row r="369" spans="1:10" x14ac:dyDescent="0.3">
      <c r="A369" s="1342" t="s">
        <v>930</v>
      </c>
      <c r="B369" s="1343" t="s">
        <v>838</v>
      </c>
      <c r="C369" s="1377" t="s">
        <v>828</v>
      </c>
      <c r="D369" s="1314" t="s">
        <v>947</v>
      </c>
      <c r="E369" s="1315">
        <v>368</v>
      </c>
      <c r="F369" s="1316" t="s">
        <v>747</v>
      </c>
      <c r="G369" s="1327" t="s">
        <v>835</v>
      </c>
      <c r="H369" s="1380" t="s">
        <v>827</v>
      </c>
      <c r="I369" s="714" t="s">
        <v>952</v>
      </c>
      <c r="J369" s="1321" t="s">
        <v>855</v>
      </c>
    </row>
    <row r="370" spans="1:10" x14ac:dyDescent="0.3">
      <c r="A370" s="1344" t="s">
        <v>931</v>
      </c>
      <c r="B370" s="1343" t="s">
        <v>539</v>
      </c>
      <c r="C370" s="1377" t="s">
        <v>828</v>
      </c>
      <c r="D370" s="1314" t="s">
        <v>947</v>
      </c>
      <c r="E370" s="1315">
        <v>369</v>
      </c>
      <c r="F370" s="1316" t="s">
        <v>749</v>
      </c>
      <c r="G370" s="1327" t="s">
        <v>962</v>
      </c>
      <c r="H370" s="1380" t="s">
        <v>827</v>
      </c>
      <c r="I370" s="714" t="s">
        <v>952</v>
      </c>
      <c r="J370" s="1365" t="s">
        <v>963</v>
      </c>
    </row>
    <row r="371" spans="1:10" x14ac:dyDescent="0.3">
      <c r="A371" s="1342" t="s">
        <v>933</v>
      </c>
      <c r="B371" s="1343" t="s">
        <v>842</v>
      </c>
      <c r="C371" s="1377" t="s">
        <v>828</v>
      </c>
      <c r="D371" s="1314" t="s">
        <v>947</v>
      </c>
      <c r="E371" s="1315">
        <v>370</v>
      </c>
      <c r="F371" s="1316" t="s">
        <v>751</v>
      </c>
      <c r="G371" s="1320" t="s">
        <v>903</v>
      </c>
      <c r="H371" s="1380" t="s">
        <v>827</v>
      </c>
      <c r="I371" s="714" t="s">
        <v>952</v>
      </c>
      <c r="J371" s="1321" t="s">
        <v>909</v>
      </c>
    </row>
    <row r="372" spans="1:10" x14ac:dyDescent="0.3">
      <c r="A372" s="1344">
        <v>7.5</v>
      </c>
      <c r="B372" s="1343" t="s">
        <v>826</v>
      </c>
      <c r="C372" s="1377" t="s">
        <v>828</v>
      </c>
      <c r="D372" s="1314" t="s">
        <v>947</v>
      </c>
      <c r="E372" s="1315">
        <v>371</v>
      </c>
      <c r="F372" s="1316" t="s">
        <v>753</v>
      </c>
      <c r="G372" s="1327" t="s">
        <v>964</v>
      </c>
      <c r="H372" s="1380" t="s">
        <v>827</v>
      </c>
      <c r="I372" s="714" t="s">
        <v>952</v>
      </c>
      <c r="J372" s="1349" t="s">
        <v>965</v>
      </c>
    </row>
    <row r="373" spans="1:10" x14ac:dyDescent="0.3">
      <c r="A373" s="1344">
        <v>7.6</v>
      </c>
      <c r="B373" s="1343" t="s">
        <v>826</v>
      </c>
      <c r="C373" s="1377" t="s">
        <v>828</v>
      </c>
      <c r="D373" s="1314" t="s">
        <v>947</v>
      </c>
      <c r="E373" s="1315">
        <v>372</v>
      </c>
      <c r="F373" s="1328">
        <v>5.9</v>
      </c>
      <c r="G373" s="1327" t="s">
        <v>826</v>
      </c>
      <c r="H373" s="1380" t="s">
        <v>827</v>
      </c>
      <c r="I373" s="714" t="s">
        <v>952</v>
      </c>
      <c r="J373" s="1321" t="s">
        <v>829</v>
      </c>
    </row>
    <row r="374" spans="1:10" x14ac:dyDescent="0.3">
      <c r="A374" s="1344">
        <v>7.7</v>
      </c>
      <c r="B374" s="1343" t="s">
        <v>826</v>
      </c>
      <c r="C374" s="1377" t="s">
        <v>828</v>
      </c>
      <c r="D374" s="1314" t="s">
        <v>947</v>
      </c>
      <c r="E374" s="1315">
        <v>373</v>
      </c>
      <c r="F374" s="1332" t="s">
        <v>756</v>
      </c>
      <c r="G374" s="1327" t="s">
        <v>977</v>
      </c>
      <c r="H374" s="1380" t="s">
        <v>827</v>
      </c>
      <c r="I374" s="714" t="s">
        <v>952</v>
      </c>
      <c r="J374" s="1321" t="s">
        <v>967</v>
      </c>
    </row>
    <row r="375" spans="1:10" x14ac:dyDescent="0.3">
      <c r="A375" s="1344">
        <v>7.8</v>
      </c>
      <c r="B375" s="1343" t="s">
        <v>826</v>
      </c>
      <c r="C375" s="1377" t="s">
        <v>828</v>
      </c>
      <c r="D375" s="1314" t="s">
        <v>947</v>
      </c>
      <c r="E375" s="1315">
        <v>374</v>
      </c>
      <c r="F375" s="1328">
        <v>5.1100000000000003</v>
      </c>
      <c r="G375" s="1327" t="s">
        <v>959</v>
      </c>
      <c r="H375" s="1380" t="s">
        <v>827</v>
      </c>
      <c r="I375" s="714" t="s">
        <v>952</v>
      </c>
      <c r="J375" s="1321" t="s">
        <v>969</v>
      </c>
    </row>
    <row r="376" spans="1:10" x14ac:dyDescent="0.3">
      <c r="A376" s="1350" t="s">
        <v>936</v>
      </c>
      <c r="B376" s="1343" t="s">
        <v>539</v>
      </c>
      <c r="C376" s="1377" t="s">
        <v>828</v>
      </c>
      <c r="D376" s="1314" t="s">
        <v>947</v>
      </c>
      <c r="E376" s="1315">
        <v>375</v>
      </c>
      <c r="F376" s="1328">
        <v>5.12</v>
      </c>
      <c r="G376" s="1327" t="s">
        <v>850</v>
      </c>
      <c r="H376" s="1380" t="s">
        <v>827</v>
      </c>
      <c r="I376" s="714" t="s">
        <v>952</v>
      </c>
      <c r="J376" s="1321">
        <v>10</v>
      </c>
    </row>
    <row r="377" spans="1:10" x14ac:dyDescent="0.3">
      <c r="A377" s="1344" t="s">
        <v>937</v>
      </c>
      <c r="B377" s="1343" t="s">
        <v>826</v>
      </c>
      <c r="C377" s="1377" t="s">
        <v>828</v>
      </c>
      <c r="D377" s="1314" t="s">
        <v>947</v>
      </c>
      <c r="E377" s="1315">
        <v>376</v>
      </c>
      <c r="F377" s="1328">
        <v>5.13</v>
      </c>
      <c r="G377" s="1327" t="s">
        <v>978</v>
      </c>
      <c r="H377" s="1380" t="s">
        <v>827</v>
      </c>
      <c r="I377" s="714" t="s">
        <v>952</v>
      </c>
      <c r="J377" s="1321" t="s">
        <v>971</v>
      </c>
    </row>
    <row r="378" spans="1:10" x14ac:dyDescent="0.3">
      <c r="A378" s="1344" t="s">
        <v>938</v>
      </c>
      <c r="B378" s="1343" t="s">
        <v>826</v>
      </c>
      <c r="C378" s="1377" t="s">
        <v>828</v>
      </c>
      <c r="D378" s="1314" t="s">
        <v>947</v>
      </c>
      <c r="E378" s="1315">
        <v>377</v>
      </c>
      <c r="F378" s="1328">
        <v>6.1</v>
      </c>
      <c r="G378" s="1327" t="s">
        <v>826</v>
      </c>
      <c r="H378" s="1380" t="s">
        <v>827</v>
      </c>
      <c r="I378" s="714" t="s">
        <v>952</v>
      </c>
      <c r="J378" s="1321" t="s">
        <v>829</v>
      </c>
    </row>
    <row r="379" spans="1:10" x14ac:dyDescent="0.3">
      <c r="A379" s="1344" t="s">
        <v>788</v>
      </c>
      <c r="B379" s="1343" t="s">
        <v>826</v>
      </c>
      <c r="C379" s="1377" t="s">
        <v>828</v>
      </c>
      <c r="D379" s="1314" t="s">
        <v>947</v>
      </c>
      <c r="E379" s="1315">
        <v>378</v>
      </c>
      <c r="F379" s="1328">
        <v>6.2</v>
      </c>
      <c r="G379" s="1327" t="s">
        <v>826</v>
      </c>
      <c r="H379" s="1380" t="s">
        <v>827</v>
      </c>
      <c r="I379" s="714" t="s">
        <v>952</v>
      </c>
      <c r="J379" s="1321" t="s">
        <v>829</v>
      </c>
    </row>
    <row r="380" spans="1:10" x14ac:dyDescent="0.3">
      <c r="A380" s="1344">
        <v>7.11</v>
      </c>
      <c r="B380" s="1343" t="s">
        <v>826</v>
      </c>
      <c r="C380" s="1377" t="s">
        <v>828</v>
      </c>
      <c r="D380" s="1314" t="s">
        <v>947</v>
      </c>
      <c r="E380" s="1315">
        <v>379</v>
      </c>
      <c r="F380" s="1328">
        <v>6.3</v>
      </c>
      <c r="G380" s="1327" t="s">
        <v>870</v>
      </c>
      <c r="H380" s="1380" t="s">
        <v>827</v>
      </c>
      <c r="I380" s="714" t="s">
        <v>952</v>
      </c>
      <c r="J380" s="1349" t="s">
        <v>871</v>
      </c>
    </row>
    <row r="381" spans="1:10" x14ac:dyDescent="0.3">
      <c r="A381" s="1344">
        <v>7.12</v>
      </c>
      <c r="B381" s="1343" t="s">
        <v>826</v>
      </c>
      <c r="C381" s="1377" t="s">
        <v>828</v>
      </c>
      <c r="D381" s="1314" t="s">
        <v>947</v>
      </c>
      <c r="E381" s="1315">
        <v>380</v>
      </c>
      <c r="F381" s="1328">
        <v>6.4</v>
      </c>
      <c r="G381" s="1327" t="s">
        <v>922</v>
      </c>
      <c r="H381" s="1380" t="s">
        <v>827</v>
      </c>
      <c r="I381" s="714" t="s">
        <v>952</v>
      </c>
      <c r="J381" s="1321" t="s">
        <v>923</v>
      </c>
    </row>
    <row r="382" spans="1:10" x14ac:dyDescent="0.3">
      <c r="A382" s="1344">
        <v>7.13</v>
      </c>
      <c r="B382" s="1343" t="s">
        <v>539</v>
      </c>
      <c r="C382" s="1377" t="s">
        <v>828</v>
      </c>
      <c r="D382" s="1314" t="s">
        <v>947</v>
      </c>
      <c r="E382" s="1315">
        <v>381</v>
      </c>
      <c r="F382" s="1316" t="s">
        <v>766</v>
      </c>
      <c r="G382" s="1320" t="s">
        <v>835</v>
      </c>
      <c r="H382" s="1380" t="s">
        <v>827</v>
      </c>
      <c r="I382" s="714" t="s">
        <v>952</v>
      </c>
      <c r="J382" s="1321" t="s">
        <v>855</v>
      </c>
    </row>
    <row r="383" spans="1:10" x14ac:dyDescent="0.3">
      <c r="A383" s="1344">
        <v>7.14</v>
      </c>
      <c r="B383" s="1343" t="s">
        <v>826</v>
      </c>
      <c r="C383" s="1377" t="s">
        <v>828</v>
      </c>
      <c r="D383" s="1314" t="s">
        <v>947</v>
      </c>
      <c r="E383" s="1315">
        <v>382</v>
      </c>
      <c r="F383" s="1316" t="s">
        <v>768</v>
      </c>
      <c r="G383" s="1320" t="s">
        <v>928</v>
      </c>
      <c r="H383" s="1380" t="s">
        <v>827</v>
      </c>
      <c r="I383" s="714" t="s">
        <v>952</v>
      </c>
      <c r="J383" s="1321" t="s">
        <v>855</v>
      </c>
    </row>
    <row r="384" spans="1:10" x14ac:dyDescent="0.3">
      <c r="A384" s="1344">
        <v>7.15</v>
      </c>
      <c r="B384" s="1343" t="s">
        <v>826</v>
      </c>
      <c r="C384" s="1377" t="s">
        <v>828</v>
      </c>
      <c r="D384" s="1314" t="s">
        <v>947</v>
      </c>
      <c r="E384" s="1315">
        <v>383</v>
      </c>
      <c r="F384" s="1328">
        <v>6.6</v>
      </c>
      <c r="G384" s="1327" t="s">
        <v>833</v>
      </c>
      <c r="H384" s="1380" t="s">
        <v>827</v>
      </c>
      <c r="I384" s="714" t="s">
        <v>952</v>
      </c>
      <c r="J384" s="1349" t="s">
        <v>834</v>
      </c>
    </row>
    <row r="385" spans="1:10" x14ac:dyDescent="0.3">
      <c r="A385" s="1344">
        <v>7.16</v>
      </c>
      <c r="B385" s="1343" t="s">
        <v>826</v>
      </c>
      <c r="C385" s="1377" t="s">
        <v>828</v>
      </c>
      <c r="D385" s="1314" t="s">
        <v>947</v>
      </c>
      <c r="E385" s="1315">
        <v>384</v>
      </c>
      <c r="F385" s="1328">
        <v>7.1</v>
      </c>
      <c r="G385" s="1327" t="s">
        <v>826</v>
      </c>
      <c r="H385" s="1380" t="s">
        <v>827</v>
      </c>
      <c r="I385" s="714" t="s">
        <v>952</v>
      </c>
      <c r="J385" s="1321" t="s">
        <v>829</v>
      </c>
    </row>
    <row r="386" spans="1:10" x14ac:dyDescent="0.3">
      <c r="A386" s="1347">
        <v>7.17</v>
      </c>
      <c r="B386" s="1348" t="s">
        <v>890</v>
      </c>
      <c r="C386" s="1377" t="s">
        <v>828</v>
      </c>
      <c r="D386" s="1314" t="s">
        <v>947</v>
      </c>
      <c r="E386" s="1315">
        <v>385</v>
      </c>
      <c r="F386" s="1316" t="s">
        <v>774</v>
      </c>
      <c r="G386" s="1320" t="s">
        <v>932</v>
      </c>
      <c r="H386" s="1380" t="s">
        <v>827</v>
      </c>
      <c r="I386" s="714" t="s">
        <v>952</v>
      </c>
      <c r="J386" s="1321" t="s">
        <v>865</v>
      </c>
    </row>
    <row r="387" spans="1:10" x14ac:dyDescent="0.3">
      <c r="A387" s="1340" t="s">
        <v>942</v>
      </c>
      <c r="B387" s="1341" t="s">
        <v>826</v>
      </c>
      <c r="C387" s="1377" t="s">
        <v>828</v>
      </c>
      <c r="D387" s="1314" t="s">
        <v>947</v>
      </c>
      <c r="E387" s="1315">
        <v>386</v>
      </c>
      <c r="F387" s="1316" t="s">
        <v>776</v>
      </c>
      <c r="G387" s="1320" t="s">
        <v>934</v>
      </c>
      <c r="H387" s="1380" t="s">
        <v>827</v>
      </c>
      <c r="I387" s="714" t="s">
        <v>952</v>
      </c>
      <c r="J387" s="1321" t="s">
        <v>935</v>
      </c>
    </row>
    <row r="388" spans="1:10" x14ac:dyDescent="0.3">
      <c r="A388" s="1344" t="s">
        <v>943</v>
      </c>
      <c r="B388" s="1343" t="s">
        <v>826</v>
      </c>
      <c r="C388" s="1377" t="s">
        <v>828</v>
      </c>
      <c r="D388" s="1314" t="s">
        <v>947</v>
      </c>
      <c r="E388" s="1315">
        <v>387</v>
      </c>
      <c r="F388" s="1316" t="s">
        <v>777</v>
      </c>
      <c r="G388" s="1320" t="s">
        <v>826</v>
      </c>
      <c r="H388" s="1380" t="s">
        <v>827</v>
      </c>
      <c r="I388" s="714" t="s">
        <v>952</v>
      </c>
      <c r="J388" s="1321" t="s">
        <v>829</v>
      </c>
    </row>
    <row r="389" spans="1:10" x14ac:dyDescent="0.3">
      <c r="A389" s="1344" t="s">
        <v>944</v>
      </c>
      <c r="B389" s="1343" t="s">
        <v>826</v>
      </c>
      <c r="C389" s="1377" t="s">
        <v>828</v>
      </c>
      <c r="D389" s="1314" t="s">
        <v>947</v>
      </c>
      <c r="E389" s="1315">
        <v>388</v>
      </c>
      <c r="F389" s="1316" t="s">
        <v>779</v>
      </c>
      <c r="G389" s="1327" t="s">
        <v>539</v>
      </c>
      <c r="H389" s="1380" t="s">
        <v>827</v>
      </c>
      <c r="I389" s="714" t="s">
        <v>952</v>
      </c>
      <c r="J389" s="1321" t="s">
        <v>539</v>
      </c>
    </row>
    <row r="390" spans="1:10" x14ac:dyDescent="0.3">
      <c r="A390" s="1344" t="s">
        <v>945</v>
      </c>
      <c r="B390" s="1343" t="s">
        <v>890</v>
      </c>
      <c r="C390" s="1377" t="s">
        <v>828</v>
      </c>
      <c r="D390" s="1314" t="s">
        <v>947</v>
      </c>
      <c r="E390" s="1315">
        <v>389</v>
      </c>
      <c r="F390" s="1316" t="s">
        <v>780</v>
      </c>
      <c r="G390" s="1327" t="s">
        <v>539</v>
      </c>
      <c r="H390" s="1380" t="s">
        <v>827</v>
      </c>
      <c r="I390" s="714" t="s">
        <v>952</v>
      </c>
      <c r="J390" s="1321" t="s">
        <v>539</v>
      </c>
    </row>
    <row r="391" spans="1:10" x14ac:dyDescent="0.3">
      <c r="A391" s="1344" t="s">
        <v>946</v>
      </c>
      <c r="B391" s="1343" t="s">
        <v>835</v>
      </c>
      <c r="C391" s="1377" t="s">
        <v>828</v>
      </c>
      <c r="D391" s="1314" t="s">
        <v>947</v>
      </c>
      <c r="E391" s="1315">
        <v>390</v>
      </c>
      <c r="F391" s="1316" t="s">
        <v>782</v>
      </c>
      <c r="G391" s="1327" t="s">
        <v>842</v>
      </c>
      <c r="H391" s="1380" t="s">
        <v>827</v>
      </c>
      <c r="I391" s="714" t="s">
        <v>952</v>
      </c>
      <c r="J391" s="1321" t="s">
        <v>857</v>
      </c>
    </row>
    <row r="392" spans="1:10" x14ac:dyDescent="0.3">
      <c r="A392" s="1356">
        <v>1.1000000000000001</v>
      </c>
      <c r="B392" s="1357" t="s">
        <v>826</v>
      </c>
      <c r="C392" s="1377" t="s">
        <v>828</v>
      </c>
      <c r="D392" s="1314" t="s">
        <v>975</v>
      </c>
      <c r="E392" s="1315">
        <v>391</v>
      </c>
      <c r="F392" s="1328">
        <v>7.5</v>
      </c>
      <c r="G392" s="1327" t="s">
        <v>826</v>
      </c>
      <c r="H392" s="1380" t="s">
        <v>827</v>
      </c>
      <c r="I392" s="714" t="s">
        <v>952</v>
      </c>
      <c r="J392" s="1321" t="s">
        <v>829</v>
      </c>
    </row>
    <row r="393" spans="1:10" x14ac:dyDescent="0.3">
      <c r="A393" s="1322">
        <v>1.2</v>
      </c>
      <c r="B393" s="1323" t="s">
        <v>830</v>
      </c>
      <c r="C393" s="1377" t="s">
        <v>828</v>
      </c>
      <c r="D393" s="1314" t="s">
        <v>975</v>
      </c>
      <c r="E393" s="1315">
        <v>392</v>
      </c>
      <c r="F393" s="1328">
        <v>7.6</v>
      </c>
      <c r="G393" s="1327" t="s">
        <v>826</v>
      </c>
      <c r="H393" s="1380" t="s">
        <v>827</v>
      </c>
      <c r="I393" s="714" t="s">
        <v>952</v>
      </c>
      <c r="J393" s="1321" t="s">
        <v>829</v>
      </c>
    </row>
    <row r="394" spans="1:10" x14ac:dyDescent="0.3">
      <c r="A394" s="1324">
        <v>2.1</v>
      </c>
      <c r="B394" s="1319" t="s">
        <v>826</v>
      </c>
      <c r="C394" s="1377" t="s">
        <v>828</v>
      </c>
      <c r="D394" s="1314" t="s">
        <v>975</v>
      </c>
      <c r="E394" s="1315">
        <v>393</v>
      </c>
      <c r="F394" s="1328">
        <v>7.7</v>
      </c>
      <c r="G394" s="1327" t="s">
        <v>826</v>
      </c>
      <c r="H394" s="1380" t="s">
        <v>827</v>
      </c>
      <c r="I394" s="714" t="s">
        <v>952</v>
      </c>
      <c r="J394" s="1321" t="s">
        <v>829</v>
      </c>
    </row>
    <row r="395" spans="1:10" x14ac:dyDescent="0.3">
      <c r="A395" s="1325">
        <v>2.2000000000000002</v>
      </c>
      <c r="B395" s="1326" t="s">
        <v>539</v>
      </c>
      <c r="C395" s="1377" t="s">
        <v>828</v>
      </c>
      <c r="D395" s="1314" t="s">
        <v>975</v>
      </c>
      <c r="E395" s="1315">
        <v>394</v>
      </c>
      <c r="F395" s="1328">
        <v>7.8</v>
      </c>
      <c r="G395" s="1327" t="s">
        <v>826</v>
      </c>
      <c r="H395" s="1380" t="s">
        <v>827</v>
      </c>
      <c r="I395" s="714" t="s">
        <v>952</v>
      </c>
      <c r="J395" s="1321" t="s">
        <v>829</v>
      </c>
    </row>
    <row r="396" spans="1:10" x14ac:dyDescent="0.3">
      <c r="A396" s="1325">
        <v>2.2999999999999998</v>
      </c>
      <c r="B396" s="1326" t="s">
        <v>826</v>
      </c>
      <c r="C396" s="1377" t="s">
        <v>828</v>
      </c>
      <c r="D396" s="1314" t="s">
        <v>975</v>
      </c>
      <c r="E396" s="1315">
        <v>395</v>
      </c>
      <c r="F396" s="1328">
        <v>7.9</v>
      </c>
      <c r="G396" s="1327" t="s">
        <v>826</v>
      </c>
      <c r="H396" s="1380" t="s">
        <v>827</v>
      </c>
      <c r="I396" s="714" t="s">
        <v>952</v>
      </c>
      <c r="J396" s="1321" t="s">
        <v>829</v>
      </c>
    </row>
    <row r="397" spans="1:10" x14ac:dyDescent="0.3">
      <c r="A397" s="1325">
        <v>2.4</v>
      </c>
      <c r="B397" s="1326" t="s">
        <v>838</v>
      </c>
      <c r="C397" s="1377" t="s">
        <v>828</v>
      </c>
      <c r="D397" s="1314" t="s">
        <v>975</v>
      </c>
      <c r="E397" s="1315">
        <v>396</v>
      </c>
      <c r="F397" s="1332" t="s">
        <v>788</v>
      </c>
      <c r="G397" s="1327" t="s">
        <v>972</v>
      </c>
      <c r="H397" s="1380" t="s">
        <v>827</v>
      </c>
      <c r="I397" s="714" t="s">
        <v>952</v>
      </c>
      <c r="J397" s="1321" t="s">
        <v>865</v>
      </c>
    </row>
    <row r="398" spans="1:10" x14ac:dyDescent="0.3">
      <c r="A398" s="1325">
        <v>2.5</v>
      </c>
      <c r="B398" s="1326" t="s">
        <v>890</v>
      </c>
      <c r="C398" s="1377" t="s">
        <v>828</v>
      </c>
      <c r="D398" s="1314" t="s">
        <v>975</v>
      </c>
      <c r="E398" s="1315">
        <v>397</v>
      </c>
      <c r="F398" s="1328">
        <v>7.11</v>
      </c>
      <c r="G398" s="1327" t="s">
        <v>826</v>
      </c>
      <c r="H398" s="1380" t="s">
        <v>827</v>
      </c>
      <c r="I398" s="714" t="s">
        <v>952</v>
      </c>
      <c r="J398" s="1321" t="s">
        <v>829</v>
      </c>
    </row>
    <row r="399" spans="1:10" x14ac:dyDescent="0.3">
      <c r="A399" s="1325">
        <v>2.6</v>
      </c>
      <c r="B399" s="1326" t="s">
        <v>842</v>
      </c>
      <c r="C399" s="1377" t="s">
        <v>828</v>
      </c>
      <c r="D399" s="1314" t="s">
        <v>975</v>
      </c>
      <c r="E399" s="1315">
        <v>398</v>
      </c>
      <c r="F399" s="1328">
        <v>7.12</v>
      </c>
      <c r="G399" s="1327" t="s">
        <v>826</v>
      </c>
      <c r="H399" s="1380" t="s">
        <v>827</v>
      </c>
      <c r="I399" s="714" t="s">
        <v>952</v>
      </c>
      <c r="J399" s="1321" t="s">
        <v>829</v>
      </c>
    </row>
    <row r="400" spans="1:10" x14ac:dyDescent="0.3">
      <c r="A400" s="1329" t="s">
        <v>843</v>
      </c>
      <c r="B400" s="1326" t="s">
        <v>826</v>
      </c>
      <c r="C400" s="1377" t="s">
        <v>828</v>
      </c>
      <c r="D400" s="1314" t="s">
        <v>975</v>
      </c>
      <c r="E400" s="1315">
        <v>399</v>
      </c>
      <c r="F400" s="1316" t="s">
        <v>792</v>
      </c>
      <c r="G400" s="1327" t="s">
        <v>539</v>
      </c>
      <c r="H400" s="1380" t="s">
        <v>827</v>
      </c>
      <c r="I400" s="714" t="s">
        <v>952</v>
      </c>
      <c r="J400" s="1321" t="s">
        <v>539</v>
      </c>
    </row>
    <row r="401" spans="1:10" x14ac:dyDescent="0.3">
      <c r="A401" s="1325" t="s">
        <v>844</v>
      </c>
      <c r="B401" s="1326" t="s">
        <v>979</v>
      </c>
      <c r="C401" s="1377" t="s">
        <v>828</v>
      </c>
      <c r="D401" s="1314" t="s">
        <v>975</v>
      </c>
      <c r="E401" s="1315">
        <v>400</v>
      </c>
      <c r="F401" s="1316" t="s">
        <v>794</v>
      </c>
      <c r="G401" s="1327" t="s">
        <v>973</v>
      </c>
      <c r="H401" s="1380" t="s">
        <v>827</v>
      </c>
      <c r="I401" s="714" t="s">
        <v>952</v>
      </c>
      <c r="J401" s="1321" t="s">
        <v>974</v>
      </c>
    </row>
    <row r="402" spans="1:10" x14ac:dyDescent="0.3">
      <c r="A402" s="1325">
        <v>2.8</v>
      </c>
      <c r="B402" s="1326" t="s">
        <v>847</v>
      </c>
      <c r="C402" s="1377" t="s">
        <v>828</v>
      </c>
      <c r="D402" s="1314" t="s">
        <v>975</v>
      </c>
      <c r="E402" s="1315">
        <v>401</v>
      </c>
      <c r="F402" s="1328">
        <v>7.14</v>
      </c>
      <c r="G402" s="1327" t="s">
        <v>826</v>
      </c>
      <c r="H402" s="1380" t="s">
        <v>827</v>
      </c>
      <c r="I402" s="714" t="s">
        <v>952</v>
      </c>
      <c r="J402" s="1321" t="s">
        <v>829</v>
      </c>
    </row>
    <row r="403" spans="1:10" x14ac:dyDescent="0.3">
      <c r="A403" s="1325">
        <v>2.9</v>
      </c>
      <c r="B403" s="1326" t="s">
        <v>850</v>
      </c>
      <c r="C403" s="1377" t="s">
        <v>828</v>
      </c>
      <c r="D403" s="1314" t="s">
        <v>975</v>
      </c>
      <c r="E403" s="1315">
        <v>402</v>
      </c>
      <c r="F403" s="1328">
        <v>7.15</v>
      </c>
      <c r="G403" s="1327" t="s">
        <v>826</v>
      </c>
      <c r="H403" s="1380" t="s">
        <v>827</v>
      </c>
      <c r="I403" s="714" t="s">
        <v>952</v>
      </c>
      <c r="J403" s="1321" t="s">
        <v>829</v>
      </c>
    </row>
    <row r="404" spans="1:10" x14ac:dyDescent="0.3">
      <c r="A404" s="1330" t="s">
        <v>709</v>
      </c>
      <c r="B404" s="1323" t="s">
        <v>842</v>
      </c>
      <c r="C404" s="1377" t="s">
        <v>828</v>
      </c>
      <c r="D404" s="1314" t="s">
        <v>975</v>
      </c>
      <c r="E404" s="1315">
        <v>403</v>
      </c>
      <c r="F404" s="1328">
        <v>7.16</v>
      </c>
      <c r="G404" s="1327" t="s">
        <v>826</v>
      </c>
      <c r="H404" s="1380" t="s">
        <v>827</v>
      </c>
      <c r="I404" s="714" t="s">
        <v>952</v>
      </c>
      <c r="J404" s="1321" t="s">
        <v>829</v>
      </c>
    </row>
    <row r="405" spans="1:10" x14ac:dyDescent="0.3">
      <c r="A405" s="1324" t="s">
        <v>851</v>
      </c>
      <c r="B405" s="1319" t="s">
        <v>826</v>
      </c>
      <c r="C405" s="1377" t="s">
        <v>828</v>
      </c>
      <c r="D405" s="1314" t="s">
        <v>975</v>
      </c>
      <c r="E405" s="1315">
        <v>404</v>
      </c>
      <c r="F405" s="1328">
        <v>7.17</v>
      </c>
      <c r="G405" s="1327" t="s">
        <v>826</v>
      </c>
      <c r="H405" s="1380" t="s">
        <v>827</v>
      </c>
      <c r="I405" s="714" t="s">
        <v>952</v>
      </c>
      <c r="J405" s="1321" t="s">
        <v>829</v>
      </c>
    </row>
    <row r="406" spans="1:10" x14ac:dyDescent="0.3">
      <c r="A406" s="1325" t="s">
        <v>854</v>
      </c>
      <c r="B406" s="1326" t="s">
        <v>826</v>
      </c>
      <c r="C406" s="1377" t="s">
        <v>828</v>
      </c>
      <c r="D406" s="1314" t="s">
        <v>975</v>
      </c>
      <c r="E406" s="1315">
        <v>405</v>
      </c>
      <c r="F406" s="1316" t="s">
        <v>801</v>
      </c>
      <c r="G406" s="1327" t="s">
        <v>826</v>
      </c>
      <c r="H406" s="1380" t="s">
        <v>827</v>
      </c>
      <c r="I406" s="714" t="s">
        <v>952</v>
      </c>
      <c r="J406" s="1321" t="s">
        <v>829</v>
      </c>
    </row>
    <row r="407" spans="1:10" x14ac:dyDescent="0.3">
      <c r="A407" s="1325" t="s">
        <v>715</v>
      </c>
      <c r="B407" s="1331" t="s">
        <v>856</v>
      </c>
      <c r="C407" s="1377" t="s">
        <v>828</v>
      </c>
      <c r="D407" s="1314" t="s">
        <v>975</v>
      </c>
      <c r="E407" s="1315">
        <v>406</v>
      </c>
      <c r="F407" s="1316" t="s">
        <v>803</v>
      </c>
      <c r="G407" s="1320" t="s">
        <v>890</v>
      </c>
      <c r="H407" s="1380" t="s">
        <v>827</v>
      </c>
      <c r="I407" s="714" t="s">
        <v>952</v>
      </c>
      <c r="J407" s="1321" t="s">
        <v>891</v>
      </c>
    </row>
    <row r="408" spans="1:10" x14ac:dyDescent="0.3">
      <c r="A408" s="1325" t="s">
        <v>716</v>
      </c>
      <c r="B408" s="1326" t="s">
        <v>838</v>
      </c>
      <c r="C408" s="1377" t="s">
        <v>828</v>
      </c>
      <c r="D408" s="1314" t="s">
        <v>975</v>
      </c>
      <c r="E408" s="1315">
        <v>407</v>
      </c>
      <c r="F408" s="1328">
        <v>8.1999999999999993</v>
      </c>
      <c r="G408" s="1327" t="s">
        <v>948</v>
      </c>
      <c r="H408" s="1380" t="s">
        <v>827</v>
      </c>
      <c r="I408" s="714" t="s">
        <v>952</v>
      </c>
      <c r="J408" s="1321" t="s">
        <v>949</v>
      </c>
    </row>
    <row r="409" spans="1:10" x14ac:dyDescent="0.3">
      <c r="A409" s="1325" t="s">
        <v>717</v>
      </c>
      <c r="B409" s="1326" t="s">
        <v>858</v>
      </c>
      <c r="C409" s="1377" t="s">
        <v>828</v>
      </c>
      <c r="D409" s="1314" t="s">
        <v>975</v>
      </c>
      <c r="E409" s="1315">
        <v>408</v>
      </c>
      <c r="F409" s="1328">
        <v>8.3000000000000007</v>
      </c>
      <c r="G409" s="1327" t="s">
        <v>826</v>
      </c>
      <c r="H409" s="1380" t="s">
        <v>827</v>
      </c>
      <c r="I409" s="714" t="s">
        <v>952</v>
      </c>
      <c r="J409" s="1321" t="s">
        <v>829</v>
      </c>
    </row>
    <row r="410" spans="1:10" x14ac:dyDescent="0.3">
      <c r="A410" s="1325" t="s">
        <v>859</v>
      </c>
      <c r="B410" s="1331" t="s">
        <v>860</v>
      </c>
      <c r="C410" s="1377" t="s">
        <v>828</v>
      </c>
      <c r="D410" s="1314" t="s">
        <v>975</v>
      </c>
      <c r="E410" s="1315">
        <v>409</v>
      </c>
      <c r="F410" s="1328">
        <v>8.4</v>
      </c>
      <c r="G410" s="1327" t="s">
        <v>950</v>
      </c>
      <c r="H410" s="1380" t="s">
        <v>827</v>
      </c>
      <c r="I410" s="714" t="s">
        <v>952</v>
      </c>
      <c r="J410" s="1321" t="s">
        <v>951</v>
      </c>
    </row>
    <row r="411" spans="1:10" ht="15" thickBot="1" x14ac:dyDescent="0.35">
      <c r="A411" s="1325" t="s">
        <v>861</v>
      </c>
      <c r="B411" s="1326" t="s">
        <v>862</v>
      </c>
      <c r="C411" s="1377" t="s">
        <v>828</v>
      </c>
      <c r="D411" s="1314" t="s">
        <v>975</v>
      </c>
      <c r="E411" s="1315">
        <v>410</v>
      </c>
      <c r="F411" s="1361">
        <v>8.5</v>
      </c>
      <c r="G411" s="1327" t="s">
        <v>826</v>
      </c>
      <c r="H411" s="1362" t="s">
        <v>827</v>
      </c>
      <c r="I411" s="714" t="s">
        <v>952</v>
      </c>
      <c r="J411" s="1364" t="s">
        <v>829</v>
      </c>
    </row>
    <row r="412" spans="1:10" ht="15" thickTop="1" x14ac:dyDescent="0.3">
      <c r="A412" s="1325" t="s">
        <v>866</v>
      </c>
      <c r="B412" s="1323" t="s">
        <v>826</v>
      </c>
      <c r="C412" s="1377" t="s">
        <v>828</v>
      </c>
      <c r="D412" s="1314" t="s">
        <v>975</v>
      </c>
      <c r="E412" s="1315">
        <v>411</v>
      </c>
      <c r="F412" s="1316" t="s">
        <v>685</v>
      </c>
      <c r="G412" s="1327" t="s">
        <v>826</v>
      </c>
      <c r="H412" s="1380" t="s">
        <v>827</v>
      </c>
      <c r="I412" s="714" t="s">
        <v>976</v>
      </c>
      <c r="J412" s="1321" t="s">
        <v>829</v>
      </c>
    </row>
    <row r="413" spans="1:10" x14ac:dyDescent="0.3">
      <c r="A413" s="1334" t="s">
        <v>868</v>
      </c>
      <c r="B413" s="1335" t="s">
        <v>826</v>
      </c>
      <c r="C413" s="1377" t="s">
        <v>828</v>
      </c>
      <c r="D413" s="1314" t="s">
        <v>975</v>
      </c>
      <c r="E413" s="1315">
        <v>412</v>
      </c>
      <c r="F413" s="1316" t="s">
        <v>687</v>
      </c>
      <c r="G413" s="1320" t="s">
        <v>831</v>
      </c>
      <c r="H413" s="1380" t="s">
        <v>827</v>
      </c>
      <c r="I413" s="714" t="s">
        <v>976</v>
      </c>
      <c r="J413" s="1321" t="s">
        <v>832</v>
      </c>
    </row>
    <row r="414" spans="1:10" x14ac:dyDescent="0.3">
      <c r="A414" s="1336" t="s">
        <v>872</v>
      </c>
      <c r="B414" s="1337" t="s">
        <v>862</v>
      </c>
      <c r="C414" s="1377" t="s">
        <v>828</v>
      </c>
      <c r="D414" s="1314" t="s">
        <v>975</v>
      </c>
      <c r="E414" s="1315">
        <v>413</v>
      </c>
      <c r="F414" s="1328">
        <v>1.2</v>
      </c>
      <c r="G414" s="1327" t="s">
        <v>953</v>
      </c>
      <c r="H414" s="1380" t="s">
        <v>827</v>
      </c>
      <c r="I414" s="714" t="s">
        <v>976</v>
      </c>
      <c r="J414" s="1321" t="s">
        <v>834</v>
      </c>
    </row>
    <row r="415" spans="1:10" x14ac:dyDescent="0.3">
      <c r="A415" s="1336" t="s">
        <v>874</v>
      </c>
      <c r="B415" s="1339" t="s">
        <v>875</v>
      </c>
      <c r="C415" s="1377" t="s">
        <v>828</v>
      </c>
      <c r="D415" s="1314" t="s">
        <v>975</v>
      </c>
      <c r="E415" s="1315">
        <v>414</v>
      </c>
      <c r="F415" s="1316" t="s">
        <v>690</v>
      </c>
      <c r="G415" s="1327" t="s">
        <v>826</v>
      </c>
      <c r="H415" s="1380" t="s">
        <v>827</v>
      </c>
      <c r="I415" s="714" t="s">
        <v>976</v>
      </c>
      <c r="J415" s="1321" t="s">
        <v>829</v>
      </c>
    </row>
    <row r="416" spans="1:10" x14ac:dyDescent="0.3">
      <c r="A416" s="1340" t="s">
        <v>878</v>
      </c>
      <c r="B416" s="1341" t="s">
        <v>539</v>
      </c>
      <c r="C416" s="1377" t="s">
        <v>828</v>
      </c>
      <c r="D416" s="1314" t="s">
        <v>975</v>
      </c>
      <c r="E416" s="1315">
        <v>415</v>
      </c>
      <c r="F416" s="1316" t="s">
        <v>692</v>
      </c>
      <c r="G416" s="1327" t="s">
        <v>836</v>
      </c>
      <c r="H416" s="1380" t="s">
        <v>827</v>
      </c>
      <c r="I416" s="714" t="s">
        <v>976</v>
      </c>
      <c r="J416" s="1321" t="s">
        <v>837</v>
      </c>
    </row>
    <row r="417" spans="1:10" x14ac:dyDescent="0.3">
      <c r="A417" s="1342" t="s">
        <v>879</v>
      </c>
      <c r="B417" s="1343" t="s">
        <v>826</v>
      </c>
      <c r="C417" s="1377" t="s">
        <v>828</v>
      </c>
      <c r="D417" s="1314" t="s">
        <v>975</v>
      </c>
      <c r="E417" s="1315">
        <v>416</v>
      </c>
      <c r="F417" s="1328">
        <v>1.4</v>
      </c>
      <c r="G417" s="1327" t="s">
        <v>839</v>
      </c>
      <c r="H417" s="1380" t="s">
        <v>827</v>
      </c>
      <c r="I417" s="714" t="s">
        <v>976</v>
      </c>
      <c r="J417" s="1321" t="s">
        <v>840</v>
      </c>
    </row>
    <row r="418" spans="1:10" x14ac:dyDescent="0.3">
      <c r="A418" s="1344" t="s">
        <v>880</v>
      </c>
      <c r="B418" s="1343" t="s">
        <v>539</v>
      </c>
      <c r="C418" s="1377" t="s">
        <v>828</v>
      </c>
      <c r="D418" s="1314" t="s">
        <v>975</v>
      </c>
      <c r="E418" s="1315">
        <v>417</v>
      </c>
      <c r="F418" s="1328">
        <v>2.1</v>
      </c>
      <c r="G418" s="1327" t="s">
        <v>826</v>
      </c>
      <c r="H418" s="1380" t="s">
        <v>827</v>
      </c>
      <c r="I418" s="714" t="s">
        <v>976</v>
      </c>
      <c r="J418" s="1321" t="s">
        <v>829</v>
      </c>
    </row>
    <row r="419" spans="1:10" x14ac:dyDescent="0.3">
      <c r="A419" s="1342" t="s">
        <v>884</v>
      </c>
      <c r="B419" s="1343" t="s">
        <v>838</v>
      </c>
      <c r="C419" s="1377" t="s">
        <v>828</v>
      </c>
      <c r="D419" s="1314" t="s">
        <v>975</v>
      </c>
      <c r="E419" s="1315">
        <v>418</v>
      </c>
      <c r="F419" s="1328">
        <v>2.2000000000000002</v>
      </c>
      <c r="G419" s="1327" t="s">
        <v>539</v>
      </c>
      <c r="H419" s="1380" t="s">
        <v>827</v>
      </c>
      <c r="I419" s="714" t="s">
        <v>976</v>
      </c>
      <c r="J419" s="1321" t="s">
        <v>539</v>
      </c>
    </row>
    <row r="420" spans="1:10" x14ac:dyDescent="0.3">
      <c r="A420" s="1344" t="s">
        <v>885</v>
      </c>
      <c r="B420" s="1343" t="s">
        <v>826</v>
      </c>
      <c r="C420" s="1377" t="s">
        <v>828</v>
      </c>
      <c r="D420" s="1314" t="s">
        <v>975</v>
      </c>
      <c r="E420" s="1315">
        <v>419</v>
      </c>
      <c r="F420" s="1328">
        <v>2.2999999999999998</v>
      </c>
      <c r="G420" s="1327" t="s">
        <v>826</v>
      </c>
      <c r="H420" s="1380" t="s">
        <v>827</v>
      </c>
      <c r="I420" s="714" t="s">
        <v>976</v>
      </c>
      <c r="J420" s="1321" t="s">
        <v>829</v>
      </c>
    </row>
    <row r="421" spans="1:10" x14ac:dyDescent="0.3">
      <c r="A421" s="1344" t="s">
        <v>888</v>
      </c>
      <c r="B421" s="1345" t="s">
        <v>889</v>
      </c>
      <c r="C421" s="1377" t="s">
        <v>828</v>
      </c>
      <c r="D421" s="1314" t="s">
        <v>975</v>
      </c>
      <c r="E421" s="1315">
        <v>420</v>
      </c>
      <c r="F421" s="1328">
        <v>2.4</v>
      </c>
      <c r="G421" s="1320" t="s">
        <v>838</v>
      </c>
      <c r="H421" s="1380" t="s">
        <v>827</v>
      </c>
      <c r="I421" s="714" t="s">
        <v>976</v>
      </c>
      <c r="J421" s="1321" t="s">
        <v>846</v>
      </c>
    </row>
    <row r="422" spans="1:10" x14ac:dyDescent="0.3">
      <c r="A422" s="1344" t="s">
        <v>892</v>
      </c>
      <c r="B422" s="1343" t="s">
        <v>842</v>
      </c>
      <c r="C422" s="1377" t="s">
        <v>828</v>
      </c>
      <c r="D422" s="1314" t="s">
        <v>975</v>
      </c>
      <c r="E422" s="1315">
        <v>421</v>
      </c>
      <c r="F422" s="1328">
        <v>2.5</v>
      </c>
      <c r="G422" s="1320" t="s">
        <v>848</v>
      </c>
      <c r="H422" s="1380" t="s">
        <v>827</v>
      </c>
      <c r="I422" s="714" t="s">
        <v>976</v>
      </c>
      <c r="J422" s="1321" t="s">
        <v>849</v>
      </c>
    </row>
    <row r="423" spans="1:10" x14ac:dyDescent="0.3">
      <c r="A423" s="1344" t="s">
        <v>893</v>
      </c>
      <c r="B423" s="1343" t="s">
        <v>826</v>
      </c>
      <c r="C423" s="1377" t="s">
        <v>828</v>
      </c>
      <c r="D423" s="1314" t="s">
        <v>975</v>
      </c>
      <c r="E423" s="1315">
        <v>422</v>
      </c>
      <c r="F423" s="1328">
        <v>2.6</v>
      </c>
      <c r="G423" s="1327" t="s">
        <v>826</v>
      </c>
      <c r="H423" s="1380" t="s">
        <v>827</v>
      </c>
      <c r="I423" s="714" t="s">
        <v>976</v>
      </c>
      <c r="J423" s="1321" t="s">
        <v>829</v>
      </c>
    </row>
    <row r="424" spans="1:10" x14ac:dyDescent="0.3">
      <c r="A424" s="1344" t="s">
        <v>894</v>
      </c>
      <c r="B424" s="1343" t="s">
        <v>539</v>
      </c>
      <c r="C424" s="1377" t="s">
        <v>828</v>
      </c>
      <c r="D424" s="1314" t="s">
        <v>975</v>
      </c>
      <c r="E424" s="1315">
        <v>423</v>
      </c>
      <c r="F424" s="1316" t="s">
        <v>703</v>
      </c>
      <c r="G424" s="1327" t="s">
        <v>539</v>
      </c>
      <c r="H424" s="1380" t="s">
        <v>827</v>
      </c>
      <c r="I424" s="714" t="s">
        <v>976</v>
      </c>
      <c r="J424" s="1321" t="s">
        <v>539</v>
      </c>
    </row>
    <row r="425" spans="1:10" x14ac:dyDescent="0.3">
      <c r="A425" s="1342" t="s">
        <v>897</v>
      </c>
      <c r="B425" s="1343" t="s">
        <v>835</v>
      </c>
      <c r="C425" s="1377" t="s">
        <v>828</v>
      </c>
      <c r="D425" s="1314" t="s">
        <v>975</v>
      </c>
      <c r="E425" s="1315">
        <v>424</v>
      </c>
      <c r="F425" s="1316" t="s">
        <v>705</v>
      </c>
      <c r="G425" s="1327" t="s">
        <v>980</v>
      </c>
      <c r="H425" s="1380" t="s">
        <v>827</v>
      </c>
      <c r="I425" s="714" t="s">
        <v>976</v>
      </c>
      <c r="J425" s="1321" t="s">
        <v>981</v>
      </c>
    </row>
    <row r="426" spans="1:10" x14ac:dyDescent="0.3">
      <c r="A426" s="1344" t="s">
        <v>898</v>
      </c>
      <c r="B426" s="1343" t="s">
        <v>899</v>
      </c>
      <c r="C426" s="1377" t="s">
        <v>828</v>
      </c>
      <c r="D426" s="1314" t="s">
        <v>975</v>
      </c>
      <c r="E426" s="1315">
        <v>425</v>
      </c>
      <c r="F426" s="1328">
        <v>2.8</v>
      </c>
      <c r="G426" s="1327" t="s">
        <v>955</v>
      </c>
      <c r="H426" s="1380" t="s">
        <v>827</v>
      </c>
      <c r="I426" s="714" t="s">
        <v>976</v>
      </c>
      <c r="J426" s="1321" t="s">
        <v>956</v>
      </c>
    </row>
    <row r="427" spans="1:10" x14ac:dyDescent="0.3">
      <c r="A427" s="1344" t="s">
        <v>902</v>
      </c>
      <c r="B427" s="1343" t="s">
        <v>903</v>
      </c>
      <c r="C427" s="1377" t="s">
        <v>828</v>
      </c>
      <c r="D427" s="1314" t="s">
        <v>975</v>
      </c>
      <c r="E427" s="1315">
        <v>426</v>
      </c>
      <c r="F427" s="1328">
        <v>2.9</v>
      </c>
      <c r="G427" s="1327" t="s">
        <v>838</v>
      </c>
      <c r="H427" s="1380" t="s">
        <v>827</v>
      </c>
      <c r="I427" s="714" t="s">
        <v>976</v>
      </c>
      <c r="J427" s="1321" t="s">
        <v>846</v>
      </c>
    </row>
    <row r="428" spans="1:10" x14ac:dyDescent="0.3">
      <c r="A428" s="1344" t="s">
        <v>905</v>
      </c>
      <c r="B428" s="1343" t="s">
        <v>906</v>
      </c>
      <c r="C428" s="1377" t="s">
        <v>828</v>
      </c>
      <c r="D428" s="1314" t="s">
        <v>975</v>
      </c>
      <c r="E428" s="1315">
        <v>427</v>
      </c>
      <c r="F428" s="1332" t="s">
        <v>709</v>
      </c>
      <c r="G428" s="1327" t="s">
        <v>842</v>
      </c>
      <c r="H428" s="1380" t="s">
        <v>827</v>
      </c>
      <c r="I428" s="714" t="s">
        <v>976</v>
      </c>
      <c r="J428" s="1321" t="s">
        <v>857</v>
      </c>
    </row>
    <row r="429" spans="1:10" x14ac:dyDescent="0.3">
      <c r="A429" s="1344" t="s">
        <v>907</v>
      </c>
      <c r="B429" s="1343" t="s">
        <v>826</v>
      </c>
      <c r="C429" s="1377" t="s">
        <v>828</v>
      </c>
      <c r="D429" s="1314" t="s">
        <v>975</v>
      </c>
      <c r="E429" s="1315">
        <v>428</v>
      </c>
      <c r="F429" s="1328">
        <v>3.1</v>
      </c>
      <c r="G429" s="1327" t="s">
        <v>826</v>
      </c>
      <c r="H429" s="1380" t="s">
        <v>827</v>
      </c>
      <c r="I429" s="714" t="s">
        <v>976</v>
      </c>
      <c r="J429" s="1321" t="s">
        <v>829</v>
      </c>
    </row>
    <row r="430" spans="1:10" x14ac:dyDescent="0.3">
      <c r="A430" s="1344" t="s">
        <v>756</v>
      </c>
      <c r="B430" s="1343" t="s">
        <v>908</v>
      </c>
      <c r="C430" s="1377" t="s">
        <v>828</v>
      </c>
      <c r="D430" s="1314" t="s">
        <v>975</v>
      </c>
      <c r="E430" s="1315">
        <v>429</v>
      </c>
      <c r="F430" s="1328">
        <v>3.2</v>
      </c>
      <c r="G430" s="1327" t="s">
        <v>826</v>
      </c>
      <c r="H430" s="1380" t="s">
        <v>827</v>
      </c>
      <c r="I430" s="714" t="s">
        <v>976</v>
      </c>
      <c r="J430" s="1321" t="s">
        <v>829</v>
      </c>
    </row>
    <row r="431" spans="1:10" x14ac:dyDescent="0.3">
      <c r="A431" s="1344">
        <v>5.1100000000000003</v>
      </c>
      <c r="B431" s="1343" t="s">
        <v>959</v>
      </c>
      <c r="C431" s="1377" t="s">
        <v>828</v>
      </c>
      <c r="D431" s="1314" t="s">
        <v>975</v>
      </c>
      <c r="E431" s="1315">
        <v>430</v>
      </c>
      <c r="F431" s="1316" t="s">
        <v>863</v>
      </c>
      <c r="G431" s="1320" t="s">
        <v>864</v>
      </c>
      <c r="H431" s="1380" t="s">
        <v>827</v>
      </c>
      <c r="I431" s="714" t="s">
        <v>976</v>
      </c>
      <c r="J431" s="1321" t="s">
        <v>865</v>
      </c>
    </row>
    <row r="432" spans="1:10" x14ac:dyDescent="0.3">
      <c r="A432" s="1344">
        <v>5.12</v>
      </c>
      <c r="B432" s="1343" t="s">
        <v>850</v>
      </c>
      <c r="C432" s="1377" t="s">
        <v>828</v>
      </c>
      <c r="D432" s="1314" t="s">
        <v>975</v>
      </c>
      <c r="E432" s="1315">
        <v>431</v>
      </c>
      <c r="F432" s="1316" t="s">
        <v>867</v>
      </c>
      <c r="G432" s="1320" t="s">
        <v>838</v>
      </c>
      <c r="H432" s="1380" t="s">
        <v>827</v>
      </c>
      <c r="I432" s="714" t="s">
        <v>976</v>
      </c>
      <c r="J432" s="1321" t="s">
        <v>846</v>
      </c>
    </row>
    <row r="433" spans="1:10" x14ac:dyDescent="0.3">
      <c r="A433" s="1347">
        <v>5.13</v>
      </c>
      <c r="B433" s="1348" t="s">
        <v>960</v>
      </c>
      <c r="C433" s="1377" t="s">
        <v>828</v>
      </c>
      <c r="D433" s="1314" t="s">
        <v>975</v>
      </c>
      <c r="E433" s="1315">
        <v>432</v>
      </c>
      <c r="F433" s="1316" t="s">
        <v>869</v>
      </c>
      <c r="G433" s="1327" t="s">
        <v>870</v>
      </c>
      <c r="H433" s="1380" t="s">
        <v>827</v>
      </c>
      <c r="I433" s="714" t="s">
        <v>976</v>
      </c>
      <c r="J433" s="1321" t="s">
        <v>871</v>
      </c>
    </row>
    <row r="434" spans="1:10" x14ac:dyDescent="0.3">
      <c r="A434" s="1340" t="s">
        <v>910</v>
      </c>
      <c r="B434" s="1341" t="s">
        <v>826</v>
      </c>
      <c r="C434" s="1377" t="s">
        <v>828</v>
      </c>
      <c r="D434" s="1314" t="s">
        <v>975</v>
      </c>
      <c r="E434" s="1315">
        <v>433</v>
      </c>
      <c r="F434" s="1328">
        <v>3.4</v>
      </c>
      <c r="G434" s="1327" t="s">
        <v>873</v>
      </c>
      <c r="H434" s="1380" t="s">
        <v>827</v>
      </c>
      <c r="I434" s="714" t="s">
        <v>976</v>
      </c>
      <c r="J434" s="1321" t="s">
        <v>865</v>
      </c>
    </row>
    <row r="435" spans="1:10" x14ac:dyDescent="0.3">
      <c r="A435" s="1344" t="s">
        <v>911</v>
      </c>
      <c r="B435" s="1343" t="s">
        <v>826</v>
      </c>
      <c r="C435" s="1377" t="s">
        <v>828</v>
      </c>
      <c r="D435" s="1314" t="s">
        <v>975</v>
      </c>
      <c r="E435" s="1315">
        <v>434</v>
      </c>
      <c r="F435" s="1328">
        <v>3.5</v>
      </c>
      <c r="G435" s="1320" t="s">
        <v>876</v>
      </c>
      <c r="H435" s="1380" t="s">
        <v>827</v>
      </c>
      <c r="I435" s="714" t="s">
        <v>976</v>
      </c>
      <c r="J435" s="1321" t="s">
        <v>877</v>
      </c>
    </row>
    <row r="436" spans="1:10" x14ac:dyDescent="0.3">
      <c r="A436" s="1344" t="s">
        <v>912</v>
      </c>
      <c r="B436" s="1343" t="s">
        <v>858</v>
      </c>
      <c r="C436" s="1377" t="s">
        <v>828</v>
      </c>
      <c r="D436" s="1314" t="s">
        <v>975</v>
      </c>
      <c r="E436" s="1315">
        <v>435</v>
      </c>
      <c r="F436" s="1328">
        <v>3.6</v>
      </c>
      <c r="G436" s="1327" t="s">
        <v>826</v>
      </c>
      <c r="H436" s="1380" t="s">
        <v>827</v>
      </c>
      <c r="I436" s="714" t="s">
        <v>976</v>
      </c>
      <c r="J436" s="1321" t="s">
        <v>829</v>
      </c>
    </row>
    <row r="437" spans="1:10" x14ac:dyDescent="0.3">
      <c r="A437" s="1344" t="s">
        <v>913</v>
      </c>
      <c r="B437" s="1343" t="s">
        <v>914</v>
      </c>
      <c r="C437" s="1377" t="s">
        <v>828</v>
      </c>
      <c r="D437" s="1314" t="s">
        <v>975</v>
      </c>
      <c r="E437" s="1315">
        <v>436</v>
      </c>
      <c r="F437" s="1316" t="s">
        <v>724</v>
      </c>
      <c r="G437" s="1327" t="s">
        <v>826</v>
      </c>
      <c r="H437" s="1380" t="s">
        <v>827</v>
      </c>
      <c r="I437" s="714" t="s">
        <v>976</v>
      </c>
      <c r="J437" s="1321" t="s">
        <v>829</v>
      </c>
    </row>
    <row r="438" spans="1:10" x14ac:dyDescent="0.3">
      <c r="A438" s="1344" t="s">
        <v>915</v>
      </c>
      <c r="B438" s="1343" t="s">
        <v>858</v>
      </c>
      <c r="C438" s="1377" t="s">
        <v>828</v>
      </c>
      <c r="D438" s="1314" t="s">
        <v>975</v>
      </c>
      <c r="E438" s="1315">
        <v>437</v>
      </c>
      <c r="F438" s="1316" t="s">
        <v>726</v>
      </c>
      <c r="G438" s="1327" t="s">
        <v>958</v>
      </c>
      <c r="H438" s="1380" t="s">
        <v>827</v>
      </c>
      <c r="I438" s="714" t="s">
        <v>976</v>
      </c>
      <c r="J438" s="1321" t="s">
        <v>883</v>
      </c>
    </row>
    <row r="439" spans="1:10" x14ac:dyDescent="0.3">
      <c r="A439" s="1344" t="s">
        <v>916</v>
      </c>
      <c r="B439" s="1343" t="s">
        <v>858</v>
      </c>
      <c r="C439" s="1377" t="s">
        <v>828</v>
      </c>
      <c r="D439" s="1314" t="s">
        <v>975</v>
      </c>
      <c r="E439" s="1315">
        <v>438</v>
      </c>
      <c r="F439" s="1328">
        <v>4.2</v>
      </c>
      <c r="G439" s="1327" t="s">
        <v>927</v>
      </c>
      <c r="H439" s="1380" t="s">
        <v>827</v>
      </c>
      <c r="I439" s="714" t="s">
        <v>976</v>
      </c>
      <c r="J439" s="1321" t="s">
        <v>901</v>
      </c>
    </row>
    <row r="440" spans="1:10" x14ac:dyDescent="0.3">
      <c r="A440" s="1344" t="s">
        <v>917</v>
      </c>
      <c r="B440" s="1343" t="s">
        <v>838</v>
      </c>
      <c r="C440" s="1377" t="s">
        <v>828</v>
      </c>
      <c r="D440" s="1314" t="s">
        <v>975</v>
      </c>
      <c r="E440" s="1315">
        <v>439</v>
      </c>
      <c r="F440" s="1328">
        <v>4.3</v>
      </c>
      <c r="G440" s="1320" t="s">
        <v>886</v>
      </c>
      <c r="H440" s="1380" t="s">
        <v>827</v>
      </c>
      <c r="I440" s="714" t="s">
        <v>976</v>
      </c>
      <c r="J440" s="1321" t="s">
        <v>887</v>
      </c>
    </row>
    <row r="441" spans="1:10" x14ac:dyDescent="0.3">
      <c r="A441" s="1344" t="s">
        <v>918</v>
      </c>
      <c r="B441" s="1343" t="s">
        <v>838</v>
      </c>
      <c r="C441" s="1377" t="s">
        <v>828</v>
      </c>
      <c r="D441" s="1314" t="s">
        <v>975</v>
      </c>
      <c r="E441" s="1315">
        <v>440</v>
      </c>
      <c r="F441" s="1328">
        <v>4.4000000000000004</v>
      </c>
      <c r="G441" s="1320" t="s">
        <v>890</v>
      </c>
      <c r="H441" s="1380" t="s">
        <v>827</v>
      </c>
      <c r="I441" s="714" t="s">
        <v>976</v>
      </c>
      <c r="J441" s="1321" t="s">
        <v>891</v>
      </c>
    </row>
    <row r="442" spans="1:10" x14ac:dyDescent="0.3">
      <c r="A442" s="1347" t="s">
        <v>919</v>
      </c>
      <c r="B442" s="1348" t="s">
        <v>920</v>
      </c>
      <c r="C442" s="1377" t="s">
        <v>828</v>
      </c>
      <c r="D442" s="1314" t="s">
        <v>975</v>
      </c>
      <c r="E442" s="1315">
        <v>441</v>
      </c>
      <c r="F442" s="1316" t="s">
        <v>733</v>
      </c>
      <c r="G442" s="1327" t="s">
        <v>539</v>
      </c>
      <c r="H442" s="1380" t="s">
        <v>827</v>
      </c>
      <c r="I442" s="714" t="s">
        <v>976</v>
      </c>
      <c r="J442" s="1321" t="s">
        <v>539</v>
      </c>
    </row>
    <row r="443" spans="1:10" x14ac:dyDescent="0.3">
      <c r="A443" s="1340" t="s">
        <v>921</v>
      </c>
      <c r="B443" s="1341" t="s">
        <v>826</v>
      </c>
      <c r="C443" s="1377" t="s">
        <v>828</v>
      </c>
      <c r="D443" s="1314" t="s">
        <v>975</v>
      </c>
      <c r="E443" s="1315">
        <v>442</v>
      </c>
      <c r="F443" s="1316" t="s">
        <v>735</v>
      </c>
      <c r="G443" s="1327" t="s">
        <v>826</v>
      </c>
      <c r="H443" s="1380" t="s">
        <v>827</v>
      </c>
      <c r="I443" s="714" t="s">
        <v>976</v>
      </c>
      <c r="J443" s="1321" t="s">
        <v>829</v>
      </c>
    </row>
    <row r="444" spans="1:10" x14ac:dyDescent="0.3">
      <c r="A444" s="1344" t="s">
        <v>924</v>
      </c>
      <c r="B444" s="1345" t="s">
        <v>925</v>
      </c>
      <c r="C444" s="1377" t="s">
        <v>828</v>
      </c>
      <c r="D444" s="1314" t="s">
        <v>975</v>
      </c>
      <c r="E444" s="1315">
        <v>443</v>
      </c>
      <c r="F444" s="1316" t="s">
        <v>737</v>
      </c>
      <c r="G444" s="1346" t="s">
        <v>539</v>
      </c>
      <c r="H444" s="1380" t="s">
        <v>827</v>
      </c>
      <c r="I444" s="714" t="s">
        <v>976</v>
      </c>
      <c r="J444" s="1321" t="s">
        <v>539</v>
      </c>
    </row>
    <row r="445" spans="1:10" x14ac:dyDescent="0.3">
      <c r="A445" s="1344" t="s">
        <v>926</v>
      </c>
      <c r="B445" s="1343" t="s">
        <v>927</v>
      </c>
      <c r="C445" s="1377" t="s">
        <v>828</v>
      </c>
      <c r="D445" s="1314" t="s">
        <v>975</v>
      </c>
      <c r="E445" s="1315">
        <v>444</v>
      </c>
      <c r="F445" s="1316" t="s">
        <v>739</v>
      </c>
      <c r="G445" s="1327" t="s">
        <v>838</v>
      </c>
      <c r="H445" s="1380" t="s">
        <v>827</v>
      </c>
      <c r="I445" s="714" t="s">
        <v>976</v>
      </c>
      <c r="J445" s="1321" t="s">
        <v>846</v>
      </c>
    </row>
    <row r="446" spans="1:10" x14ac:dyDescent="0.3">
      <c r="A446" s="1344" t="s">
        <v>929</v>
      </c>
      <c r="B446" s="1343" t="s">
        <v>826</v>
      </c>
      <c r="C446" s="1377" t="s">
        <v>828</v>
      </c>
      <c r="D446" s="1314" t="s">
        <v>975</v>
      </c>
      <c r="E446" s="1315">
        <v>445</v>
      </c>
      <c r="F446" s="1328">
        <v>5.3</v>
      </c>
      <c r="G446" s="1320" t="s">
        <v>900</v>
      </c>
      <c r="H446" s="1380" t="s">
        <v>827</v>
      </c>
      <c r="I446" s="714" t="s">
        <v>976</v>
      </c>
      <c r="J446" s="1321" t="s">
        <v>901</v>
      </c>
    </row>
    <row r="447" spans="1:10" x14ac:dyDescent="0.3">
      <c r="A447" s="1342" t="s">
        <v>930</v>
      </c>
      <c r="B447" s="1343" t="s">
        <v>539</v>
      </c>
      <c r="C447" s="1377" t="s">
        <v>828</v>
      </c>
      <c r="D447" s="1314" t="s">
        <v>975</v>
      </c>
      <c r="E447" s="1315">
        <v>446</v>
      </c>
      <c r="F447" s="1328">
        <v>5.4</v>
      </c>
      <c r="G447" s="1327" t="s">
        <v>904</v>
      </c>
      <c r="H447" s="1380" t="s">
        <v>827</v>
      </c>
      <c r="I447" s="714" t="s">
        <v>976</v>
      </c>
      <c r="J447" s="1321" t="s">
        <v>865</v>
      </c>
    </row>
    <row r="448" spans="1:10" x14ac:dyDescent="0.3">
      <c r="A448" s="1344" t="s">
        <v>931</v>
      </c>
      <c r="B448" s="1343" t="s">
        <v>539</v>
      </c>
      <c r="C448" s="1377" t="s">
        <v>828</v>
      </c>
      <c r="D448" s="1314" t="s">
        <v>975</v>
      </c>
      <c r="E448" s="1315">
        <v>447</v>
      </c>
      <c r="F448" s="1328">
        <v>5.5</v>
      </c>
      <c r="G448" s="1320" t="s">
        <v>842</v>
      </c>
      <c r="H448" s="1380" t="s">
        <v>827</v>
      </c>
      <c r="I448" s="714" t="s">
        <v>976</v>
      </c>
      <c r="J448" s="1321" t="s">
        <v>857</v>
      </c>
    </row>
    <row r="449" spans="1:10" x14ac:dyDescent="0.3">
      <c r="A449" s="1342" t="s">
        <v>933</v>
      </c>
      <c r="B449" s="1343" t="s">
        <v>842</v>
      </c>
      <c r="C449" s="1377" t="s">
        <v>828</v>
      </c>
      <c r="D449" s="1314" t="s">
        <v>975</v>
      </c>
      <c r="E449" s="1315">
        <v>448</v>
      </c>
      <c r="F449" s="1328">
        <v>5.6</v>
      </c>
      <c r="G449" s="1320" t="s">
        <v>826</v>
      </c>
      <c r="H449" s="1380" t="s">
        <v>827</v>
      </c>
      <c r="I449" s="714" t="s">
        <v>976</v>
      </c>
      <c r="J449" s="1321" t="s">
        <v>829</v>
      </c>
    </row>
    <row r="450" spans="1:10" x14ac:dyDescent="0.3">
      <c r="A450" s="1344">
        <v>7.5</v>
      </c>
      <c r="B450" s="1343" t="s">
        <v>826</v>
      </c>
      <c r="C450" s="1377" t="s">
        <v>828</v>
      </c>
      <c r="D450" s="1314" t="s">
        <v>975</v>
      </c>
      <c r="E450" s="1315">
        <v>449</v>
      </c>
      <c r="F450" s="1316" t="s">
        <v>745</v>
      </c>
      <c r="G450" s="1327" t="s">
        <v>539</v>
      </c>
      <c r="H450" s="1380" t="s">
        <v>827</v>
      </c>
      <c r="I450" s="714" t="s">
        <v>976</v>
      </c>
      <c r="J450" s="1321" t="s">
        <v>539</v>
      </c>
    </row>
    <row r="451" spans="1:10" x14ac:dyDescent="0.3">
      <c r="A451" s="1344">
        <v>7.6</v>
      </c>
      <c r="B451" s="1343" t="s">
        <v>826</v>
      </c>
      <c r="C451" s="1377" t="s">
        <v>828</v>
      </c>
      <c r="D451" s="1314" t="s">
        <v>975</v>
      </c>
      <c r="E451" s="1315">
        <v>450</v>
      </c>
      <c r="F451" s="1316" t="s">
        <v>747</v>
      </c>
      <c r="G451" s="1327" t="s">
        <v>835</v>
      </c>
      <c r="H451" s="1380" t="s">
        <v>827</v>
      </c>
      <c r="I451" s="714" t="s">
        <v>976</v>
      </c>
      <c r="J451" s="1321" t="s">
        <v>855</v>
      </c>
    </row>
    <row r="452" spans="1:10" x14ac:dyDescent="0.3">
      <c r="A452" s="1344">
        <v>7.7</v>
      </c>
      <c r="B452" s="1343" t="s">
        <v>826</v>
      </c>
      <c r="C452" s="1377" t="s">
        <v>828</v>
      </c>
      <c r="D452" s="1314" t="s">
        <v>975</v>
      </c>
      <c r="E452" s="1315">
        <v>451</v>
      </c>
      <c r="F452" s="1316" t="s">
        <v>749</v>
      </c>
      <c r="G452" s="1327" t="s">
        <v>962</v>
      </c>
      <c r="H452" s="1380" t="s">
        <v>827</v>
      </c>
      <c r="I452" s="714" t="s">
        <v>976</v>
      </c>
      <c r="J452" s="1365" t="s">
        <v>963</v>
      </c>
    </row>
    <row r="453" spans="1:10" x14ac:dyDescent="0.3">
      <c r="A453" s="1344">
        <v>7.8</v>
      </c>
      <c r="B453" s="1343" t="s">
        <v>826</v>
      </c>
      <c r="C453" s="1377" t="s">
        <v>828</v>
      </c>
      <c r="D453" s="1314" t="s">
        <v>975</v>
      </c>
      <c r="E453" s="1315">
        <v>452</v>
      </c>
      <c r="F453" s="1197" t="s">
        <v>751</v>
      </c>
      <c r="G453" s="1320" t="s">
        <v>903</v>
      </c>
      <c r="H453" s="1380" t="s">
        <v>827</v>
      </c>
      <c r="I453" s="714" t="s">
        <v>976</v>
      </c>
      <c r="J453" s="1321" t="s">
        <v>909</v>
      </c>
    </row>
    <row r="454" spans="1:10" x14ac:dyDescent="0.3">
      <c r="A454" s="1350" t="s">
        <v>936</v>
      </c>
      <c r="B454" s="1343" t="s">
        <v>539</v>
      </c>
      <c r="C454" s="1377" t="s">
        <v>828</v>
      </c>
      <c r="D454" s="1314" t="s">
        <v>975</v>
      </c>
      <c r="E454" s="1315">
        <v>453</v>
      </c>
      <c r="F454" s="1316" t="s">
        <v>753</v>
      </c>
      <c r="G454" s="1327" t="s">
        <v>964</v>
      </c>
      <c r="H454" s="1380" t="s">
        <v>827</v>
      </c>
      <c r="I454" s="714" t="s">
        <v>976</v>
      </c>
      <c r="J454" s="1349" t="s">
        <v>965</v>
      </c>
    </row>
    <row r="455" spans="1:10" x14ac:dyDescent="0.3">
      <c r="A455" s="1344" t="s">
        <v>937</v>
      </c>
      <c r="B455" s="1343" t="s">
        <v>826</v>
      </c>
      <c r="C455" s="1377" t="s">
        <v>828</v>
      </c>
      <c r="D455" s="1314" t="s">
        <v>975</v>
      </c>
      <c r="E455" s="1315">
        <v>454</v>
      </c>
      <c r="F455" s="1338">
        <v>5.9</v>
      </c>
      <c r="G455" s="1327" t="s">
        <v>826</v>
      </c>
      <c r="H455" s="1380" t="s">
        <v>827</v>
      </c>
      <c r="I455" s="714" t="s">
        <v>976</v>
      </c>
      <c r="J455" s="1321" t="s">
        <v>829</v>
      </c>
    </row>
    <row r="456" spans="1:10" x14ac:dyDescent="0.3">
      <c r="A456" s="1344" t="s">
        <v>938</v>
      </c>
      <c r="B456" s="1343" t="s">
        <v>826</v>
      </c>
      <c r="C456" s="1377" t="s">
        <v>828</v>
      </c>
      <c r="D456" s="1314" t="s">
        <v>975</v>
      </c>
      <c r="E456" s="1315">
        <v>455</v>
      </c>
      <c r="F456" s="1332" t="s">
        <v>756</v>
      </c>
      <c r="G456" s="1327" t="s">
        <v>977</v>
      </c>
      <c r="H456" s="1380" t="s">
        <v>827</v>
      </c>
      <c r="I456" s="714" t="s">
        <v>976</v>
      </c>
      <c r="J456" s="1321" t="s">
        <v>967</v>
      </c>
    </row>
    <row r="457" spans="1:10" x14ac:dyDescent="0.3">
      <c r="A457" s="1344" t="s">
        <v>788</v>
      </c>
      <c r="B457" s="1343" t="s">
        <v>826</v>
      </c>
      <c r="C457" s="1377" t="s">
        <v>828</v>
      </c>
      <c r="D457" s="1314" t="s">
        <v>975</v>
      </c>
      <c r="E457" s="1315">
        <v>456</v>
      </c>
      <c r="F457" s="1328">
        <v>5.1100000000000003</v>
      </c>
      <c r="G457" s="1327" t="s">
        <v>959</v>
      </c>
      <c r="H457" s="1380" t="s">
        <v>827</v>
      </c>
      <c r="I457" s="714" t="s">
        <v>976</v>
      </c>
      <c r="J457" s="1321" t="s">
        <v>969</v>
      </c>
    </row>
    <row r="458" spans="1:10" x14ac:dyDescent="0.3">
      <c r="A458" s="1344">
        <v>7.11</v>
      </c>
      <c r="B458" s="1343" t="s">
        <v>826</v>
      </c>
      <c r="C458" s="1377" t="s">
        <v>828</v>
      </c>
      <c r="D458" s="1314" t="s">
        <v>975</v>
      </c>
      <c r="E458" s="1315">
        <v>457</v>
      </c>
      <c r="F458" s="1328">
        <v>5.12</v>
      </c>
      <c r="G458" s="1327" t="s">
        <v>850</v>
      </c>
      <c r="H458" s="1380" t="s">
        <v>827</v>
      </c>
      <c r="I458" s="714" t="s">
        <v>976</v>
      </c>
      <c r="J458" s="1321">
        <v>10</v>
      </c>
    </row>
    <row r="459" spans="1:10" x14ac:dyDescent="0.3">
      <c r="A459" s="1344">
        <v>7.12</v>
      </c>
      <c r="B459" s="1343" t="s">
        <v>826</v>
      </c>
      <c r="C459" s="1377" t="s">
        <v>828</v>
      </c>
      <c r="D459" s="1314" t="s">
        <v>975</v>
      </c>
      <c r="E459" s="1315">
        <v>458</v>
      </c>
      <c r="F459" s="1328">
        <v>5.13</v>
      </c>
      <c r="G459" s="1327" t="s">
        <v>978</v>
      </c>
      <c r="H459" s="1380" t="s">
        <v>827</v>
      </c>
      <c r="I459" s="714" t="s">
        <v>976</v>
      </c>
      <c r="J459" s="1321" t="s">
        <v>971</v>
      </c>
    </row>
    <row r="460" spans="1:10" x14ac:dyDescent="0.3">
      <c r="A460" s="1344">
        <v>7.13</v>
      </c>
      <c r="B460" s="1343" t="s">
        <v>939</v>
      </c>
      <c r="C460" s="1377" t="s">
        <v>828</v>
      </c>
      <c r="D460" s="1314" t="s">
        <v>975</v>
      </c>
      <c r="E460" s="1315">
        <v>459</v>
      </c>
      <c r="F460" s="1328">
        <v>6.1</v>
      </c>
      <c r="G460" s="1327" t="s">
        <v>826</v>
      </c>
      <c r="H460" s="1380" t="s">
        <v>827</v>
      </c>
      <c r="I460" s="714" t="s">
        <v>976</v>
      </c>
      <c r="J460" s="1321" t="s">
        <v>829</v>
      </c>
    </row>
    <row r="461" spans="1:10" x14ac:dyDescent="0.3">
      <c r="A461" s="1344">
        <v>7.14</v>
      </c>
      <c r="B461" s="1343" t="s">
        <v>826</v>
      </c>
      <c r="C461" s="1377" t="s">
        <v>828</v>
      </c>
      <c r="D461" s="1314" t="s">
        <v>975</v>
      </c>
      <c r="E461" s="1315">
        <v>460</v>
      </c>
      <c r="F461" s="1328">
        <v>6.2</v>
      </c>
      <c r="G461" s="1327" t="s">
        <v>826</v>
      </c>
      <c r="H461" s="1380" t="s">
        <v>827</v>
      </c>
      <c r="I461" s="714" t="s">
        <v>976</v>
      </c>
      <c r="J461" s="1321" t="s">
        <v>829</v>
      </c>
    </row>
    <row r="462" spans="1:10" x14ac:dyDescent="0.3">
      <c r="A462" s="1344">
        <v>7.15</v>
      </c>
      <c r="B462" s="1343" t="s">
        <v>826</v>
      </c>
      <c r="C462" s="1377" t="s">
        <v>828</v>
      </c>
      <c r="D462" s="1314" t="s">
        <v>975</v>
      </c>
      <c r="E462" s="1315">
        <v>461</v>
      </c>
      <c r="F462" s="1328">
        <v>6.3</v>
      </c>
      <c r="G462" s="1327" t="s">
        <v>870</v>
      </c>
      <c r="H462" s="1380" t="s">
        <v>827</v>
      </c>
      <c r="I462" s="714" t="s">
        <v>976</v>
      </c>
      <c r="J462" s="1349" t="s">
        <v>871</v>
      </c>
    </row>
    <row r="463" spans="1:10" x14ac:dyDescent="0.3">
      <c r="A463" s="1344">
        <v>7.16</v>
      </c>
      <c r="B463" s="1343" t="s">
        <v>826</v>
      </c>
      <c r="C463" s="1377" t="s">
        <v>828</v>
      </c>
      <c r="D463" s="1314" t="s">
        <v>975</v>
      </c>
      <c r="E463" s="1315">
        <v>462</v>
      </c>
      <c r="F463" s="1328">
        <v>6.4</v>
      </c>
      <c r="G463" s="1327" t="s">
        <v>922</v>
      </c>
      <c r="H463" s="1380" t="s">
        <v>827</v>
      </c>
      <c r="I463" s="714" t="s">
        <v>976</v>
      </c>
      <c r="J463" s="1321" t="s">
        <v>923</v>
      </c>
    </row>
    <row r="464" spans="1:10" x14ac:dyDescent="0.3">
      <c r="A464" s="1347">
        <v>7.17</v>
      </c>
      <c r="B464" s="1348" t="s">
        <v>890</v>
      </c>
      <c r="C464" s="1377" t="s">
        <v>828</v>
      </c>
      <c r="D464" s="1314" t="s">
        <v>975</v>
      </c>
      <c r="E464" s="1315">
        <v>463</v>
      </c>
      <c r="F464" s="1316" t="s">
        <v>766</v>
      </c>
      <c r="G464" s="1320" t="s">
        <v>835</v>
      </c>
      <c r="H464" s="1380" t="s">
        <v>827</v>
      </c>
      <c r="I464" s="714" t="s">
        <v>976</v>
      </c>
      <c r="J464" s="1321" t="s">
        <v>855</v>
      </c>
    </row>
    <row r="465" spans="1:10" x14ac:dyDescent="0.3">
      <c r="A465" s="1340" t="s">
        <v>942</v>
      </c>
      <c r="B465" s="1341" t="s">
        <v>826</v>
      </c>
      <c r="C465" s="1377" t="s">
        <v>828</v>
      </c>
      <c r="D465" s="1314" t="s">
        <v>975</v>
      </c>
      <c r="E465" s="1315">
        <v>464</v>
      </c>
      <c r="F465" s="1316" t="s">
        <v>768</v>
      </c>
      <c r="G465" s="1320" t="s">
        <v>928</v>
      </c>
      <c r="H465" s="1380" t="s">
        <v>827</v>
      </c>
      <c r="I465" s="714" t="s">
        <v>976</v>
      </c>
      <c r="J465" s="1321" t="s">
        <v>855</v>
      </c>
    </row>
    <row r="466" spans="1:10" x14ac:dyDescent="0.3">
      <c r="A466" s="1344" t="s">
        <v>943</v>
      </c>
      <c r="B466" s="1343" t="s">
        <v>826</v>
      </c>
      <c r="C466" s="1377" t="s">
        <v>828</v>
      </c>
      <c r="D466" s="1314" t="s">
        <v>975</v>
      </c>
      <c r="E466" s="1315">
        <v>465</v>
      </c>
      <c r="F466" s="1328">
        <v>6.6</v>
      </c>
      <c r="G466" s="1327" t="s">
        <v>833</v>
      </c>
      <c r="H466" s="1380" t="s">
        <v>827</v>
      </c>
      <c r="I466" s="714" t="s">
        <v>976</v>
      </c>
      <c r="J466" s="1349" t="s">
        <v>834</v>
      </c>
    </row>
    <row r="467" spans="1:10" x14ac:dyDescent="0.3">
      <c r="A467" s="1344" t="s">
        <v>944</v>
      </c>
      <c r="B467" s="1343" t="s">
        <v>826</v>
      </c>
      <c r="C467" s="1377" t="s">
        <v>828</v>
      </c>
      <c r="D467" s="1314" t="s">
        <v>975</v>
      </c>
      <c r="E467" s="1315">
        <v>466</v>
      </c>
      <c r="F467" s="1328">
        <v>7.1</v>
      </c>
      <c r="G467" s="1327" t="s">
        <v>826</v>
      </c>
      <c r="H467" s="1380" t="s">
        <v>827</v>
      </c>
      <c r="I467" s="714" t="s">
        <v>976</v>
      </c>
      <c r="J467" s="1321" t="s">
        <v>829</v>
      </c>
    </row>
    <row r="468" spans="1:10" x14ac:dyDescent="0.3">
      <c r="A468" s="1344" t="s">
        <v>945</v>
      </c>
      <c r="B468" s="1343" t="s">
        <v>890</v>
      </c>
      <c r="C468" s="1377" t="s">
        <v>828</v>
      </c>
      <c r="D468" s="1314" t="s">
        <v>975</v>
      </c>
      <c r="E468" s="1315">
        <v>467</v>
      </c>
      <c r="F468" s="1316" t="s">
        <v>774</v>
      </c>
      <c r="G468" s="1320" t="s">
        <v>932</v>
      </c>
      <c r="H468" s="1380" t="s">
        <v>827</v>
      </c>
      <c r="I468" s="714" t="s">
        <v>976</v>
      </c>
      <c r="J468" s="1321" t="s">
        <v>865</v>
      </c>
    </row>
    <row r="469" spans="1:10" x14ac:dyDescent="0.3">
      <c r="A469" s="1347" t="s">
        <v>946</v>
      </c>
      <c r="B469" s="1348" t="s">
        <v>835</v>
      </c>
      <c r="C469" s="1377" t="s">
        <v>828</v>
      </c>
      <c r="D469" s="1314" t="s">
        <v>975</v>
      </c>
      <c r="E469" s="1315">
        <v>468</v>
      </c>
      <c r="F469" s="1316" t="s">
        <v>776</v>
      </c>
      <c r="G469" s="1320" t="s">
        <v>934</v>
      </c>
      <c r="H469" s="1380" t="s">
        <v>827</v>
      </c>
      <c r="I469" s="714" t="s">
        <v>976</v>
      </c>
      <c r="J469" s="1321" t="s">
        <v>935</v>
      </c>
    </row>
    <row r="470" spans="1:10" x14ac:dyDescent="0.3">
      <c r="A470" s="1030"/>
      <c r="B470" s="1030"/>
      <c r="E470" s="1315">
        <v>469</v>
      </c>
      <c r="F470" s="1316" t="s">
        <v>777</v>
      </c>
      <c r="G470" s="1327" t="s">
        <v>539</v>
      </c>
      <c r="H470" s="1380" t="s">
        <v>827</v>
      </c>
      <c r="I470" s="714" t="s">
        <v>976</v>
      </c>
      <c r="J470" s="1321" t="s">
        <v>539</v>
      </c>
    </row>
    <row r="471" spans="1:10" x14ac:dyDescent="0.3">
      <c r="A471" s="1030"/>
      <c r="B471" s="1030"/>
      <c r="E471" s="1315">
        <v>470</v>
      </c>
      <c r="F471" s="1316" t="s">
        <v>779</v>
      </c>
      <c r="G471" s="1327" t="s">
        <v>842</v>
      </c>
      <c r="H471" s="1380" t="s">
        <v>827</v>
      </c>
      <c r="I471" s="714" t="s">
        <v>976</v>
      </c>
      <c r="J471" s="1321" t="s">
        <v>857</v>
      </c>
    </row>
    <row r="472" spans="1:10" x14ac:dyDescent="0.3">
      <c r="E472" s="1315">
        <v>471</v>
      </c>
      <c r="F472" s="1316" t="s">
        <v>780</v>
      </c>
      <c r="G472" s="1327" t="s">
        <v>539</v>
      </c>
      <c r="H472" s="1380" t="s">
        <v>827</v>
      </c>
      <c r="I472" s="714" t="s">
        <v>976</v>
      </c>
      <c r="J472" s="1321" t="s">
        <v>539</v>
      </c>
    </row>
    <row r="473" spans="1:10" x14ac:dyDescent="0.3">
      <c r="E473" s="1315">
        <v>472</v>
      </c>
      <c r="F473" s="1316" t="s">
        <v>782</v>
      </c>
      <c r="G473" s="1327" t="s">
        <v>842</v>
      </c>
      <c r="H473" s="1380" t="s">
        <v>827</v>
      </c>
      <c r="I473" s="714" t="s">
        <v>976</v>
      </c>
      <c r="J473" s="1321" t="s">
        <v>857</v>
      </c>
    </row>
    <row r="474" spans="1:10" x14ac:dyDescent="0.3">
      <c r="A474" s="1030"/>
      <c r="B474" s="1030"/>
      <c r="E474" s="1315">
        <v>473</v>
      </c>
      <c r="F474" s="1328">
        <v>7.5</v>
      </c>
      <c r="G474" s="1327" t="s">
        <v>826</v>
      </c>
      <c r="H474" s="1380" t="s">
        <v>827</v>
      </c>
      <c r="I474" s="714" t="s">
        <v>976</v>
      </c>
      <c r="J474" s="1321" t="s">
        <v>829</v>
      </c>
    </row>
    <row r="475" spans="1:10" x14ac:dyDescent="0.3">
      <c r="A475" s="1030"/>
      <c r="B475" s="1030"/>
      <c r="E475" s="1315">
        <v>474</v>
      </c>
      <c r="F475" s="1328">
        <v>7.6</v>
      </c>
      <c r="G475" s="1327" t="s">
        <v>826</v>
      </c>
      <c r="H475" s="1380" t="s">
        <v>827</v>
      </c>
      <c r="I475" s="714" t="s">
        <v>976</v>
      </c>
      <c r="J475" s="1321" t="s">
        <v>829</v>
      </c>
    </row>
    <row r="476" spans="1:10" x14ac:dyDescent="0.3">
      <c r="A476" s="1030"/>
      <c r="B476" s="1030"/>
      <c r="E476" s="1315">
        <v>475</v>
      </c>
      <c r="F476" s="1328">
        <v>7.7</v>
      </c>
      <c r="G476" s="1327" t="s">
        <v>826</v>
      </c>
      <c r="H476" s="1380" t="s">
        <v>827</v>
      </c>
      <c r="I476" s="714" t="s">
        <v>976</v>
      </c>
      <c r="J476" s="1321" t="s">
        <v>829</v>
      </c>
    </row>
    <row r="477" spans="1:10" x14ac:dyDescent="0.3">
      <c r="A477" s="1030"/>
      <c r="B477" s="1030"/>
      <c r="E477" s="1315">
        <v>476</v>
      </c>
      <c r="F477" s="1328">
        <v>7.8</v>
      </c>
      <c r="G477" s="1327" t="s">
        <v>826</v>
      </c>
      <c r="H477" s="1380" t="s">
        <v>827</v>
      </c>
      <c r="I477" s="714" t="s">
        <v>976</v>
      </c>
      <c r="J477" s="1321" t="s">
        <v>829</v>
      </c>
    </row>
    <row r="478" spans="1:10" x14ac:dyDescent="0.3">
      <c r="A478" s="1030"/>
      <c r="B478" s="1030"/>
      <c r="E478" s="1315">
        <v>477</v>
      </c>
      <c r="F478" s="1328">
        <v>7.9</v>
      </c>
      <c r="G478" s="1327" t="s">
        <v>826</v>
      </c>
      <c r="H478" s="1380" t="s">
        <v>827</v>
      </c>
      <c r="I478" s="714" t="s">
        <v>976</v>
      </c>
      <c r="J478" s="1321" t="s">
        <v>829</v>
      </c>
    </row>
    <row r="479" spans="1:10" x14ac:dyDescent="0.3">
      <c r="A479" s="1030"/>
      <c r="B479" s="1030"/>
      <c r="C479" s="1030"/>
      <c r="E479" s="1315">
        <v>478</v>
      </c>
      <c r="F479" s="1332" t="s">
        <v>788</v>
      </c>
      <c r="G479" s="1327" t="s">
        <v>972</v>
      </c>
      <c r="H479" s="1380" t="s">
        <v>827</v>
      </c>
      <c r="I479" s="714" t="s">
        <v>976</v>
      </c>
      <c r="J479" s="1321" t="s">
        <v>865</v>
      </c>
    </row>
    <row r="480" spans="1:10" x14ac:dyDescent="0.3">
      <c r="A480" s="1030"/>
      <c r="B480" s="1030"/>
      <c r="C480" s="1030"/>
      <c r="E480" s="1315">
        <v>479</v>
      </c>
      <c r="F480" s="1328">
        <v>7.11</v>
      </c>
      <c r="G480" s="1327" t="s">
        <v>826</v>
      </c>
      <c r="H480" s="1380" t="s">
        <v>827</v>
      </c>
      <c r="I480" s="714" t="s">
        <v>976</v>
      </c>
      <c r="J480" s="1321" t="s">
        <v>829</v>
      </c>
    </row>
    <row r="481" spans="1:10" x14ac:dyDescent="0.3">
      <c r="A481" s="1030"/>
      <c r="B481" s="1030"/>
      <c r="C481" s="1030"/>
      <c r="E481" s="1315">
        <v>480</v>
      </c>
      <c r="F481" s="1328">
        <v>7.12</v>
      </c>
      <c r="G481" s="1327" t="s">
        <v>826</v>
      </c>
      <c r="H481" s="1380" t="s">
        <v>827</v>
      </c>
      <c r="I481" s="714" t="s">
        <v>976</v>
      </c>
      <c r="J481" s="1321" t="s">
        <v>829</v>
      </c>
    </row>
    <row r="482" spans="1:10" x14ac:dyDescent="0.3">
      <c r="A482" s="1030"/>
      <c r="B482" s="1030"/>
      <c r="E482" s="1315">
        <v>481</v>
      </c>
      <c r="F482" s="1316" t="s">
        <v>792</v>
      </c>
      <c r="G482" s="1327" t="s">
        <v>539</v>
      </c>
      <c r="H482" s="1380" t="s">
        <v>827</v>
      </c>
      <c r="I482" s="714" t="s">
        <v>976</v>
      </c>
      <c r="J482" s="1321" t="s">
        <v>539</v>
      </c>
    </row>
    <row r="483" spans="1:10" x14ac:dyDescent="0.3">
      <c r="A483" s="1030"/>
      <c r="B483" s="1030"/>
      <c r="E483" s="1315">
        <v>482</v>
      </c>
      <c r="F483" s="1316" t="s">
        <v>794</v>
      </c>
      <c r="G483" s="1327" t="s">
        <v>973</v>
      </c>
      <c r="H483" s="1380" t="s">
        <v>827</v>
      </c>
      <c r="I483" s="714" t="s">
        <v>976</v>
      </c>
      <c r="J483" s="1321" t="s">
        <v>539</v>
      </c>
    </row>
    <row r="484" spans="1:10" x14ac:dyDescent="0.3">
      <c r="A484" s="1030"/>
      <c r="B484" s="1030"/>
      <c r="C484" s="1030"/>
      <c r="E484" s="1315">
        <v>483</v>
      </c>
      <c r="F484" s="1328">
        <v>7.14</v>
      </c>
      <c r="G484" s="1327" t="s">
        <v>826</v>
      </c>
      <c r="H484" s="1380" t="s">
        <v>827</v>
      </c>
      <c r="I484" s="714" t="s">
        <v>976</v>
      </c>
      <c r="J484" s="1321" t="s">
        <v>829</v>
      </c>
    </row>
    <row r="485" spans="1:10" x14ac:dyDescent="0.3">
      <c r="A485" s="1030"/>
      <c r="B485" s="1030"/>
      <c r="C485" s="1030"/>
      <c r="E485" s="1315">
        <v>484</v>
      </c>
      <c r="F485" s="1328">
        <v>7.15</v>
      </c>
      <c r="G485" s="1327" t="s">
        <v>826</v>
      </c>
      <c r="H485" s="1380" t="s">
        <v>827</v>
      </c>
      <c r="I485" s="714" t="s">
        <v>976</v>
      </c>
      <c r="J485" s="1321" t="s">
        <v>829</v>
      </c>
    </row>
    <row r="486" spans="1:10" x14ac:dyDescent="0.3">
      <c r="A486" s="1030"/>
      <c r="B486" s="1030"/>
      <c r="E486" s="1315">
        <v>485</v>
      </c>
      <c r="F486" s="1328">
        <v>7.16</v>
      </c>
      <c r="G486" s="1327" t="s">
        <v>826</v>
      </c>
      <c r="H486" s="1380" t="s">
        <v>827</v>
      </c>
      <c r="I486" s="714" t="s">
        <v>976</v>
      </c>
      <c r="J486" s="1321" t="s">
        <v>829</v>
      </c>
    </row>
    <row r="487" spans="1:10" x14ac:dyDescent="0.3">
      <c r="A487" s="1030"/>
      <c r="B487" s="1030"/>
      <c r="E487" s="1315">
        <v>486</v>
      </c>
      <c r="F487" s="1328">
        <v>7.17</v>
      </c>
      <c r="G487" s="1327" t="s">
        <v>826</v>
      </c>
      <c r="H487" s="1380" t="s">
        <v>827</v>
      </c>
      <c r="I487" s="714" t="s">
        <v>976</v>
      </c>
      <c r="J487" s="1321" t="s">
        <v>829</v>
      </c>
    </row>
    <row r="488" spans="1:10" x14ac:dyDescent="0.3">
      <c r="E488" s="1315">
        <v>487</v>
      </c>
      <c r="F488" s="1316" t="s">
        <v>801</v>
      </c>
      <c r="G488" s="1327" t="s">
        <v>826</v>
      </c>
      <c r="H488" s="1380" t="s">
        <v>827</v>
      </c>
      <c r="I488" s="714" t="s">
        <v>976</v>
      </c>
      <c r="J488" s="1321" t="s">
        <v>829</v>
      </c>
    </row>
    <row r="489" spans="1:10" x14ac:dyDescent="0.3">
      <c r="E489" s="1315">
        <v>488</v>
      </c>
      <c r="F489" s="1316" t="s">
        <v>803</v>
      </c>
      <c r="G489" s="1320" t="s">
        <v>890</v>
      </c>
      <c r="H489" s="1380" t="s">
        <v>827</v>
      </c>
      <c r="I489" s="714" t="s">
        <v>976</v>
      </c>
      <c r="J489" s="1321" t="s">
        <v>891</v>
      </c>
    </row>
    <row r="490" spans="1:10" x14ac:dyDescent="0.3">
      <c r="A490" s="1030"/>
      <c r="B490" s="1030"/>
      <c r="E490" s="1315">
        <v>489</v>
      </c>
      <c r="F490" s="1328">
        <v>8.1999999999999993</v>
      </c>
      <c r="G490" s="1327" t="s">
        <v>948</v>
      </c>
      <c r="H490" s="1380" t="s">
        <v>827</v>
      </c>
      <c r="I490" s="714" t="s">
        <v>976</v>
      </c>
      <c r="J490" s="1321" t="s">
        <v>949</v>
      </c>
    </row>
    <row r="491" spans="1:10" x14ac:dyDescent="0.3">
      <c r="A491" s="1030"/>
      <c r="B491" s="1030"/>
      <c r="E491" s="1315">
        <v>490</v>
      </c>
      <c r="F491" s="1328">
        <v>8.3000000000000007</v>
      </c>
      <c r="G491" s="1327" t="s">
        <v>826</v>
      </c>
      <c r="H491" s="1380" t="s">
        <v>827</v>
      </c>
      <c r="I491" s="714" t="s">
        <v>976</v>
      </c>
      <c r="J491" s="1321" t="s">
        <v>829</v>
      </c>
    </row>
    <row r="492" spans="1:10" x14ac:dyDescent="0.3">
      <c r="A492" s="1030"/>
      <c r="B492" s="1030"/>
      <c r="E492" s="1315">
        <v>491</v>
      </c>
      <c r="F492" s="1328">
        <v>8.4</v>
      </c>
      <c r="G492" s="1327" t="s">
        <v>950</v>
      </c>
      <c r="H492" s="1380" t="s">
        <v>827</v>
      </c>
      <c r="I492" s="714" t="s">
        <v>976</v>
      </c>
      <c r="J492" s="1321" t="s">
        <v>951</v>
      </c>
    </row>
    <row r="493" spans="1:10" x14ac:dyDescent="0.3">
      <c r="A493" s="1030"/>
      <c r="B493" s="1030"/>
      <c r="E493" s="1315">
        <v>492</v>
      </c>
      <c r="F493" s="1328">
        <v>8.5</v>
      </c>
      <c r="G493" s="1327" t="s">
        <v>826</v>
      </c>
      <c r="H493" s="1380" t="s">
        <v>827</v>
      </c>
      <c r="I493" s="714" t="s">
        <v>976</v>
      </c>
      <c r="J493" s="1321" t="s">
        <v>829</v>
      </c>
    </row>
  </sheetData>
  <autoFilter ref="A1:J493"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H28"/>
  <sheetViews>
    <sheetView workbookViewId="0">
      <selection activeCell="C85" sqref="C85"/>
    </sheetView>
  </sheetViews>
  <sheetFormatPr defaultColWidth="9.109375" defaultRowHeight="14.4" x14ac:dyDescent="0.3"/>
  <cols>
    <col min="1" max="1" width="7.88671875" style="714" bestFit="1" customWidth="1"/>
    <col min="2" max="2" width="17" style="714" bestFit="1" customWidth="1"/>
    <col min="3" max="3" width="9.109375" style="714"/>
    <col min="4" max="4" width="12.5546875" style="714" bestFit="1" customWidth="1"/>
    <col min="5" max="5" width="24.88671875" style="714" bestFit="1" customWidth="1"/>
    <col min="6" max="6" width="23.88671875" style="714" bestFit="1" customWidth="1"/>
    <col min="7" max="7" width="24.88671875" style="714" bestFit="1" customWidth="1"/>
    <col min="8" max="8" width="24" style="714" bestFit="1" customWidth="1"/>
    <col min="9" max="9" width="23" style="714" bestFit="1" customWidth="1"/>
    <col min="10" max="10" width="24" style="714" bestFit="1" customWidth="1"/>
    <col min="11" max="11" width="26.33203125" style="714" bestFit="1" customWidth="1"/>
    <col min="12" max="12" width="25.109375" style="714" bestFit="1" customWidth="1"/>
    <col min="13" max="13" width="26.33203125" style="714" bestFit="1" customWidth="1"/>
    <col min="14" max="14" width="25.33203125" style="714" bestFit="1" customWidth="1"/>
    <col min="15" max="15" width="24.33203125" style="714" bestFit="1" customWidth="1"/>
    <col min="16" max="16" width="25.33203125" style="714" bestFit="1" customWidth="1"/>
    <col min="17" max="17" width="26.109375" style="714" bestFit="1" customWidth="1"/>
    <col min="18" max="18" width="25" style="714" bestFit="1" customWidth="1"/>
    <col min="19" max="19" width="26.109375" style="714" bestFit="1" customWidth="1"/>
    <col min="20" max="20" width="25.109375" style="714" bestFit="1" customWidth="1"/>
    <col min="21" max="21" width="24.109375" style="714" bestFit="1" customWidth="1"/>
    <col min="22" max="22" width="25.109375" style="714" bestFit="1" customWidth="1"/>
    <col min="23" max="23" width="24.88671875" style="714" bestFit="1" customWidth="1"/>
    <col min="24" max="24" width="23.88671875" style="714" bestFit="1" customWidth="1"/>
    <col min="25" max="25" width="24.88671875" style="714" bestFit="1" customWidth="1"/>
    <col min="26" max="26" width="24" style="714" bestFit="1" customWidth="1"/>
    <col min="27" max="27" width="23" style="714" bestFit="1" customWidth="1"/>
    <col min="28" max="28" width="24" style="714" bestFit="1" customWidth="1"/>
    <col min="29" max="29" width="26.33203125" style="714" bestFit="1" customWidth="1"/>
    <col min="30" max="30" width="25.109375" style="714" bestFit="1" customWidth="1"/>
    <col min="31" max="31" width="26.33203125" style="714" bestFit="1" customWidth="1"/>
    <col min="32" max="32" width="25.33203125" style="714" bestFit="1" customWidth="1"/>
    <col min="33" max="33" width="24.33203125" style="714" bestFit="1" customWidth="1"/>
    <col min="34" max="34" width="25.33203125" style="714" bestFit="1" customWidth="1"/>
    <col min="35" max="35" width="26.109375" style="714" bestFit="1" customWidth="1"/>
    <col min="36" max="36" width="25" style="714" bestFit="1" customWidth="1"/>
    <col min="37" max="37" width="26.109375" style="714" bestFit="1" customWidth="1"/>
    <col min="38" max="38" width="25.109375" style="714" bestFit="1" customWidth="1"/>
    <col min="39" max="39" width="24.109375" style="714" bestFit="1" customWidth="1"/>
    <col min="40" max="40" width="25.109375" style="714" bestFit="1" customWidth="1"/>
    <col min="41" max="41" width="26.33203125" style="714" bestFit="1" customWidth="1"/>
    <col min="42" max="42" width="25.109375" style="714" bestFit="1" customWidth="1"/>
    <col min="43" max="43" width="26.33203125" style="714" bestFit="1" customWidth="1"/>
    <col min="44" max="44" width="25.33203125" style="714" bestFit="1" customWidth="1"/>
    <col min="45" max="45" width="24.33203125" style="714" bestFit="1" customWidth="1"/>
    <col min="46" max="46" width="25.33203125" style="714" bestFit="1" customWidth="1"/>
    <col min="47" max="47" width="26.109375" style="714" bestFit="1" customWidth="1"/>
    <col min="48" max="48" width="25" style="714" bestFit="1" customWidth="1"/>
    <col min="49" max="49" width="26.109375" style="714" bestFit="1" customWidth="1"/>
    <col min="50" max="50" width="25.109375" style="714" bestFit="1" customWidth="1"/>
    <col min="51" max="51" width="24.109375" style="714" bestFit="1" customWidth="1"/>
    <col min="52" max="52" width="25.109375" style="714" bestFit="1" customWidth="1"/>
    <col min="53" max="53" width="26.33203125" style="714" bestFit="1" customWidth="1"/>
    <col min="54" max="54" width="25.109375" style="714" bestFit="1" customWidth="1"/>
    <col min="55" max="55" width="26.33203125" style="714" bestFit="1" customWidth="1"/>
    <col min="56" max="56" width="25.33203125" style="714" bestFit="1" customWidth="1"/>
    <col min="57" max="57" width="24.33203125" style="714" bestFit="1" customWidth="1"/>
    <col min="58" max="58" width="25.33203125" style="714" bestFit="1" customWidth="1"/>
    <col min="59" max="59" width="26.109375" style="714" bestFit="1" customWidth="1"/>
    <col min="60" max="60" width="25" style="714" bestFit="1" customWidth="1"/>
    <col min="61" max="61" width="26.109375" style="714" bestFit="1" customWidth="1"/>
    <col min="62" max="62" width="25.109375" style="714" bestFit="1" customWidth="1"/>
    <col min="63" max="63" width="24.109375" style="714" bestFit="1" customWidth="1"/>
    <col min="64" max="64" width="25.109375" style="714" bestFit="1" customWidth="1"/>
    <col min="65" max="65" width="26.33203125" style="714" bestFit="1" customWidth="1"/>
    <col min="66" max="66" width="25.109375" style="714" bestFit="1" customWidth="1"/>
    <col min="67" max="67" width="26.33203125" style="714" bestFit="1" customWidth="1"/>
    <col min="68" max="68" width="25.33203125" style="714" bestFit="1" customWidth="1"/>
    <col min="69" max="69" width="24.33203125" style="714" bestFit="1" customWidth="1"/>
    <col min="70" max="70" width="25.33203125" style="714" bestFit="1" customWidth="1"/>
    <col min="71" max="71" width="26.109375" style="714" bestFit="1" customWidth="1"/>
    <col min="72" max="72" width="25" style="714" bestFit="1" customWidth="1"/>
    <col min="73" max="73" width="26.109375" style="714" bestFit="1" customWidth="1"/>
    <col min="74" max="74" width="25.109375" style="714" bestFit="1" customWidth="1"/>
    <col min="75" max="75" width="24.109375" style="714" bestFit="1" customWidth="1"/>
    <col min="76" max="76" width="25.109375" style="714" bestFit="1" customWidth="1"/>
    <col min="77" max="77" width="26" style="714" bestFit="1" customWidth="1"/>
    <col min="78" max="78" width="24.88671875" style="714" bestFit="1" customWidth="1"/>
    <col min="79" max="79" width="26" style="714" bestFit="1" customWidth="1"/>
    <col min="80" max="80" width="25" style="714" bestFit="1" customWidth="1"/>
    <col min="81" max="81" width="24" style="714" bestFit="1" customWidth="1"/>
    <col min="82" max="82" width="25" style="714" bestFit="1" customWidth="1"/>
    <col min="83" max="83" width="26" style="714" bestFit="1" customWidth="1"/>
    <col min="84" max="84" width="24.88671875" style="714" bestFit="1" customWidth="1"/>
    <col min="85" max="85" width="26" style="714" bestFit="1" customWidth="1"/>
    <col min="86" max="86" width="25" style="714" bestFit="1" customWidth="1"/>
    <col min="87" max="87" width="24" style="714" bestFit="1" customWidth="1"/>
    <col min="88" max="88" width="25" style="714" bestFit="1" customWidth="1"/>
    <col min="89" max="89" width="26" style="714" bestFit="1" customWidth="1"/>
    <col min="90" max="90" width="24.88671875" style="714" bestFit="1" customWidth="1"/>
    <col min="91" max="91" width="26" style="714" bestFit="1" customWidth="1"/>
    <col min="92" max="92" width="25" style="714" bestFit="1" customWidth="1"/>
    <col min="93" max="93" width="24" style="714" bestFit="1" customWidth="1"/>
    <col min="94" max="94" width="25" style="714" bestFit="1" customWidth="1"/>
    <col min="95" max="95" width="26" style="714" bestFit="1" customWidth="1"/>
    <col min="96" max="96" width="24.88671875" style="714" bestFit="1" customWidth="1"/>
    <col min="97" max="97" width="26" style="714" bestFit="1" customWidth="1"/>
    <col min="98" max="98" width="25" style="714" bestFit="1" customWidth="1"/>
    <col min="99" max="99" width="24" style="714" bestFit="1" customWidth="1"/>
    <col min="100" max="100" width="25" style="714" bestFit="1" customWidth="1"/>
    <col min="101" max="101" width="26.33203125" style="714" bestFit="1" customWidth="1"/>
    <col min="102" max="102" width="25.109375" style="714" bestFit="1" customWidth="1"/>
    <col min="103" max="103" width="26.33203125" style="714" bestFit="1" customWidth="1"/>
    <col min="104" max="104" width="25.33203125" style="714" bestFit="1" customWidth="1"/>
    <col min="105" max="105" width="24.33203125" style="714" bestFit="1" customWidth="1"/>
    <col min="106" max="106" width="25.33203125" style="714" bestFit="1" customWidth="1"/>
    <col min="107" max="107" width="26.109375" style="714" bestFit="1" customWidth="1"/>
    <col min="108" max="108" width="25" style="714" bestFit="1" customWidth="1"/>
    <col min="109" max="109" width="26.109375" style="714" bestFit="1" customWidth="1"/>
    <col min="110" max="110" width="25.109375" style="714" bestFit="1" customWidth="1"/>
    <col min="111" max="111" width="24.109375" style="714" bestFit="1" customWidth="1"/>
    <col min="112" max="112" width="25.109375" style="714" bestFit="1" customWidth="1"/>
    <col min="113" max="113" width="26.33203125" style="714" bestFit="1" customWidth="1"/>
    <col min="114" max="114" width="25.109375" style="714" bestFit="1" customWidth="1"/>
    <col min="115" max="115" width="26.33203125" style="714" bestFit="1" customWidth="1"/>
    <col min="116" max="116" width="25.33203125" style="714" bestFit="1" customWidth="1"/>
    <col min="117" max="117" width="24.33203125" style="714" bestFit="1" customWidth="1"/>
    <col min="118" max="118" width="25.33203125" style="714" bestFit="1" customWidth="1"/>
    <col min="119" max="119" width="26.109375" style="714" bestFit="1" customWidth="1"/>
    <col min="120" max="120" width="25" style="714" bestFit="1" customWidth="1"/>
    <col min="121" max="121" width="26.109375" style="714" bestFit="1" customWidth="1"/>
    <col min="122" max="122" width="25.109375" style="714" bestFit="1" customWidth="1"/>
    <col min="123" max="123" width="24.109375" style="714" bestFit="1" customWidth="1"/>
    <col min="124" max="124" width="25.109375" style="714" bestFit="1" customWidth="1"/>
    <col min="125" max="125" width="27.33203125" style="714" bestFit="1" customWidth="1"/>
    <col min="126" max="126" width="26.33203125" style="714" bestFit="1" customWidth="1"/>
    <col min="127" max="127" width="27.33203125" style="714" bestFit="1" customWidth="1"/>
    <col min="128" max="128" width="26.44140625" style="714" bestFit="1" customWidth="1"/>
    <col min="129" max="129" width="25.33203125" style="714" bestFit="1" customWidth="1"/>
    <col min="130" max="130" width="26.44140625" style="714" bestFit="1" customWidth="1"/>
    <col min="131" max="131" width="27.109375" style="714" bestFit="1" customWidth="1"/>
    <col min="132" max="132" width="26.109375" style="714" bestFit="1" customWidth="1"/>
    <col min="133" max="133" width="27.109375" style="714" bestFit="1" customWidth="1"/>
    <col min="134" max="134" width="26.33203125" style="714" bestFit="1" customWidth="1"/>
    <col min="135" max="135" width="25.109375" style="714" bestFit="1" customWidth="1"/>
    <col min="136" max="136" width="26.33203125" style="714" bestFit="1" customWidth="1"/>
    <col min="137" max="16384" width="9.109375" style="714"/>
  </cols>
  <sheetData>
    <row r="1" spans="1:138" x14ac:dyDescent="0.3">
      <c r="A1" s="1381" t="s">
        <v>821</v>
      </c>
      <c r="B1" s="1381" t="s">
        <v>822</v>
      </c>
      <c r="E1" s="1381" t="s">
        <v>982</v>
      </c>
      <c r="F1" s="1381" t="s">
        <v>983</v>
      </c>
      <c r="G1" s="1381" t="s">
        <v>984</v>
      </c>
      <c r="H1" s="1381" t="s">
        <v>985</v>
      </c>
      <c r="I1" s="1381" t="s">
        <v>986</v>
      </c>
      <c r="J1" s="1381" t="s">
        <v>987</v>
      </c>
      <c r="K1" s="1381" t="s">
        <v>988</v>
      </c>
      <c r="L1" s="1381" t="s">
        <v>989</v>
      </c>
      <c r="M1" s="1381" t="s">
        <v>990</v>
      </c>
      <c r="N1" s="1381" t="s">
        <v>991</v>
      </c>
      <c r="O1" s="1381" t="s">
        <v>992</v>
      </c>
      <c r="P1" s="1381" t="s">
        <v>993</v>
      </c>
      <c r="Q1" s="1381" t="s">
        <v>994</v>
      </c>
      <c r="R1" s="1381" t="s">
        <v>995</v>
      </c>
      <c r="S1" s="1381" t="s">
        <v>996</v>
      </c>
      <c r="T1" s="1381" t="s">
        <v>997</v>
      </c>
      <c r="U1" s="1381" t="s">
        <v>998</v>
      </c>
      <c r="V1" s="1381" t="s">
        <v>999</v>
      </c>
      <c r="W1" s="1381" t="s">
        <v>1000</v>
      </c>
      <c r="X1" s="1381" t="s">
        <v>1001</v>
      </c>
      <c r="Y1" s="1381" t="s">
        <v>1002</v>
      </c>
      <c r="Z1" s="1381" t="s">
        <v>1003</v>
      </c>
      <c r="AA1" s="1381" t="s">
        <v>1004</v>
      </c>
      <c r="AB1" s="1381" t="s">
        <v>1005</v>
      </c>
      <c r="AC1" s="1381" t="s">
        <v>1006</v>
      </c>
      <c r="AD1" s="1381" t="s">
        <v>1007</v>
      </c>
      <c r="AE1" s="1381" t="s">
        <v>1008</v>
      </c>
      <c r="AF1" s="1381" t="s">
        <v>1009</v>
      </c>
      <c r="AG1" s="1381" t="s">
        <v>1010</v>
      </c>
      <c r="AH1" s="1381" t="s">
        <v>1011</v>
      </c>
      <c r="AI1" s="1381" t="s">
        <v>1012</v>
      </c>
      <c r="AJ1" s="1381" t="s">
        <v>1013</v>
      </c>
      <c r="AK1" s="1381" t="s">
        <v>1014</v>
      </c>
      <c r="AL1" s="1381" t="s">
        <v>1015</v>
      </c>
      <c r="AM1" s="1381" t="s">
        <v>1016</v>
      </c>
      <c r="AN1" s="1381" t="s">
        <v>1017</v>
      </c>
      <c r="AO1" s="1381" t="s">
        <v>1018</v>
      </c>
      <c r="AP1" s="1381" t="s">
        <v>1019</v>
      </c>
      <c r="AQ1" s="1381" t="s">
        <v>1020</v>
      </c>
      <c r="AR1" s="1381" t="s">
        <v>1021</v>
      </c>
      <c r="AS1" s="1381" t="s">
        <v>1022</v>
      </c>
      <c r="AT1" s="1381" t="s">
        <v>1023</v>
      </c>
      <c r="AU1" s="1381" t="s">
        <v>1024</v>
      </c>
      <c r="AV1" s="1381" t="s">
        <v>1025</v>
      </c>
      <c r="AW1" s="1381" t="s">
        <v>1026</v>
      </c>
      <c r="AX1" s="1381" t="s">
        <v>1027</v>
      </c>
      <c r="AY1" s="1381" t="s">
        <v>1028</v>
      </c>
      <c r="AZ1" s="1381" t="s">
        <v>1029</v>
      </c>
      <c r="BA1" s="1381" t="s">
        <v>1030</v>
      </c>
      <c r="BB1" s="1381" t="s">
        <v>1031</v>
      </c>
      <c r="BC1" s="1381" t="s">
        <v>1032</v>
      </c>
      <c r="BD1" s="1381" t="s">
        <v>1033</v>
      </c>
      <c r="BE1" s="1381" t="s">
        <v>1034</v>
      </c>
      <c r="BF1" s="1381" t="s">
        <v>1035</v>
      </c>
      <c r="BG1" s="1381" t="s">
        <v>1036</v>
      </c>
      <c r="BH1" s="1381" t="s">
        <v>1037</v>
      </c>
      <c r="BI1" s="1381" t="s">
        <v>1038</v>
      </c>
      <c r="BJ1" s="1381" t="s">
        <v>1039</v>
      </c>
      <c r="BK1" s="1381" t="s">
        <v>1040</v>
      </c>
      <c r="BL1" s="1381" t="s">
        <v>1041</v>
      </c>
      <c r="BM1" s="1381" t="s">
        <v>1042</v>
      </c>
      <c r="BN1" s="1381" t="s">
        <v>1043</v>
      </c>
      <c r="BO1" s="1381" t="s">
        <v>1044</v>
      </c>
      <c r="BP1" s="1381" t="s">
        <v>1045</v>
      </c>
      <c r="BQ1" s="1381" t="s">
        <v>1046</v>
      </c>
      <c r="BR1" s="1381" t="s">
        <v>1047</v>
      </c>
      <c r="BS1" s="1381" t="s">
        <v>1048</v>
      </c>
      <c r="BT1" s="1381" t="s">
        <v>1049</v>
      </c>
      <c r="BU1" s="1381" t="s">
        <v>1050</v>
      </c>
      <c r="BV1" s="1381" t="s">
        <v>1051</v>
      </c>
      <c r="BW1" s="1381" t="s">
        <v>1052</v>
      </c>
      <c r="BX1" s="1381" t="s">
        <v>1053</v>
      </c>
      <c r="BY1" s="1381" t="s">
        <v>1054</v>
      </c>
      <c r="BZ1" s="1381" t="s">
        <v>1055</v>
      </c>
      <c r="CA1" s="1381" t="s">
        <v>1056</v>
      </c>
      <c r="CB1" s="1381" t="s">
        <v>1057</v>
      </c>
      <c r="CC1" s="1381" t="s">
        <v>1058</v>
      </c>
      <c r="CD1" s="1381" t="s">
        <v>1059</v>
      </c>
      <c r="CE1" s="1381" t="s">
        <v>1060</v>
      </c>
      <c r="CF1" s="1381" t="s">
        <v>1061</v>
      </c>
      <c r="CG1" s="1381" t="s">
        <v>1062</v>
      </c>
      <c r="CH1" s="1381" t="s">
        <v>1063</v>
      </c>
      <c r="CI1" s="1381" t="s">
        <v>1064</v>
      </c>
      <c r="CJ1" s="1381" t="s">
        <v>1065</v>
      </c>
      <c r="CK1" s="1381" t="s">
        <v>1066</v>
      </c>
      <c r="CL1" s="1381" t="s">
        <v>1067</v>
      </c>
      <c r="CM1" s="1381" t="s">
        <v>1068</v>
      </c>
      <c r="CN1" s="1381" t="s">
        <v>1069</v>
      </c>
      <c r="CO1" s="1381" t="s">
        <v>1070</v>
      </c>
      <c r="CP1" s="1381" t="s">
        <v>1071</v>
      </c>
      <c r="CQ1" s="1381" t="s">
        <v>1072</v>
      </c>
      <c r="CR1" s="1381" t="s">
        <v>1073</v>
      </c>
      <c r="CS1" s="1381" t="s">
        <v>1074</v>
      </c>
      <c r="CT1" s="1381" t="s">
        <v>1075</v>
      </c>
      <c r="CU1" s="1381" t="s">
        <v>1076</v>
      </c>
      <c r="CV1" s="1381" t="s">
        <v>1077</v>
      </c>
      <c r="CW1" s="1381" t="s">
        <v>1078</v>
      </c>
      <c r="CX1" s="1381" t="s">
        <v>1079</v>
      </c>
      <c r="CY1" s="1381" t="s">
        <v>1080</v>
      </c>
      <c r="CZ1" s="1381" t="s">
        <v>1081</v>
      </c>
      <c r="DA1" s="1381" t="s">
        <v>1082</v>
      </c>
      <c r="DB1" s="1381" t="s">
        <v>1083</v>
      </c>
      <c r="DC1" s="1381" t="s">
        <v>1084</v>
      </c>
      <c r="DD1" s="1381" t="s">
        <v>1085</v>
      </c>
      <c r="DE1" s="1381" t="s">
        <v>1086</v>
      </c>
      <c r="DF1" s="1381" t="s">
        <v>1087</v>
      </c>
      <c r="DG1" s="1381" t="s">
        <v>1088</v>
      </c>
      <c r="DH1" s="1381" t="s">
        <v>1089</v>
      </c>
      <c r="DI1" s="1381" t="s">
        <v>1090</v>
      </c>
      <c r="DJ1" s="1381" t="s">
        <v>1091</v>
      </c>
      <c r="DK1" s="1381" t="s">
        <v>1092</v>
      </c>
      <c r="DL1" s="1381" t="s">
        <v>1093</v>
      </c>
      <c r="DM1" s="1381" t="s">
        <v>1094</v>
      </c>
      <c r="DN1" s="1381" t="s">
        <v>1095</v>
      </c>
      <c r="DO1" s="1381" t="s">
        <v>1096</v>
      </c>
      <c r="DP1" s="1381" t="s">
        <v>1097</v>
      </c>
      <c r="DQ1" s="1381" t="s">
        <v>1098</v>
      </c>
      <c r="DR1" s="1381" t="s">
        <v>1099</v>
      </c>
      <c r="DS1" s="1381" t="s">
        <v>1100</v>
      </c>
      <c r="DT1" s="1381" t="s">
        <v>1101</v>
      </c>
      <c r="DU1" s="1381" t="s">
        <v>1102</v>
      </c>
      <c r="DV1" s="1381" t="s">
        <v>1103</v>
      </c>
      <c r="DW1" s="1381" t="s">
        <v>1104</v>
      </c>
      <c r="DX1" s="1381" t="s">
        <v>1105</v>
      </c>
      <c r="DY1" s="1381" t="s">
        <v>1106</v>
      </c>
      <c r="DZ1" s="1381" t="s">
        <v>1107</v>
      </c>
      <c r="EA1" s="1381" t="s">
        <v>1108</v>
      </c>
      <c r="EB1" s="1381" t="s">
        <v>1109</v>
      </c>
      <c r="EC1" s="1381" t="s">
        <v>1110</v>
      </c>
      <c r="ED1" s="1381" t="s">
        <v>1111</v>
      </c>
      <c r="EE1" s="1381" t="s">
        <v>1112</v>
      </c>
      <c r="EF1" s="1381" t="s">
        <v>1113</v>
      </c>
    </row>
    <row r="2" spans="1:138" s="1383" customFormat="1" x14ac:dyDescent="0.3">
      <c r="A2" s="1382" t="s">
        <v>533</v>
      </c>
      <c r="B2" s="1382" t="s">
        <v>533</v>
      </c>
      <c r="E2" s="714" t="s">
        <v>539</v>
      </c>
      <c r="F2" s="1383" t="s">
        <v>539</v>
      </c>
      <c r="G2" s="1383" t="s">
        <v>539</v>
      </c>
      <c r="H2" s="714">
        <v>0</v>
      </c>
      <c r="I2" s="1383" t="s">
        <v>539</v>
      </c>
      <c r="J2" s="1383" t="s">
        <v>539</v>
      </c>
      <c r="K2" s="714" t="s">
        <v>539</v>
      </c>
      <c r="L2" s="714" t="s">
        <v>539</v>
      </c>
      <c r="M2" s="714" t="s">
        <v>539</v>
      </c>
      <c r="N2" s="1383" t="s">
        <v>539</v>
      </c>
      <c r="O2" s="1383" t="s">
        <v>539</v>
      </c>
      <c r="P2" s="1383" t="s">
        <v>539</v>
      </c>
      <c r="Q2" s="1383" t="s">
        <v>539</v>
      </c>
      <c r="R2" s="1383" t="s">
        <v>539</v>
      </c>
      <c r="S2" s="1383" t="s">
        <v>539</v>
      </c>
      <c r="T2" s="714">
        <v>0</v>
      </c>
      <c r="U2" s="714">
        <v>0</v>
      </c>
      <c r="V2" s="714">
        <v>0</v>
      </c>
      <c r="W2" s="714">
        <v>0</v>
      </c>
      <c r="X2" s="714">
        <v>0</v>
      </c>
      <c r="Y2" s="714">
        <v>0</v>
      </c>
      <c r="Z2" s="714">
        <v>0</v>
      </c>
      <c r="AA2" s="714">
        <v>0</v>
      </c>
      <c r="AB2" s="714">
        <v>0</v>
      </c>
      <c r="AC2" s="714" t="s">
        <v>539</v>
      </c>
      <c r="AD2" s="714" t="s">
        <v>539</v>
      </c>
      <c r="AE2" s="714" t="s">
        <v>539</v>
      </c>
      <c r="AF2" s="714" t="s">
        <v>539</v>
      </c>
      <c r="AG2" s="714" t="s">
        <v>539</v>
      </c>
      <c r="AH2" s="714" t="s">
        <v>539</v>
      </c>
      <c r="AI2" s="714" t="s">
        <v>539</v>
      </c>
      <c r="AJ2" s="714" t="s">
        <v>539</v>
      </c>
      <c r="AK2" s="714" t="s">
        <v>539</v>
      </c>
      <c r="AL2" s="714" t="s">
        <v>539</v>
      </c>
      <c r="AM2" s="714" t="s">
        <v>539</v>
      </c>
      <c r="AN2" s="714" t="s">
        <v>539</v>
      </c>
      <c r="AO2" s="714">
        <v>0</v>
      </c>
      <c r="AP2" s="714" t="s">
        <v>539</v>
      </c>
      <c r="AQ2" s="714" t="s">
        <v>539</v>
      </c>
      <c r="AR2" s="714">
        <v>0</v>
      </c>
      <c r="AS2" s="714" t="s">
        <v>539</v>
      </c>
      <c r="AT2" s="714" t="s">
        <v>539</v>
      </c>
      <c r="AU2" s="714" t="s">
        <v>539</v>
      </c>
      <c r="AV2" s="714">
        <v>0</v>
      </c>
      <c r="AW2" s="714">
        <v>0</v>
      </c>
      <c r="AX2" s="714" t="s">
        <v>539</v>
      </c>
      <c r="AY2" s="714">
        <v>0</v>
      </c>
      <c r="AZ2" s="714">
        <v>0</v>
      </c>
      <c r="BA2" s="714" t="s">
        <v>539</v>
      </c>
      <c r="BB2" s="714" t="s">
        <v>539</v>
      </c>
      <c r="BC2" s="714" t="s">
        <v>539</v>
      </c>
      <c r="BD2" s="714" t="s">
        <v>539</v>
      </c>
      <c r="BE2" s="714" t="s">
        <v>539</v>
      </c>
      <c r="BF2" s="714" t="s">
        <v>539</v>
      </c>
      <c r="BG2" s="714" t="s">
        <v>539</v>
      </c>
      <c r="BH2" s="714">
        <v>0</v>
      </c>
      <c r="BI2" s="714">
        <v>0</v>
      </c>
      <c r="BJ2" s="714" t="s">
        <v>539</v>
      </c>
      <c r="BK2" s="714">
        <v>0</v>
      </c>
      <c r="BL2" s="714">
        <v>0</v>
      </c>
      <c r="BM2" s="714" t="s">
        <v>539</v>
      </c>
      <c r="BN2" s="714">
        <v>0</v>
      </c>
      <c r="BO2" s="714">
        <v>0</v>
      </c>
      <c r="BP2" s="714" t="s">
        <v>539</v>
      </c>
      <c r="BQ2" s="714">
        <v>0</v>
      </c>
      <c r="BR2" s="714">
        <v>0</v>
      </c>
      <c r="BS2" s="714" t="s">
        <v>539</v>
      </c>
      <c r="BT2" s="714">
        <v>0</v>
      </c>
      <c r="BU2" s="714">
        <v>0</v>
      </c>
      <c r="BV2" s="714" t="s">
        <v>539</v>
      </c>
      <c r="BW2" s="714">
        <v>0</v>
      </c>
      <c r="BX2" s="714">
        <v>0</v>
      </c>
      <c r="BY2" s="1384" t="s">
        <v>539</v>
      </c>
      <c r="BZ2" s="1385">
        <v>0</v>
      </c>
      <c r="CA2" s="1385">
        <v>0</v>
      </c>
      <c r="CB2" s="1384" t="s">
        <v>539</v>
      </c>
      <c r="CC2" s="1385">
        <v>0</v>
      </c>
      <c r="CD2" s="1385">
        <v>0</v>
      </c>
      <c r="CE2" s="1384" t="s">
        <v>539</v>
      </c>
      <c r="CF2" s="1385">
        <v>0</v>
      </c>
      <c r="CG2" s="1385">
        <v>0</v>
      </c>
      <c r="CH2" s="1384" t="s">
        <v>539</v>
      </c>
      <c r="CI2" s="1385">
        <v>0</v>
      </c>
      <c r="CJ2" s="1385">
        <v>0</v>
      </c>
      <c r="CK2" s="1384" t="s">
        <v>539</v>
      </c>
      <c r="CL2" s="1385">
        <v>0</v>
      </c>
      <c r="CM2" s="1385">
        <v>0</v>
      </c>
      <c r="CN2" s="1384" t="s">
        <v>539</v>
      </c>
      <c r="CO2" s="1385">
        <v>0</v>
      </c>
      <c r="CP2" s="1385">
        <v>0</v>
      </c>
      <c r="CQ2" s="714" t="s">
        <v>539</v>
      </c>
      <c r="CR2" s="1385">
        <v>0</v>
      </c>
      <c r="CS2" s="1385">
        <v>0</v>
      </c>
      <c r="CT2" s="714" t="s">
        <v>539</v>
      </c>
      <c r="CU2" s="1385">
        <v>0</v>
      </c>
      <c r="CV2" s="1385">
        <v>0</v>
      </c>
      <c r="CW2" s="714" t="s">
        <v>539</v>
      </c>
      <c r="CX2" s="714" t="s">
        <v>539</v>
      </c>
      <c r="CY2" s="714" t="s">
        <v>539</v>
      </c>
      <c r="CZ2" s="714" t="s">
        <v>539</v>
      </c>
      <c r="DA2" s="714" t="s">
        <v>539</v>
      </c>
      <c r="DB2" s="714" t="s">
        <v>539</v>
      </c>
      <c r="DC2" s="714" t="s">
        <v>539</v>
      </c>
      <c r="DD2" s="714">
        <v>0</v>
      </c>
      <c r="DE2" s="714" t="s">
        <v>539</v>
      </c>
      <c r="DF2" s="714" t="s">
        <v>539</v>
      </c>
      <c r="DG2" s="714">
        <v>0</v>
      </c>
      <c r="DH2" s="714" t="s">
        <v>539</v>
      </c>
      <c r="DI2" s="714" t="s">
        <v>539</v>
      </c>
      <c r="DJ2" s="714" t="s">
        <v>539</v>
      </c>
      <c r="DK2" s="714" t="s">
        <v>539</v>
      </c>
      <c r="DL2" s="714" t="s">
        <v>539</v>
      </c>
      <c r="DM2" s="714" t="s">
        <v>539</v>
      </c>
      <c r="DN2" s="714" t="s">
        <v>539</v>
      </c>
      <c r="DO2" s="714" t="s">
        <v>539</v>
      </c>
      <c r="DP2" s="714">
        <v>0</v>
      </c>
      <c r="DQ2" s="714">
        <v>0</v>
      </c>
      <c r="DR2" s="714" t="s">
        <v>539</v>
      </c>
      <c r="DS2" s="714">
        <v>0</v>
      </c>
      <c r="DT2" s="714">
        <v>0</v>
      </c>
      <c r="DU2" s="714" t="s">
        <v>539</v>
      </c>
      <c r="DV2" s="714" t="s">
        <v>539</v>
      </c>
      <c r="DW2" s="714" t="s">
        <v>539</v>
      </c>
      <c r="DX2" s="714" t="s">
        <v>539</v>
      </c>
      <c r="DY2" s="714" t="s">
        <v>539</v>
      </c>
      <c r="DZ2" s="714" t="s">
        <v>539</v>
      </c>
      <c r="EA2" s="714">
        <v>0</v>
      </c>
      <c r="EB2" s="714" t="s">
        <v>539</v>
      </c>
      <c r="EC2" s="714">
        <v>0</v>
      </c>
      <c r="ED2" s="714">
        <v>0</v>
      </c>
      <c r="EE2" s="714" t="s">
        <v>539</v>
      </c>
      <c r="EF2" s="714">
        <v>0</v>
      </c>
      <c r="EG2" s="714"/>
      <c r="EH2" s="714"/>
    </row>
    <row r="3" spans="1:138" x14ac:dyDescent="0.3">
      <c r="A3" s="714" t="s">
        <v>828</v>
      </c>
      <c r="B3" s="714" t="s">
        <v>27</v>
      </c>
      <c r="E3" s="714" t="s">
        <v>571</v>
      </c>
      <c r="H3" s="714">
        <v>2</v>
      </c>
      <c r="K3" s="714" t="s">
        <v>571</v>
      </c>
      <c r="L3" s="714" t="s">
        <v>571</v>
      </c>
      <c r="M3" s="714" t="s">
        <v>571</v>
      </c>
      <c r="Q3" s="714">
        <v>3</v>
      </c>
      <c r="R3" s="714">
        <v>3</v>
      </c>
      <c r="S3" s="714">
        <v>3</v>
      </c>
      <c r="T3" s="714">
        <v>3</v>
      </c>
      <c r="U3" s="714">
        <v>3</v>
      </c>
      <c r="V3" s="714">
        <v>3</v>
      </c>
      <c r="W3" s="714">
        <v>2</v>
      </c>
      <c r="X3" s="714">
        <v>4</v>
      </c>
      <c r="Y3" s="714">
        <v>4</v>
      </c>
      <c r="Z3" s="714">
        <v>2</v>
      </c>
      <c r="AA3" s="714">
        <v>4</v>
      </c>
      <c r="AB3" s="714">
        <v>4</v>
      </c>
      <c r="AC3" s="714" t="s">
        <v>571</v>
      </c>
      <c r="AF3" s="714" t="s">
        <v>571</v>
      </c>
      <c r="AJ3" s="714" t="s">
        <v>571</v>
      </c>
      <c r="AK3" s="714" t="s">
        <v>571</v>
      </c>
      <c r="AM3" s="714" t="s">
        <v>571</v>
      </c>
      <c r="AN3" s="714" t="s">
        <v>571</v>
      </c>
      <c r="AO3" s="714">
        <v>5</v>
      </c>
      <c r="AR3" s="714">
        <v>5</v>
      </c>
      <c r="AV3" s="714">
        <v>5</v>
      </c>
      <c r="AW3" s="714">
        <v>5</v>
      </c>
      <c r="AY3" s="714">
        <v>5</v>
      </c>
      <c r="AZ3" s="714">
        <v>5</v>
      </c>
      <c r="BA3" s="714" t="s">
        <v>571</v>
      </c>
      <c r="BD3" s="714" t="s">
        <v>571</v>
      </c>
      <c r="BH3" s="714">
        <v>2</v>
      </c>
      <c r="BI3" s="714">
        <v>2</v>
      </c>
      <c r="BK3" s="714">
        <v>2</v>
      </c>
      <c r="BL3" s="714">
        <v>2</v>
      </c>
      <c r="BN3" s="714">
        <v>1</v>
      </c>
      <c r="BO3" s="714">
        <v>1</v>
      </c>
      <c r="BQ3" s="714">
        <v>1</v>
      </c>
      <c r="BR3" s="714">
        <v>1</v>
      </c>
      <c r="BT3" s="714">
        <v>1</v>
      </c>
      <c r="BU3" s="714">
        <v>1</v>
      </c>
      <c r="BW3" s="714">
        <v>1</v>
      </c>
      <c r="BX3" s="714">
        <v>1</v>
      </c>
      <c r="BY3" s="1384"/>
      <c r="BZ3" s="1385">
        <v>2</v>
      </c>
      <c r="CA3" s="1385">
        <v>2</v>
      </c>
      <c r="CB3" s="1384"/>
      <c r="CC3" s="1385">
        <v>2</v>
      </c>
      <c r="CD3" s="1385">
        <v>2</v>
      </c>
      <c r="CF3" s="1385">
        <v>3</v>
      </c>
      <c r="CG3" s="1385">
        <v>3</v>
      </c>
      <c r="CI3" s="1385">
        <v>3</v>
      </c>
      <c r="CJ3" s="1385">
        <v>3</v>
      </c>
      <c r="CL3" s="1385">
        <v>10</v>
      </c>
      <c r="CM3" s="1385">
        <v>10</v>
      </c>
      <c r="CO3" s="1385">
        <v>10</v>
      </c>
      <c r="CP3" s="1385">
        <v>10</v>
      </c>
      <c r="CR3" s="1385">
        <v>2</v>
      </c>
      <c r="CS3" s="1385">
        <v>2</v>
      </c>
      <c r="CU3" s="1385">
        <v>2</v>
      </c>
      <c r="CV3" s="1385">
        <v>2</v>
      </c>
      <c r="CW3" s="714" t="s">
        <v>571</v>
      </c>
      <c r="CY3" s="714" t="s">
        <v>571</v>
      </c>
      <c r="CZ3" s="714" t="s">
        <v>571</v>
      </c>
      <c r="DB3" s="714" t="s">
        <v>571</v>
      </c>
      <c r="DD3" s="714">
        <v>3</v>
      </c>
      <c r="DG3" s="714">
        <v>3</v>
      </c>
      <c r="DI3" s="714" t="s">
        <v>571</v>
      </c>
      <c r="DL3" s="714" t="s">
        <v>571</v>
      </c>
      <c r="DP3" s="714">
        <v>3</v>
      </c>
      <c r="DQ3" s="714">
        <v>3</v>
      </c>
      <c r="DS3" s="714">
        <v>3</v>
      </c>
      <c r="DT3" s="714">
        <v>3</v>
      </c>
      <c r="DU3" s="714" t="s">
        <v>571</v>
      </c>
      <c r="DX3" s="714" t="s">
        <v>571</v>
      </c>
      <c r="EA3" s="714">
        <v>2</v>
      </c>
      <c r="EC3" s="714">
        <v>2</v>
      </c>
      <c r="ED3" s="714">
        <v>2</v>
      </c>
      <c r="EF3" s="714">
        <v>2</v>
      </c>
    </row>
    <row r="4" spans="1:138" x14ac:dyDescent="0.3">
      <c r="A4" s="714" t="s">
        <v>827</v>
      </c>
      <c r="B4" s="714" t="s">
        <v>976</v>
      </c>
      <c r="Q4" s="714">
        <v>5</v>
      </c>
      <c r="R4" s="714">
        <v>5</v>
      </c>
      <c r="S4" s="714">
        <v>5</v>
      </c>
      <c r="T4" s="714">
        <v>5</v>
      </c>
      <c r="U4" s="714">
        <v>5</v>
      </c>
      <c r="V4" s="714">
        <v>5</v>
      </c>
      <c r="AO4" s="714">
        <v>10</v>
      </c>
      <c r="AR4" s="714">
        <v>10</v>
      </c>
      <c r="BN4" s="714">
        <v>2</v>
      </c>
      <c r="BO4" s="714">
        <v>2</v>
      </c>
      <c r="BQ4" s="714">
        <v>2</v>
      </c>
      <c r="BR4" s="714">
        <v>2</v>
      </c>
      <c r="BT4" s="714">
        <v>2</v>
      </c>
      <c r="BU4" s="714">
        <v>2</v>
      </c>
      <c r="BW4" s="714">
        <v>2</v>
      </c>
      <c r="BX4" s="714">
        <v>2</v>
      </c>
      <c r="BY4" s="1384"/>
      <c r="BZ4" s="1385">
        <v>5</v>
      </c>
      <c r="CA4" s="1385">
        <v>5</v>
      </c>
      <c r="CB4" s="1384"/>
      <c r="CC4" s="1385">
        <v>5</v>
      </c>
      <c r="CD4" s="1385">
        <v>5</v>
      </c>
      <c r="CF4" s="1385">
        <v>7</v>
      </c>
      <c r="CG4" s="1385">
        <v>7</v>
      </c>
      <c r="CI4" s="1385">
        <v>7</v>
      </c>
      <c r="CJ4" s="1385">
        <v>7</v>
      </c>
      <c r="CR4" s="714">
        <v>5</v>
      </c>
      <c r="CS4" s="714">
        <v>5</v>
      </c>
      <c r="CU4" s="714">
        <v>5</v>
      </c>
      <c r="CV4" s="714">
        <v>5</v>
      </c>
      <c r="EA4" s="714">
        <v>3</v>
      </c>
      <c r="EC4" s="714">
        <v>3</v>
      </c>
      <c r="ED4" s="714">
        <v>3</v>
      </c>
      <c r="EF4" s="714">
        <v>3</v>
      </c>
    </row>
    <row r="5" spans="1:138" x14ac:dyDescent="0.3">
      <c r="B5" s="714" t="s">
        <v>952</v>
      </c>
      <c r="AO5" s="714">
        <v>15</v>
      </c>
      <c r="AR5" s="714">
        <v>15</v>
      </c>
      <c r="BN5" s="714">
        <v>3</v>
      </c>
      <c r="BO5" s="714">
        <v>3</v>
      </c>
      <c r="BQ5" s="714">
        <v>3</v>
      </c>
      <c r="BR5" s="714">
        <v>3</v>
      </c>
      <c r="BT5" s="714">
        <v>3</v>
      </c>
      <c r="BU5" s="714">
        <v>3</v>
      </c>
      <c r="BW5" s="714">
        <v>3</v>
      </c>
      <c r="BX5" s="714">
        <v>3</v>
      </c>
      <c r="BY5" s="1384"/>
      <c r="BZ5" s="1384"/>
      <c r="CA5" s="1384"/>
      <c r="CB5" s="1384"/>
      <c r="CC5" s="1384"/>
      <c r="CD5" s="1384"/>
      <c r="CR5" s="714">
        <v>7</v>
      </c>
      <c r="CS5" s="714">
        <v>7</v>
      </c>
      <c r="CU5" s="714">
        <v>7</v>
      </c>
      <c r="CV5" s="714">
        <v>7</v>
      </c>
      <c r="EA5" s="714">
        <v>4</v>
      </c>
      <c r="EC5" s="714">
        <v>4</v>
      </c>
      <c r="ED5" s="714">
        <v>4</v>
      </c>
      <c r="EF5" s="714">
        <v>4</v>
      </c>
    </row>
    <row r="6" spans="1:138" x14ac:dyDescent="0.3">
      <c r="B6" s="714" t="s">
        <v>952</v>
      </c>
      <c r="AO6" s="714">
        <v>20</v>
      </c>
      <c r="AR6" s="714">
        <v>20</v>
      </c>
      <c r="BN6" s="714">
        <v>4</v>
      </c>
      <c r="BO6" s="714">
        <v>4</v>
      </c>
      <c r="BQ6" s="714">
        <v>4</v>
      </c>
      <c r="BR6" s="714">
        <v>4</v>
      </c>
      <c r="BT6" s="714">
        <v>4</v>
      </c>
      <c r="BU6" s="714">
        <v>4</v>
      </c>
      <c r="BW6" s="714">
        <v>4</v>
      </c>
      <c r="BX6" s="714">
        <v>4</v>
      </c>
      <c r="BY6" s="1384"/>
      <c r="BZ6" s="1384"/>
      <c r="CA6" s="1384"/>
      <c r="CB6" s="1384"/>
      <c r="CC6" s="1384"/>
      <c r="CD6" s="1384"/>
      <c r="EA6" s="714">
        <v>5</v>
      </c>
      <c r="EC6" s="714">
        <v>5</v>
      </c>
      <c r="ED6" s="714">
        <v>5</v>
      </c>
      <c r="EF6" s="714">
        <v>5</v>
      </c>
    </row>
    <row r="7" spans="1:138" x14ac:dyDescent="0.3">
      <c r="AO7" s="714">
        <v>25</v>
      </c>
      <c r="AR7" s="714">
        <v>25</v>
      </c>
      <c r="BN7" s="714">
        <v>5</v>
      </c>
      <c r="BO7" s="714">
        <v>5</v>
      </c>
      <c r="BQ7" s="714">
        <v>5</v>
      </c>
      <c r="BR7" s="714">
        <v>5</v>
      </c>
      <c r="BT7" s="714">
        <v>5</v>
      </c>
      <c r="BU7" s="714">
        <v>5</v>
      </c>
      <c r="BW7" s="714">
        <v>5</v>
      </c>
      <c r="BX7" s="714">
        <v>5</v>
      </c>
      <c r="BY7" s="1384"/>
      <c r="BZ7" s="1384"/>
      <c r="CA7" s="1384"/>
      <c r="CB7" s="1384"/>
      <c r="CC7" s="1384"/>
      <c r="CD7" s="1384"/>
      <c r="EA7" s="714">
        <v>6</v>
      </c>
      <c r="EC7" s="714">
        <v>6</v>
      </c>
      <c r="ED7" s="714">
        <v>6</v>
      </c>
      <c r="EF7" s="714">
        <v>6</v>
      </c>
    </row>
    <row r="8" spans="1:138" x14ac:dyDescent="0.3">
      <c r="BN8" s="714">
        <v>6</v>
      </c>
      <c r="BO8" s="714">
        <v>6</v>
      </c>
      <c r="BQ8" s="714">
        <v>6</v>
      </c>
      <c r="BR8" s="714">
        <v>6</v>
      </c>
      <c r="BT8" s="714">
        <v>6</v>
      </c>
      <c r="BU8" s="714">
        <v>6</v>
      </c>
      <c r="BW8" s="714">
        <v>6</v>
      </c>
      <c r="BX8" s="714">
        <v>6</v>
      </c>
      <c r="BY8" s="1384"/>
      <c r="BZ8" s="1384"/>
      <c r="CA8" s="1384"/>
      <c r="CB8" s="1384"/>
      <c r="CC8" s="1384"/>
      <c r="CD8" s="1384"/>
      <c r="EA8" s="714">
        <v>7</v>
      </c>
      <c r="EC8" s="714">
        <v>7</v>
      </c>
      <c r="ED8" s="714">
        <v>7</v>
      </c>
      <c r="EF8" s="714">
        <v>7</v>
      </c>
    </row>
    <row r="9" spans="1:138" x14ac:dyDescent="0.3">
      <c r="BN9" s="714">
        <v>7</v>
      </c>
      <c r="BO9" s="714">
        <v>7</v>
      </c>
      <c r="BQ9" s="714">
        <v>7</v>
      </c>
      <c r="BR9" s="714">
        <v>7</v>
      </c>
      <c r="BT9" s="714">
        <v>7</v>
      </c>
      <c r="BU9" s="714">
        <v>7</v>
      </c>
      <c r="BW9" s="714">
        <v>7</v>
      </c>
      <c r="BX9" s="714">
        <v>7</v>
      </c>
      <c r="BY9" s="1384"/>
      <c r="BZ9" s="1384"/>
      <c r="CA9" s="1384"/>
      <c r="CB9" s="1384"/>
      <c r="CC9" s="1384"/>
      <c r="CD9" s="1384"/>
      <c r="EA9" s="714">
        <v>8</v>
      </c>
      <c r="EC9" s="714">
        <v>8</v>
      </c>
      <c r="ED9" s="714">
        <v>8</v>
      </c>
      <c r="EF9" s="714">
        <v>8</v>
      </c>
    </row>
    <row r="10" spans="1:138" x14ac:dyDescent="0.3">
      <c r="BN10" s="714">
        <v>8</v>
      </c>
      <c r="BO10" s="714">
        <v>8</v>
      </c>
      <c r="BQ10" s="714">
        <v>8</v>
      </c>
      <c r="BR10" s="714">
        <v>8</v>
      </c>
      <c r="BT10" s="714">
        <v>8</v>
      </c>
      <c r="BU10" s="714">
        <v>8</v>
      </c>
      <c r="BW10" s="714">
        <v>8</v>
      </c>
      <c r="BX10" s="714">
        <v>8</v>
      </c>
      <c r="BY10" s="1384"/>
      <c r="BZ10" s="1384"/>
      <c r="CA10" s="1384"/>
      <c r="CB10" s="1384"/>
      <c r="CC10" s="1384"/>
      <c r="CD10" s="1384"/>
      <c r="EC10" s="714">
        <v>10</v>
      </c>
      <c r="EF10" s="714">
        <v>10</v>
      </c>
    </row>
    <row r="11" spans="1:138" x14ac:dyDescent="0.3">
      <c r="BN11" s="714">
        <v>9</v>
      </c>
      <c r="BO11" s="714">
        <v>9</v>
      </c>
      <c r="BQ11" s="714">
        <v>9</v>
      </c>
      <c r="BR11" s="714">
        <v>9</v>
      </c>
      <c r="BT11" s="714">
        <v>9</v>
      </c>
      <c r="BU11" s="714">
        <v>9</v>
      </c>
      <c r="BW11" s="714">
        <v>9</v>
      </c>
      <c r="BX11" s="714">
        <v>9</v>
      </c>
      <c r="BY11" s="1384"/>
      <c r="BZ11" s="1384"/>
      <c r="CA11" s="1384"/>
      <c r="CB11" s="1384"/>
      <c r="CC11" s="1384"/>
      <c r="CD11" s="1384"/>
    </row>
    <row r="12" spans="1:138" x14ac:dyDescent="0.3">
      <c r="BN12" s="714">
        <v>10</v>
      </c>
      <c r="BO12" s="714">
        <v>10</v>
      </c>
      <c r="BQ12" s="714">
        <v>10</v>
      </c>
      <c r="BR12" s="714">
        <v>10</v>
      </c>
      <c r="BT12" s="714">
        <v>10</v>
      </c>
      <c r="BU12" s="714">
        <v>10</v>
      </c>
      <c r="BW12" s="714">
        <v>10</v>
      </c>
      <c r="BX12" s="714">
        <v>10</v>
      </c>
      <c r="BY12" s="1384"/>
      <c r="BZ12" s="1384"/>
      <c r="CA12" s="1384"/>
      <c r="CB12" s="1384"/>
      <c r="CC12" s="1384"/>
      <c r="CD12" s="1384"/>
    </row>
    <row r="13" spans="1:138" x14ac:dyDescent="0.3">
      <c r="BN13" s="714">
        <v>11</v>
      </c>
      <c r="BO13" s="714">
        <v>11</v>
      </c>
      <c r="BQ13" s="714">
        <v>11</v>
      </c>
      <c r="BR13" s="714">
        <v>11</v>
      </c>
      <c r="BY13" s="1384"/>
      <c r="BZ13" s="1384"/>
      <c r="CA13" s="1384"/>
      <c r="CB13" s="1384"/>
      <c r="CC13" s="1384"/>
      <c r="CD13" s="1384"/>
    </row>
    <row r="14" spans="1:138" x14ac:dyDescent="0.3">
      <c r="A14" s="714" t="s">
        <v>821</v>
      </c>
      <c r="B14" s="714" t="s">
        <v>822</v>
      </c>
      <c r="BN14" s="714">
        <v>12</v>
      </c>
      <c r="BO14" s="714">
        <v>12</v>
      </c>
      <c r="BQ14" s="714">
        <v>12</v>
      </c>
      <c r="BR14" s="714">
        <v>12</v>
      </c>
      <c r="BY14" s="1384"/>
      <c r="BZ14" s="1384"/>
      <c r="CA14" s="1384"/>
      <c r="CB14" s="1384"/>
      <c r="CC14" s="1384"/>
      <c r="CD14" s="1384"/>
    </row>
    <row r="15" spans="1:138" x14ac:dyDescent="0.3">
      <c r="A15" s="1386" t="s">
        <v>828</v>
      </c>
      <c r="B15" s="1386" t="s">
        <v>27</v>
      </c>
      <c r="BN15" s="714">
        <v>13</v>
      </c>
      <c r="BO15" s="714">
        <v>13</v>
      </c>
      <c r="BQ15" s="714">
        <v>13</v>
      </c>
      <c r="BR15" s="714">
        <v>13</v>
      </c>
      <c r="BY15" s="1384"/>
      <c r="BZ15" s="1384"/>
      <c r="CA15" s="1384"/>
      <c r="CB15" s="1384"/>
      <c r="CC15" s="1384"/>
      <c r="CD15" s="1384"/>
    </row>
    <row r="16" spans="1:138" x14ac:dyDescent="0.3">
      <c r="BN16" s="714">
        <v>14</v>
      </c>
      <c r="BO16" s="714">
        <v>14</v>
      </c>
      <c r="BQ16" s="714">
        <v>14</v>
      </c>
      <c r="BR16" s="714">
        <v>14</v>
      </c>
      <c r="BY16" s="1384"/>
      <c r="BZ16" s="1384"/>
      <c r="CA16" s="1384"/>
      <c r="CB16" s="1384"/>
      <c r="CC16" s="1384"/>
      <c r="CD16" s="1384"/>
    </row>
    <row r="17" spans="2:136" x14ac:dyDescent="0.3">
      <c r="B17" s="714">
        <v>2.2000000000000002</v>
      </c>
      <c r="C17" s="1386"/>
      <c r="BN17" s="714">
        <v>15</v>
      </c>
      <c r="BO17" s="714">
        <v>15</v>
      </c>
      <c r="BQ17" s="714">
        <v>15</v>
      </c>
      <c r="BR17" s="714">
        <v>15</v>
      </c>
      <c r="BY17" s="1384"/>
      <c r="BZ17" s="1384"/>
      <c r="CA17" s="1384"/>
      <c r="CB17" s="1384"/>
      <c r="CC17" s="1384"/>
      <c r="CD17" s="1384"/>
    </row>
    <row r="18" spans="2:136" x14ac:dyDescent="0.3">
      <c r="B18" s="714" t="s">
        <v>703</v>
      </c>
      <c r="BY18" s="1384"/>
      <c r="BZ18" s="1384"/>
      <c r="CA18" s="1384"/>
      <c r="CB18" s="1384"/>
      <c r="CC18" s="1384"/>
      <c r="CD18" s="1384"/>
    </row>
    <row r="19" spans="2:136" x14ac:dyDescent="0.3">
      <c r="BY19" s="1384"/>
      <c r="BZ19" s="1384"/>
      <c r="CA19" s="1384"/>
      <c r="CB19" s="1384"/>
      <c r="CC19" s="1384"/>
      <c r="CD19" s="1384"/>
    </row>
    <row r="20" spans="2:136" x14ac:dyDescent="0.3">
      <c r="BY20" s="1384"/>
      <c r="BZ20" s="1384"/>
      <c r="CA20" s="1384"/>
      <c r="CB20" s="1384"/>
      <c r="CC20" s="1384"/>
      <c r="CD20" s="1384"/>
    </row>
    <row r="21" spans="2:136" x14ac:dyDescent="0.3">
      <c r="BY21" s="1384"/>
      <c r="BZ21" s="1384"/>
      <c r="CA21" s="1384"/>
      <c r="CB21" s="1384"/>
      <c r="CC21" s="1384"/>
      <c r="CD21" s="1384"/>
    </row>
    <row r="22" spans="2:136" ht="28.8" x14ac:dyDescent="0.3">
      <c r="E22" s="1387" t="s">
        <v>1114</v>
      </c>
      <c r="F22" s="1387" t="s">
        <v>539</v>
      </c>
      <c r="G22" s="1387" t="s">
        <v>539</v>
      </c>
      <c r="H22" s="1387" t="s">
        <v>855</v>
      </c>
      <c r="I22" s="1387" t="s">
        <v>539</v>
      </c>
      <c r="J22" s="1387" t="s">
        <v>539</v>
      </c>
      <c r="K22" s="1196" t="s">
        <v>1114</v>
      </c>
      <c r="L22" s="1196" t="s">
        <v>1114</v>
      </c>
      <c r="M22" s="1196" t="s">
        <v>1114</v>
      </c>
      <c r="N22" s="1196" t="s">
        <v>539</v>
      </c>
      <c r="O22" s="1196" t="s">
        <v>539</v>
      </c>
      <c r="P22" s="1196" t="s">
        <v>539</v>
      </c>
      <c r="Q22" s="1196" t="s">
        <v>853</v>
      </c>
      <c r="R22" s="1196" t="s">
        <v>853</v>
      </c>
      <c r="S22" s="1196" t="s">
        <v>853</v>
      </c>
      <c r="T22" s="1196" t="s">
        <v>981</v>
      </c>
      <c r="U22" s="1196" t="s">
        <v>981</v>
      </c>
      <c r="V22" s="1196" t="s">
        <v>981</v>
      </c>
      <c r="W22" s="1196" t="s">
        <v>855</v>
      </c>
      <c r="X22" s="1196" t="s">
        <v>901</v>
      </c>
      <c r="Y22" s="1196" t="s">
        <v>901</v>
      </c>
      <c r="Z22" s="1196" t="s">
        <v>855</v>
      </c>
      <c r="AA22" s="1196" t="s">
        <v>901</v>
      </c>
      <c r="AB22" s="1196" t="s">
        <v>901</v>
      </c>
      <c r="AC22" s="1196" t="s">
        <v>1114</v>
      </c>
      <c r="AD22" s="1196" t="s">
        <v>539</v>
      </c>
      <c r="AE22" s="1196" t="s">
        <v>539</v>
      </c>
      <c r="AF22" s="1196" t="s">
        <v>1114</v>
      </c>
      <c r="AG22" s="1196" t="s">
        <v>539</v>
      </c>
      <c r="AH22" s="1196" t="s">
        <v>539</v>
      </c>
      <c r="AI22" s="1196" t="s">
        <v>539</v>
      </c>
      <c r="AJ22" s="1196" t="s">
        <v>1114</v>
      </c>
      <c r="AK22" s="1196" t="s">
        <v>1114</v>
      </c>
      <c r="AL22" s="1196" t="s">
        <v>539</v>
      </c>
      <c r="AM22" s="1196" t="s">
        <v>1114</v>
      </c>
      <c r="AN22" s="1196" t="s">
        <v>1114</v>
      </c>
      <c r="AO22" s="1196" t="s">
        <v>896</v>
      </c>
      <c r="AP22" s="1196" t="s">
        <v>539</v>
      </c>
      <c r="AQ22" s="1196" t="s">
        <v>539</v>
      </c>
      <c r="AR22" s="1196" t="s">
        <v>896</v>
      </c>
      <c r="AS22" s="1196" t="s">
        <v>539</v>
      </c>
      <c r="AT22" s="1196" t="s">
        <v>539</v>
      </c>
      <c r="AU22" s="1196" t="s">
        <v>539</v>
      </c>
      <c r="AV22" s="1196" t="s">
        <v>846</v>
      </c>
      <c r="AW22" s="1196" t="s">
        <v>846</v>
      </c>
      <c r="AX22" s="1196" t="s">
        <v>539</v>
      </c>
      <c r="AY22" s="1196" t="s">
        <v>846</v>
      </c>
      <c r="AZ22" s="1196" t="s">
        <v>846</v>
      </c>
      <c r="BA22" s="1196" t="s">
        <v>1114</v>
      </c>
      <c r="BB22" s="1196" t="s">
        <v>539</v>
      </c>
      <c r="BC22" s="1196" t="s">
        <v>539</v>
      </c>
      <c r="BD22" s="1196" t="s">
        <v>1114</v>
      </c>
      <c r="BE22" s="1196" t="s">
        <v>539</v>
      </c>
      <c r="BF22" s="1196" t="s">
        <v>539</v>
      </c>
      <c r="BG22" s="1196" t="s">
        <v>539</v>
      </c>
      <c r="BH22" s="1196" t="s">
        <v>855</v>
      </c>
      <c r="BI22" s="1196" t="s">
        <v>855</v>
      </c>
      <c r="BJ22" s="1196" t="s">
        <v>539</v>
      </c>
      <c r="BK22" s="1196" t="s">
        <v>855</v>
      </c>
      <c r="BL22" s="1196" t="s">
        <v>855</v>
      </c>
      <c r="BM22" s="1196" t="s">
        <v>539</v>
      </c>
      <c r="BN22" s="1196" t="s">
        <v>963</v>
      </c>
      <c r="BO22" s="1196" t="s">
        <v>963</v>
      </c>
      <c r="BP22" s="1196" t="s">
        <v>539</v>
      </c>
      <c r="BQ22" s="1196" t="s">
        <v>963</v>
      </c>
      <c r="BR22" s="1196" t="s">
        <v>963</v>
      </c>
      <c r="BS22" s="1388" t="s">
        <v>539</v>
      </c>
      <c r="BT22" s="1388" t="s">
        <v>965</v>
      </c>
      <c r="BU22" s="1388" t="s">
        <v>965</v>
      </c>
      <c r="BV22" s="1388" t="s">
        <v>539</v>
      </c>
      <c r="BW22" s="1388" t="s">
        <v>965</v>
      </c>
      <c r="BX22" s="1388" t="s">
        <v>965</v>
      </c>
      <c r="BY22" s="1196" t="s">
        <v>539</v>
      </c>
      <c r="BZ22" s="1196" t="s">
        <v>1115</v>
      </c>
      <c r="CA22" s="1196" t="s">
        <v>1115</v>
      </c>
      <c r="CB22" s="1196" t="s">
        <v>539</v>
      </c>
      <c r="CC22" s="1196" t="s">
        <v>1115</v>
      </c>
      <c r="CD22" s="1196" t="s">
        <v>1115</v>
      </c>
      <c r="CE22" s="1196" t="s">
        <v>539</v>
      </c>
      <c r="CF22" s="1196" t="s">
        <v>1116</v>
      </c>
      <c r="CG22" s="1196" t="s">
        <v>1116</v>
      </c>
      <c r="CH22" s="1196" t="s">
        <v>539</v>
      </c>
      <c r="CI22" s="1196" t="s">
        <v>1116</v>
      </c>
      <c r="CJ22" s="1196" t="s">
        <v>1116</v>
      </c>
      <c r="CK22" s="1196" t="s">
        <v>539</v>
      </c>
      <c r="CL22" s="1196" t="s">
        <v>1117</v>
      </c>
      <c r="CM22" s="1196" t="s">
        <v>1117</v>
      </c>
      <c r="CN22" s="1196" t="s">
        <v>539</v>
      </c>
      <c r="CO22" s="1196" t="s">
        <v>1117</v>
      </c>
      <c r="CP22" s="1196" t="s">
        <v>1117</v>
      </c>
      <c r="CQ22" s="1196" t="s">
        <v>539</v>
      </c>
      <c r="CR22" s="1196" t="s">
        <v>971</v>
      </c>
      <c r="CS22" s="1196" t="s">
        <v>971</v>
      </c>
      <c r="CT22" s="1196" t="s">
        <v>539</v>
      </c>
      <c r="CU22" s="1196" t="s">
        <v>971</v>
      </c>
      <c r="CV22" s="1196" t="s">
        <v>971</v>
      </c>
      <c r="CW22" s="1196" t="s">
        <v>1114</v>
      </c>
      <c r="CX22" s="1196" t="s">
        <v>539</v>
      </c>
      <c r="CY22" s="1196" t="s">
        <v>1114</v>
      </c>
      <c r="CZ22" s="1196" t="s">
        <v>1114</v>
      </c>
      <c r="DA22" s="1196" t="s">
        <v>539</v>
      </c>
      <c r="DB22" s="1196" t="s">
        <v>1114</v>
      </c>
      <c r="DC22" s="1196" t="s">
        <v>539</v>
      </c>
      <c r="DD22" s="1196" t="s">
        <v>539</v>
      </c>
      <c r="DE22" s="1196" t="s">
        <v>857</v>
      </c>
      <c r="DF22" s="1196" t="s">
        <v>539</v>
      </c>
      <c r="DG22" s="1196" t="s">
        <v>539</v>
      </c>
      <c r="DH22" s="1196" t="s">
        <v>857</v>
      </c>
      <c r="DI22" s="1196" t="s">
        <v>1114</v>
      </c>
      <c r="DJ22" s="1196" t="s">
        <v>539</v>
      </c>
      <c r="DK22" s="1196" t="s">
        <v>539</v>
      </c>
      <c r="DL22" s="1196" t="s">
        <v>1114</v>
      </c>
      <c r="DM22" s="1196" t="s">
        <v>539</v>
      </c>
      <c r="DN22" s="1196" t="s">
        <v>539</v>
      </c>
      <c r="DO22" s="1196" t="s">
        <v>539</v>
      </c>
      <c r="DP22" s="1196" t="s">
        <v>857</v>
      </c>
      <c r="DQ22" s="1196" t="s">
        <v>857</v>
      </c>
      <c r="DR22" s="1196" t="s">
        <v>539</v>
      </c>
      <c r="DS22" s="1196" t="s">
        <v>857</v>
      </c>
      <c r="DT22" s="1196" t="s">
        <v>857</v>
      </c>
      <c r="DU22" s="1196" t="s">
        <v>1114</v>
      </c>
      <c r="DV22" s="1196" t="s">
        <v>539</v>
      </c>
      <c r="DW22" s="1196" t="s">
        <v>539</v>
      </c>
      <c r="DX22" s="1196" t="s">
        <v>1114</v>
      </c>
      <c r="DY22" s="1196" t="s">
        <v>539</v>
      </c>
      <c r="DZ22" s="1196" t="s">
        <v>539</v>
      </c>
      <c r="EA22" s="1196" t="s">
        <v>941</v>
      </c>
      <c r="EB22" s="1196" t="s">
        <v>539</v>
      </c>
      <c r="EC22" s="1196" t="s">
        <v>974</v>
      </c>
      <c r="ED22" s="1196" t="s">
        <v>941</v>
      </c>
      <c r="EE22" s="1196" t="s">
        <v>539</v>
      </c>
      <c r="EF22" s="1196" t="s">
        <v>974</v>
      </c>
    </row>
    <row r="23" spans="2:136" x14ac:dyDescent="0.3">
      <c r="E23" s="1389" t="str">
        <f>CONCATENATE(E26,(SUBSTITUTE(E27," ","")),E28)</f>
        <v>UrbanNewConstruction2.2</v>
      </c>
      <c r="F23" s="1389" t="str">
        <f>CONCATENATE(F26,(SUBSTITUTE(F27," - ","")),F28)</f>
        <v>UrbanRehabModerate2.2</v>
      </c>
      <c r="G23" s="1389" t="str">
        <f>CONCATENATE(G26,(SUBSTITUTE(G27," - ","")),G28)</f>
        <v>UrbanRehabSubstantial2.2</v>
      </c>
      <c r="H23" s="1389" t="str">
        <f>CONCATENATE(H26,(SUBSTITUTE(H27," ","")),H28)</f>
        <v>RuralNewConstruction2.2</v>
      </c>
      <c r="I23" s="1389" t="str">
        <f>CONCATENATE(I26,(SUBSTITUTE(I27," - ","")),I28)</f>
        <v>RuralRehabModerate2.2</v>
      </c>
      <c r="J23" s="1389" t="str">
        <f>CONCATENATE(J26,(SUBSTITUTE(J27," - ","")),J28)</f>
        <v>RuralRehabSubstantial2.2</v>
      </c>
      <c r="K23" s="1389" t="str">
        <f>CONCATENATE(K26,(SUBSTITUTE(K27," ","")),K28)</f>
        <v>UrbanNewConstruction2.7A</v>
      </c>
      <c r="L23" s="1389" t="str">
        <f>CONCATENATE(L26,(SUBSTITUTE(L27," - ","")),L28)</f>
        <v>UrbanRehabModerate2.7A</v>
      </c>
      <c r="M23" s="1389" t="str">
        <f>CONCATENATE(M26,(SUBSTITUTE(M27," - ","")),M28)</f>
        <v>UrbanRehabSubstantial2.7A</v>
      </c>
      <c r="N23" s="1389" t="str">
        <f>CONCATENATE(N26,(SUBSTITUTE(N27," ","")),N28)</f>
        <v>RuralNewConstruction2.7A</v>
      </c>
      <c r="O23" s="1389" t="str">
        <f>CONCATENATE(O26,(SUBSTITUTE(O27," - ","")),O28)</f>
        <v>RuralRehabModerate2.7A</v>
      </c>
      <c r="P23" s="1389" t="str">
        <f>CONCATENATE(P26,(SUBSTITUTE(P27," - ","")),P28)</f>
        <v>RuralRehabSubstantial2.7A</v>
      </c>
      <c r="Q23" s="1389" t="str">
        <f>CONCATENATE(Q26,(SUBSTITUTE(Q27," ","")),Q28)</f>
        <v>UrbanNewConstruction2.7B</v>
      </c>
      <c r="R23" s="1389" t="str">
        <f>CONCATENATE(R26,(SUBSTITUTE(R27," - ","")),R28)</f>
        <v>UrbanRehabModerate2.7B</v>
      </c>
      <c r="S23" s="1389" t="str">
        <f>CONCATENATE(S26,(SUBSTITUTE(S27," - ","")),S28)</f>
        <v>UrbanRehabSubstantial2.7B</v>
      </c>
      <c r="T23" s="1389" t="str">
        <f>CONCATENATE(T26,(SUBSTITUTE(T27," ","")),T28)</f>
        <v>RuralNewConstruction2.7B</v>
      </c>
      <c r="U23" s="1389" t="str">
        <f>CONCATENATE(U26,(SUBSTITUTE(U27," - ","")),U28)</f>
        <v>RuralRehabModerate2.7B</v>
      </c>
      <c r="V23" s="1389" t="str">
        <f>CONCATENATE(V26,(SUBSTITUTE(V27," - ","")),V28)</f>
        <v>RuralRehabSubstantial2.7B</v>
      </c>
      <c r="W23" s="1389" t="str">
        <f>CONCATENATE(W26,(SUBSTITUTE(W27," ","")),W28)</f>
        <v>UrbanNewConstruction4.2</v>
      </c>
      <c r="X23" s="1389" t="str">
        <f>CONCATENATE(X26,(SUBSTITUTE(X27," - ","")),X28)</f>
        <v>UrbanRehabModerate4.2</v>
      </c>
      <c r="Y23" s="1389" t="str">
        <f>CONCATENATE(Y26,(SUBSTITUTE(Y27," - ","")),Y28)</f>
        <v>UrbanRehabSubstantial4.2</v>
      </c>
      <c r="Z23" s="1389" t="str">
        <f>CONCATENATE(Z26,(SUBSTITUTE(Z27," ","")),Z28)</f>
        <v>RuralNewConstruction4.2</v>
      </c>
      <c r="AA23" s="1389" t="str">
        <f>CONCATENATE(AA26,(SUBSTITUTE(AA27," - ","")),AA28)</f>
        <v>RuralRehabModerate4.2</v>
      </c>
      <c r="AB23" s="1389" t="str">
        <f>CONCATENATE(AB26,(SUBSTITUTE(AB27," - ","")),AB28)</f>
        <v>RuralRehabSubstantial4.2</v>
      </c>
      <c r="AC23" s="1389" t="str">
        <f>CONCATENATE(AC26,(SUBSTITUTE(AC27," ","")),AC28)</f>
        <v>UrbanNewConstruction5.1A</v>
      </c>
      <c r="AD23" s="1389" t="str">
        <f>CONCATENATE(AD26,(SUBSTITUTE(AD27," - ","")),AD28)</f>
        <v>UrbanRehabModerate5.1A</v>
      </c>
      <c r="AE23" s="1389" t="str">
        <f>CONCATENATE(AE26,(SUBSTITUTE(AE27," - ","")),AE28)</f>
        <v>UrbanRehabSubstantial5.1A</v>
      </c>
      <c r="AF23" s="1389" t="str">
        <f>CONCATENATE(AF26,(SUBSTITUTE(AF27," ","")),AF28)</f>
        <v>RuralNewConstruction5.1A</v>
      </c>
      <c r="AG23" s="1389" t="str">
        <f>CONCATENATE(AG26,(SUBSTITUTE(AG27," - ","")),AG28)</f>
        <v>RuralRehabModerate5.1A</v>
      </c>
      <c r="AH23" s="1389" t="str">
        <f>CONCATENATE(AH26,(SUBSTITUTE(AH27," - ","")),AH28)</f>
        <v>RuralRehabSubstantial5.1A</v>
      </c>
      <c r="AI23" s="1389" t="str">
        <f>CONCATENATE(AI26,(SUBSTITUTE(AI27," ","")),AI28)</f>
        <v>UrbanNewConstruction5.1B</v>
      </c>
      <c r="AJ23" s="1389" t="str">
        <f>CONCATENATE(AJ26,(SUBSTITUTE(AJ27," - ","")),AJ28)</f>
        <v>UrbanRehabModerate5.1B</v>
      </c>
      <c r="AK23" s="1389" t="str">
        <f>CONCATENATE(AK26,(SUBSTITUTE(AK27," - ","")),AK28)</f>
        <v>UrbanRehabSubstantial5.1B</v>
      </c>
      <c r="AL23" s="1389" t="str">
        <f>CONCATENATE(AL26,(SUBSTITUTE(AL27," ","")),AL28)</f>
        <v>RuralNewConstruction5.1B</v>
      </c>
      <c r="AM23" s="1389" t="str">
        <f>CONCATENATE(AM26,(SUBSTITUTE(AM27," - ","")),AM28)</f>
        <v>RuralRehabModerate5.1B</v>
      </c>
      <c r="AN23" s="1389" t="str">
        <f>CONCATENATE(AN26,(SUBSTITUTE(AN27," - ","")),AN28)</f>
        <v>RuralRehabSubstantial5.1B</v>
      </c>
      <c r="AO23" s="1389" t="str">
        <f>CONCATENATE(AO26,(SUBSTITUTE(AO27," ","")),AO28)</f>
        <v>UrbanNewConstruction5.2A</v>
      </c>
      <c r="AP23" s="1389" t="str">
        <f>CONCATENATE(AP26,(SUBSTITUTE(AP27," - ","")),AP28)</f>
        <v>UrbanRehabModerate5.2A</v>
      </c>
      <c r="AQ23" s="1389" t="str">
        <f>CONCATENATE(AQ26,(SUBSTITUTE(AQ27," - ","")),AQ28)</f>
        <v>UrbanRehabSubstantial5.2A</v>
      </c>
      <c r="AR23" s="1389" t="str">
        <f>CONCATENATE(AR26,(SUBSTITUTE(AR27," ","")),AR28)</f>
        <v>RuralNewConstruction5.2A</v>
      </c>
      <c r="AS23" s="1389" t="str">
        <f>CONCATENATE(AS26,(SUBSTITUTE(AS27," - ","")),AS28)</f>
        <v>RuralRehabModerate5.2A</v>
      </c>
      <c r="AT23" s="1389" t="str">
        <f>CONCATENATE(AT26,(SUBSTITUTE(AT27," - ","")),AT28)</f>
        <v>RuralRehabSubstantial5.2A</v>
      </c>
      <c r="AU23" s="1389" t="str">
        <f>CONCATENATE(AU26,(SUBSTITUTE(AU27," ","")),AU28)</f>
        <v>UrbanNewConstruction5.2B</v>
      </c>
      <c r="AV23" s="1389" t="str">
        <f>CONCATENATE(AV26,(SUBSTITUTE(AV27," - ","")),AV28)</f>
        <v>UrbanRehabModerate5.2B</v>
      </c>
      <c r="AW23" s="1389" t="str">
        <f>CONCATENATE(AW26,(SUBSTITUTE(AW27," - ","")),AW28)</f>
        <v>UrbanRehabSubstantial5.2B</v>
      </c>
      <c r="AX23" s="1389" t="str">
        <f>CONCATENATE(AX26,(SUBSTITUTE(AX27," ","")),AX28)</f>
        <v>RuralNewConstruction5.2B</v>
      </c>
      <c r="AY23" s="1389" t="str">
        <f>CONCATENATE(AY26,(SUBSTITUTE(AY27," - ","")),AY28)</f>
        <v>RuralRehabModerate5.2B</v>
      </c>
      <c r="AZ23" s="1389" t="str">
        <f>CONCATENATE(AZ26,(SUBSTITUTE(AZ27," - ","")),AZ28)</f>
        <v>RuralRehabSubstantial5.2B</v>
      </c>
      <c r="BA23" s="1389" t="str">
        <f>CONCATENATE(BA26,(SUBSTITUTE(BA27," ","")),BA28)</f>
        <v>UrbanNewConstruction5.7A</v>
      </c>
      <c r="BB23" s="1389" t="str">
        <f>CONCATENATE(BB26,(SUBSTITUTE(BB27," - ","")),BB28)</f>
        <v>UrbanRehabModerate5.7A</v>
      </c>
      <c r="BC23" s="1389" t="str">
        <f>CONCATENATE(BC26,(SUBSTITUTE(BC27," - ","")),BC28)</f>
        <v>UrbanRehabSubstantial5.7A</v>
      </c>
      <c r="BD23" s="1389" t="str">
        <f>CONCATENATE(BD26,(SUBSTITUTE(BD27," ","")),BD28)</f>
        <v>RuralNewConstruction5.7A</v>
      </c>
      <c r="BE23" s="1389" t="str">
        <f>CONCATENATE(BE26,(SUBSTITUTE(BE27," - ","")),BE28)</f>
        <v>RuralRehabModerate5.7A</v>
      </c>
      <c r="BF23" s="1389" t="str">
        <f>CONCATENATE(BF26,(SUBSTITUTE(BF27," - ","")),BF28)</f>
        <v>RuralRehabSubstantial5.7A</v>
      </c>
      <c r="BG23" s="1389" t="str">
        <f>CONCATENATE(BG26,(SUBSTITUTE(BG27," ","")),BG28)</f>
        <v>UrbanNewConstruction5.7B</v>
      </c>
      <c r="BH23" s="1389" t="str">
        <f>CONCATENATE(BH26,(SUBSTITUTE(BH27," - ","")),BH28)</f>
        <v>UrbanRehabModerate5.7B</v>
      </c>
      <c r="BI23" s="1389" t="str">
        <f>CONCATENATE(BI26,(SUBSTITUTE(BI27," - ","")),BI28)</f>
        <v>UrbanRehabSubstantial5.7B</v>
      </c>
      <c r="BJ23" s="1389" t="str">
        <f>CONCATENATE(BJ26,(SUBSTITUTE(BJ27," ","")),BJ28)</f>
        <v>RuralNewConstruction5.7B</v>
      </c>
      <c r="BK23" s="1389" t="str">
        <f>CONCATENATE(BK26,(SUBSTITUTE(BK27," - ","")),BK28)</f>
        <v>RuralRehabModerate5.7B</v>
      </c>
      <c r="BL23" s="1389" t="str">
        <f>CONCATENATE(BL26,(SUBSTITUTE(BL27," - ","")),BL28)</f>
        <v>RuralRehabSubstantial5.7B</v>
      </c>
      <c r="BM23" s="1389" t="str">
        <f>CONCATENATE(BM26,(SUBSTITUTE(BM27," ","")),BM28)</f>
        <v>UrbanNewConstruction5.8A</v>
      </c>
      <c r="BN23" s="1389" t="str">
        <f>CONCATENATE(BN26,(SUBSTITUTE(BN27," - ","")),BN28)</f>
        <v>UrbanRehabModerate5.8A</v>
      </c>
      <c r="BO23" s="1389" t="str">
        <f>CONCATENATE(BO26,(SUBSTITUTE(BO27," - ","")),BO28)</f>
        <v>UrbanRehabSubstantial5.8A</v>
      </c>
      <c r="BP23" s="1389" t="str">
        <f>CONCATENATE(BP26,(SUBSTITUTE(BP27," ","")),BP28)</f>
        <v>RuralNewConstruction5.8A</v>
      </c>
      <c r="BQ23" s="1389" t="str">
        <f>CONCATENATE(BQ26,(SUBSTITUTE(BQ27," - ","")),BQ28)</f>
        <v>RuralRehabModerate5.8A</v>
      </c>
      <c r="BR23" s="1389" t="str">
        <f>CONCATENATE(BR26,(SUBSTITUTE(BR27," - ","")),BR28)</f>
        <v>RuralRehabSubstantial5.8A</v>
      </c>
      <c r="BS23" s="1389" t="str">
        <f>CONCATENATE(BS26,(SUBSTITUTE(BS27," ","")),BS28)</f>
        <v>UrbanNewConstruction5.8C</v>
      </c>
      <c r="BT23" s="1389" t="str">
        <f>CONCATENATE(BT26,(SUBSTITUTE(BT27," - ","")),BT28)</f>
        <v>UrbanRehabModerate5.8C</v>
      </c>
      <c r="BU23" s="1389" t="str">
        <f>CONCATENATE(BU26,(SUBSTITUTE(BU27," - ","")),BU28)</f>
        <v>UrbanRehabSubstantial5.8C</v>
      </c>
      <c r="BV23" s="1389" t="str">
        <f>CONCATENATE(BV26,(SUBSTITUTE(BV27," ","")),BV28)</f>
        <v>RuralNewConstruction5.8C</v>
      </c>
      <c r="BW23" s="1389" t="str">
        <f>CONCATENATE(BW26,(SUBSTITUTE(BW27," - ","")),BW28)</f>
        <v>RuralRehabModerate5.8C</v>
      </c>
      <c r="BX23" s="1389" t="str">
        <f>CONCATENATE(BX26,(SUBSTITUTE(BX27," - ","")),BX28)</f>
        <v>RuralRehabSubstantial5.8C</v>
      </c>
      <c r="BY23" s="1389" t="str">
        <f>CONCATENATE(BY26,(SUBSTITUTE(BY27," ","")),BY28)</f>
        <v>UrbanNewConstruction5.1</v>
      </c>
      <c r="BZ23" s="1389" t="str">
        <f>CONCATENATE(BZ26,(SUBSTITUTE(BZ27," - ","")),BZ28)</f>
        <v>UrbanRehabModerate5.1</v>
      </c>
      <c r="CA23" s="1389" t="str">
        <f>CONCATENATE(CA26,(SUBSTITUTE(CA27," - ","")),CA28)</f>
        <v>UrbanRehabSubstantial5.1</v>
      </c>
      <c r="CB23" s="1389" t="str">
        <f>CONCATENATE(CB26,(SUBSTITUTE(CB27," ","")),CB28)</f>
        <v>RuralNewConstruction5.1</v>
      </c>
      <c r="CC23" s="1389" t="str">
        <f>CONCATENATE(CC26,(SUBSTITUTE(CC27," - ","")),CC28)</f>
        <v>RuralRehabModerate5.1</v>
      </c>
      <c r="CD23" s="1389" t="str">
        <f>CONCATENATE(CD26,(SUBSTITUTE(CD27," - ","")),CD28)</f>
        <v>RuralRehabSubstantial5.1</v>
      </c>
      <c r="CE23" s="1389" t="str">
        <f>CONCATENATE(CE26,(SUBSTITUTE(CE27," ","")),CE28)</f>
        <v>UrbanNewConstruction5.11</v>
      </c>
      <c r="CF23" s="1389" t="str">
        <f>CONCATENATE(CF26,(SUBSTITUTE(CF27," - ","")),CF28)</f>
        <v>UrbanRehabModerate5.11</v>
      </c>
      <c r="CG23" s="1389" t="str">
        <f>CONCATENATE(CG26,(SUBSTITUTE(CG27," - ","")),CG28)</f>
        <v>UrbanRehabSubstantial5.11</v>
      </c>
      <c r="CH23" s="1389" t="str">
        <f>CONCATENATE(CH26,(SUBSTITUTE(CH27," ","")),CH28)</f>
        <v>RuralNewConstruction5.11</v>
      </c>
      <c r="CI23" s="1389" t="str">
        <f>CONCATENATE(CI26,(SUBSTITUTE(CI27," - ","")),CI28)</f>
        <v>RuralRehabModerate5.11</v>
      </c>
      <c r="CJ23" s="1389" t="str">
        <f>CONCATENATE(CJ26,(SUBSTITUTE(CJ27," - ","")),CJ28)</f>
        <v>RuralRehabSubstantial5.11</v>
      </c>
      <c r="CK23" s="1389" t="str">
        <f>CONCATENATE(CK26,(SUBSTITUTE(CK27," ","")),CK28)</f>
        <v>UrbanNewConstruction5.12</v>
      </c>
      <c r="CL23" s="1389" t="str">
        <f>CONCATENATE(CL26,(SUBSTITUTE(CL27," - ","")),CL28)</f>
        <v>UrbanRehabModerate5.12</v>
      </c>
      <c r="CM23" s="1389" t="str">
        <f>CONCATENATE(CM26,(SUBSTITUTE(CM27," - ","")),CM28)</f>
        <v>UrbanRehabSubstantial5.12</v>
      </c>
      <c r="CN23" s="1389" t="str">
        <f>CONCATENATE(CN26,(SUBSTITUTE(CN27," ","")),CN28)</f>
        <v>RuralNewConstruction5.12</v>
      </c>
      <c r="CO23" s="1389" t="str">
        <f>CONCATENATE(CO26,(SUBSTITUTE(CO27," - ","")),CO28)</f>
        <v>RuralRehabModerate5.12</v>
      </c>
      <c r="CP23" s="1389" t="str">
        <f>CONCATENATE(CP26,(SUBSTITUTE(CP27," - ","")),CP28)</f>
        <v>RuralRehabSubstantial5.12</v>
      </c>
      <c r="CQ23" s="1389" t="str">
        <f>CONCATENATE(CQ26,(SUBSTITUTE(CQ27," ","")),CQ28)</f>
        <v>UrbanNewConstruction5.13</v>
      </c>
      <c r="CR23" s="1389" t="str">
        <f>CONCATENATE(CR26,(SUBSTITUTE(CR27," - ","")),CR28)</f>
        <v>UrbanRehabModerate5.13</v>
      </c>
      <c r="CS23" s="1389" t="str">
        <f>CONCATENATE(CS26,(SUBSTITUTE(CS27," - ","")),CS28)</f>
        <v>UrbanRehabSubstantial5.13</v>
      </c>
      <c r="CT23" s="1389" t="str">
        <f>CONCATENATE(CT26,(SUBSTITUTE(CT27," ","")),CT28)</f>
        <v>RuralNewConstruction5.13</v>
      </c>
      <c r="CU23" s="1389" t="str">
        <f>CONCATENATE(CU26,(SUBSTITUTE(CU27," - ","")),CU28)</f>
        <v>RuralRehabModerate5.13</v>
      </c>
      <c r="CV23" s="1389" t="str">
        <f>CONCATENATE(CV26,(SUBSTITUTE(CV27," - ","")),CV28)</f>
        <v>RuralRehabSubstantial5.13</v>
      </c>
      <c r="CW23" s="1389" t="str">
        <f>CONCATENATE(CW26,(SUBSTITUTE(CW27," ","")),CW28)</f>
        <v>UrbanNewConstruction7.3A</v>
      </c>
      <c r="CX23" s="1389" t="str">
        <f>CONCATENATE(CX26,(SUBSTITUTE(CX27," - ","")),CX28)</f>
        <v>UrbanRehabModerate7.3A</v>
      </c>
      <c r="CY23" s="1389" t="str">
        <f>CONCATENATE(CY26,(SUBSTITUTE(CY27," - ","")),CY28)</f>
        <v>UrbanRehabSubstantial7.3A</v>
      </c>
      <c r="CZ23" s="1389" t="str">
        <f>CONCATENATE(CZ26,(SUBSTITUTE(CZ27," ","")),CZ28)</f>
        <v>RuralNewConstruction7.3A</v>
      </c>
      <c r="DA23" s="1389" t="str">
        <f>CONCATENATE(DA26,(SUBSTITUTE(DA27," - ","")),DA28)</f>
        <v>RuralRehabModerate7.3A</v>
      </c>
      <c r="DB23" s="1389" t="str">
        <f>CONCATENATE(DB26,(SUBSTITUTE(DB27," - ","")),DB28)</f>
        <v>RuralRehabSubstantial7.3A</v>
      </c>
      <c r="DC23" s="1389" t="str">
        <f>CONCATENATE(DC26,(SUBSTITUTE(DC27," ","")),DC28)</f>
        <v>UrbanNewConstruction7.3B</v>
      </c>
      <c r="DD23" s="1389" t="str">
        <f>CONCATENATE(DD26,(SUBSTITUTE(DD27," - ","")),DD28)</f>
        <v>UrbanRehabModerate7.3B</v>
      </c>
      <c r="DE23" s="1389" t="str">
        <f>CONCATENATE(DE26,(SUBSTITUTE(DE27," - ","")),DE28)</f>
        <v>UrbanRehabSubstantial7.3B</v>
      </c>
      <c r="DF23" s="1389" t="str">
        <f>CONCATENATE(DF26,(SUBSTITUTE(DF27," ","")),DF28)</f>
        <v>RuralNewConstruction7.3B</v>
      </c>
      <c r="DG23" s="1389" t="str">
        <f>CONCATENATE(DG26,(SUBSTITUTE(DG27," - ","")),DG28)</f>
        <v>RuralRehabModerate7.3B</v>
      </c>
      <c r="DH23" s="1389" t="str">
        <f>CONCATENATE(DH26,(SUBSTITUTE(DH27," - ","")),DH28)</f>
        <v>RuralRehabSubstantial7.3B</v>
      </c>
      <c r="DI23" s="1389" t="str">
        <f>CONCATENATE(DI26,(SUBSTITUTE(DI27," ","")),DI28)</f>
        <v>UrbanNewConstruction7.4A</v>
      </c>
      <c r="DJ23" s="1389" t="str">
        <f>CONCATENATE(DJ26,(SUBSTITUTE(DJ27," - ","")),DJ28)</f>
        <v>UrbanRehabModerate7.4A</v>
      </c>
      <c r="DK23" s="1389" t="str">
        <f>CONCATENATE(DK26,(SUBSTITUTE(DK27," - ","")),DK28)</f>
        <v>UrbanRehabSubstantial7.4A</v>
      </c>
      <c r="DL23" s="1389" t="str">
        <f>CONCATENATE(DL26,(SUBSTITUTE(DL27," ","")),DL28)</f>
        <v>RuralNewConstruction7.4A</v>
      </c>
      <c r="DM23" s="1389" t="str">
        <f>CONCATENATE(DM26,(SUBSTITUTE(DM27," - ","")),DM28)</f>
        <v>RuralRehabModerate7.4A</v>
      </c>
      <c r="DN23" s="1389" t="str">
        <f>CONCATENATE(DN26,(SUBSTITUTE(DN27," - ","")),DN28)</f>
        <v>RuralRehabSubstantial7.4A</v>
      </c>
      <c r="DO23" s="1389" t="str">
        <f>CONCATENATE(DO26,(SUBSTITUTE(DO27," ","")),DO28)</f>
        <v>UrbanNewConstruction7.4B</v>
      </c>
      <c r="DP23" s="1389" t="str">
        <f>CONCATENATE(DP26,(SUBSTITUTE(DP27," - ","")),DP28)</f>
        <v>UrbanRehabModerate7.4B</v>
      </c>
      <c r="DQ23" s="1389" t="str">
        <f>CONCATENATE(DQ26,(SUBSTITUTE(DQ27," - ","")),DQ28)</f>
        <v>UrbanRehabSubstantial7.4B</v>
      </c>
      <c r="DR23" s="1389" t="str">
        <f>CONCATENATE(DR26,(SUBSTITUTE(DR27," ","")),DR28)</f>
        <v>RuralNewConstruction7.4B</v>
      </c>
      <c r="DS23" s="1389" t="str">
        <f>CONCATENATE(DS26,(SUBSTITUTE(DS27," - ","")),DS28)</f>
        <v>RuralRehabModerate7.4B</v>
      </c>
      <c r="DT23" s="1389" t="str">
        <f>CONCATENATE(DT26,(SUBSTITUTE(DT27," - ","")),DT28)</f>
        <v>RuralRehabSubstantial7.4B</v>
      </c>
      <c r="DU23" s="1389" t="str">
        <f>CONCATENATE(DU26,(SUBSTITUTE(DU27," ","")),DU28)</f>
        <v>UrbanNewConstruction7.13A</v>
      </c>
      <c r="DV23" s="1389" t="str">
        <f>CONCATENATE(DV26,(SUBSTITUTE(DV27," - ","")),DV28)</f>
        <v>UrbanRehabModerate7.13A</v>
      </c>
      <c r="DW23" s="1389" t="str">
        <f>CONCATENATE(DW26,(SUBSTITUTE(DW27," - ","")),DW28)</f>
        <v>UrbanRehabSubstantial7.13A</v>
      </c>
      <c r="DX23" s="1389" t="str">
        <f>CONCATENATE(DX26,(SUBSTITUTE(DX27," ","")),DX28)</f>
        <v>RuralNewConstruction7.13A</v>
      </c>
      <c r="DY23" s="1389" t="str">
        <f>CONCATENATE(DY26,(SUBSTITUTE(DY27," - ","")),DY28)</f>
        <v>RuralRehabModerate7.13A</v>
      </c>
      <c r="DZ23" s="1389" t="str">
        <f>CONCATENATE(DZ26,(SUBSTITUTE(DZ27," - ","")),DZ28)</f>
        <v>RuralRehabSubstantial7.13A</v>
      </c>
      <c r="EA23" s="1389" t="str">
        <f>CONCATENATE(EA26,(SUBSTITUTE(EA27," ","")),EA28)</f>
        <v>UrbanNewConstruction7.13B</v>
      </c>
      <c r="EB23" s="1389" t="str">
        <f>CONCATENATE(EB26,(SUBSTITUTE(EB27," - ","")),EB28)</f>
        <v>UrbanRehabModerate7.13B</v>
      </c>
      <c r="EC23" s="1389" t="str">
        <f>CONCATENATE(EC26,(SUBSTITUTE(EC27," - ","")),EC28)</f>
        <v>UrbanRehabSubstantial7.13B</v>
      </c>
      <c r="ED23" s="1389" t="str">
        <f>CONCATENATE(ED26,(SUBSTITUTE(ED27," ","")),ED28)</f>
        <v>RuralNewConstruction7.13B</v>
      </c>
      <c r="EE23" s="1389" t="str">
        <f>CONCATENATE(EE26,(SUBSTITUTE(EE27," - ","")),EE28)</f>
        <v>RuralRehabModerate7.13B</v>
      </c>
      <c r="EF23" s="1389" t="str">
        <f>CONCATENATE(EF26,(SUBSTITUTE(EF27," - ","")),EF28)</f>
        <v>RuralRehabSubstantial7.13B</v>
      </c>
    </row>
    <row r="24" spans="2:136" ht="28.8" x14ac:dyDescent="0.3">
      <c r="D24" s="1196" t="s">
        <v>1118</v>
      </c>
    </row>
    <row r="25" spans="2:136" x14ac:dyDescent="0.3">
      <c r="D25" s="714" t="s">
        <v>1119</v>
      </c>
    </row>
    <row r="26" spans="2:136" x14ac:dyDescent="0.3">
      <c r="E26" s="1390" t="s">
        <v>828</v>
      </c>
      <c r="F26" s="1390" t="s">
        <v>828</v>
      </c>
      <c r="G26" s="1390" t="s">
        <v>828</v>
      </c>
      <c r="H26" s="1389" t="s">
        <v>827</v>
      </c>
      <c r="I26" s="1389" t="s">
        <v>827</v>
      </c>
      <c r="J26" s="1389" t="s">
        <v>827</v>
      </c>
      <c r="K26" s="1390" t="s">
        <v>828</v>
      </c>
      <c r="L26" s="1390" t="s">
        <v>828</v>
      </c>
      <c r="M26" s="1390" t="s">
        <v>828</v>
      </c>
      <c r="N26" s="1389" t="s">
        <v>827</v>
      </c>
      <c r="O26" s="1389" t="s">
        <v>827</v>
      </c>
      <c r="P26" s="1389" t="s">
        <v>827</v>
      </c>
      <c r="Q26" s="1390" t="s">
        <v>828</v>
      </c>
      <c r="R26" s="1390" t="s">
        <v>828</v>
      </c>
      <c r="S26" s="1390" t="s">
        <v>828</v>
      </c>
      <c r="T26" s="1389" t="s">
        <v>827</v>
      </c>
      <c r="U26" s="1389" t="s">
        <v>827</v>
      </c>
      <c r="V26" s="1389" t="s">
        <v>827</v>
      </c>
      <c r="W26" s="1390" t="s">
        <v>828</v>
      </c>
      <c r="X26" s="1390" t="s">
        <v>828</v>
      </c>
      <c r="Y26" s="1390" t="s">
        <v>828</v>
      </c>
      <c r="Z26" s="1389" t="s">
        <v>827</v>
      </c>
      <c r="AA26" s="1389" t="s">
        <v>827</v>
      </c>
      <c r="AB26" s="1389" t="s">
        <v>827</v>
      </c>
      <c r="AC26" s="1390" t="s">
        <v>828</v>
      </c>
      <c r="AD26" s="1390" t="s">
        <v>828</v>
      </c>
      <c r="AE26" s="1390" t="s">
        <v>828</v>
      </c>
      <c r="AF26" s="1389" t="s">
        <v>827</v>
      </c>
      <c r="AG26" s="1389" t="s">
        <v>827</v>
      </c>
      <c r="AH26" s="1389" t="s">
        <v>827</v>
      </c>
      <c r="AI26" s="1390" t="s">
        <v>828</v>
      </c>
      <c r="AJ26" s="1390" t="s">
        <v>828</v>
      </c>
      <c r="AK26" s="1390" t="s">
        <v>828</v>
      </c>
      <c r="AL26" s="1389" t="s">
        <v>827</v>
      </c>
      <c r="AM26" s="1389" t="s">
        <v>827</v>
      </c>
      <c r="AN26" s="1389" t="s">
        <v>827</v>
      </c>
      <c r="AO26" s="1390" t="s">
        <v>828</v>
      </c>
      <c r="AP26" s="1390" t="s">
        <v>828</v>
      </c>
      <c r="AQ26" s="1390" t="s">
        <v>828</v>
      </c>
      <c r="AR26" s="1389" t="s">
        <v>827</v>
      </c>
      <c r="AS26" s="1389" t="s">
        <v>827</v>
      </c>
      <c r="AT26" s="1389" t="s">
        <v>827</v>
      </c>
      <c r="AU26" s="1390" t="s">
        <v>828</v>
      </c>
      <c r="AV26" s="1390" t="s">
        <v>828</v>
      </c>
      <c r="AW26" s="1390" t="s">
        <v>828</v>
      </c>
      <c r="AX26" s="1389" t="s">
        <v>827</v>
      </c>
      <c r="AY26" s="1389" t="s">
        <v>827</v>
      </c>
      <c r="AZ26" s="1389" t="s">
        <v>827</v>
      </c>
      <c r="BA26" s="1390" t="s">
        <v>828</v>
      </c>
      <c r="BB26" s="1390" t="s">
        <v>828</v>
      </c>
      <c r="BC26" s="1390" t="s">
        <v>828</v>
      </c>
      <c r="BD26" s="1389" t="s">
        <v>827</v>
      </c>
      <c r="BE26" s="1389" t="s">
        <v>827</v>
      </c>
      <c r="BF26" s="1389" t="s">
        <v>827</v>
      </c>
      <c r="BG26" s="1390" t="s">
        <v>828</v>
      </c>
      <c r="BH26" s="1390" t="s">
        <v>828</v>
      </c>
      <c r="BI26" s="1390" t="s">
        <v>828</v>
      </c>
      <c r="BJ26" s="1389" t="s">
        <v>827</v>
      </c>
      <c r="BK26" s="1389" t="s">
        <v>827</v>
      </c>
      <c r="BL26" s="1389" t="s">
        <v>827</v>
      </c>
      <c r="BM26" s="1390" t="s">
        <v>828</v>
      </c>
      <c r="BN26" s="1390" t="s">
        <v>828</v>
      </c>
      <c r="BO26" s="1390" t="s">
        <v>828</v>
      </c>
      <c r="BP26" s="1389" t="s">
        <v>827</v>
      </c>
      <c r="BQ26" s="1389" t="s">
        <v>827</v>
      </c>
      <c r="BR26" s="1389" t="s">
        <v>827</v>
      </c>
      <c r="BS26" s="1390" t="s">
        <v>828</v>
      </c>
      <c r="BT26" s="1390" t="s">
        <v>828</v>
      </c>
      <c r="BU26" s="1390" t="s">
        <v>828</v>
      </c>
      <c r="BV26" s="1389" t="s">
        <v>827</v>
      </c>
      <c r="BW26" s="1389" t="s">
        <v>827</v>
      </c>
      <c r="BX26" s="1389" t="s">
        <v>827</v>
      </c>
      <c r="BY26" s="1390" t="s">
        <v>828</v>
      </c>
      <c r="BZ26" s="1390" t="s">
        <v>828</v>
      </c>
      <c r="CA26" s="1390" t="s">
        <v>828</v>
      </c>
      <c r="CB26" s="1389" t="s">
        <v>827</v>
      </c>
      <c r="CC26" s="1389" t="s">
        <v>827</v>
      </c>
      <c r="CD26" s="1389" t="s">
        <v>827</v>
      </c>
      <c r="CE26" s="1390" t="s">
        <v>828</v>
      </c>
      <c r="CF26" s="1390" t="s">
        <v>828</v>
      </c>
      <c r="CG26" s="1390" t="s">
        <v>828</v>
      </c>
      <c r="CH26" s="1389" t="s">
        <v>827</v>
      </c>
      <c r="CI26" s="1389" t="s">
        <v>827</v>
      </c>
      <c r="CJ26" s="1389" t="s">
        <v>827</v>
      </c>
      <c r="CK26" s="1390" t="s">
        <v>828</v>
      </c>
      <c r="CL26" s="1390" t="s">
        <v>828</v>
      </c>
      <c r="CM26" s="1390" t="s">
        <v>828</v>
      </c>
      <c r="CN26" s="1389" t="s">
        <v>827</v>
      </c>
      <c r="CO26" s="1389" t="s">
        <v>827</v>
      </c>
      <c r="CP26" s="1389" t="s">
        <v>827</v>
      </c>
      <c r="CQ26" s="1390" t="s">
        <v>828</v>
      </c>
      <c r="CR26" s="1390" t="s">
        <v>828</v>
      </c>
      <c r="CS26" s="1390" t="s">
        <v>828</v>
      </c>
      <c r="CT26" s="1389" t="s">
        <v>827</v>
      </c>
      <c r="CU26" s="1389" t="s">
        <v>827</v>
      </c>
      <c r="CV26" s="1389" t="s">
        <v>827</v>
      </c>
      <c r="CW26" s="1390" t="s">
        <v>828</v>
      </c>
      <c r="CX26" s="1390" t="s">
        <v>828</v>
      </c>
      <c r="CY26" s="1390" t="s">
        <v>828</v>
      </c>
      <c r="CZ26" s="1389" t="s">
        <v>827</v>
      </c>
      <c r="DA26" s="1389" t="s">
        <v>827</v>
      </c>
      <c r="DB26" s="1389" t="s">
        <v>827</v>
      </c>
      <c r="DC26" s="1390" t="s">
        <v>828</v>
      </c>
      <c r="DD26" s="1390" t="s">
        <v>828</v>
      </c>
      <c r="DE26" s="1390" t="s">
        <v>828</v>
      </c>
      <c r="DF26" s="1389" t="s">
        <v>827</v>
      </c>
      <c r="DG26" s="1389" t="s">
        <v>827</v>
      </c>
      <c r="DH26" s="1389" t="s">
        <v>827</v>
      </c>
      <c r="DI26" s="1390" t="s">
        <v>828</v>
      </c>
      <c r="DJ26" s="1390" t="s">
        <v>828</v>
      </c>
      <c r="DK26" s="1390" t="s">
        <v>828</v>
      </c>
      <c r="DL26" s="1389" t="s">
        <v>827</v>
      </c>
      <c r="DM26" s="1389" t="s">
        <v>827</v>
      </c>
      <c r="DN26" s="1389" t="s">
        <v>827</v>
      </c>
      <c r="DO26" s="1390" t="s">
        <v>828</v>
      </c>
      <c r="DP26" s="1390" t="s">
        <v>828</v>
      </c>
      <c r="DQ26" s="1390" t="s">
        <v>828</v>
      </c>
      <c r="DR26" s="1389" t="s">
        <v>827</v>
      </c>
      <c r="DS26" s="1389" t="s">
        <v>827</v>
      </c>
      <c r="DT26" s="1389" t="s">
        <v>827</v>
      </c>
      <c r="DU26" s="1390" t="s">
        <v>828</v>
      </c>
      <c r="DV26" s="1390" t="s">
        <v>828</v>
      </c>
      <c r="DW26" s="1390" t="s">
        <v>828</v>
      </c>
      <c r="DX26" s="1389" t="s">
        <v>827</v>
      </c>
      <c r="DY26" s="1389" t="s">
        <v>827</v>
      </c>
      <c r="DZ26" s="1389" t="s">
        <v>827</v>
      </c>
      <c r="EA26" s="1390" t="s">
        <v>828</v>
      </c>
      <c r="EB26" s="1390" t="s">
        <v>828</v>
      </c>
      <c r="EC26" s="1390" t="s">
        <v>828</v>
      </c>
      <c r="ED26" s="1389" t="s">
        <v>827</v>
      </c>
      <c r="EE26" s="1389" t="s">
        <v>827</v>
      </c>
      <c r="EF26" s="1389" t="s">
        <v>827</v>
      </c>
    </row>
    <row r="27" spans="2:136" x14ac:dyDescent="0.3">
      <c r="E27" s="714" t="s">
        <v>27</v>
      </c>
      <c r="F27" s="714" t="s">
        <v>1120</v>
      </c>
      <c r="G27" s="714" t="s">
        <v>1121</v>
      </c>
      <c r="H27" s="714" t="s">
        <v>27</v>
      </c>
      <c r="I27" s="714" t="s">
        <v>1120</v>
      </c>
      <c r="J27" s="714" t="s">
        <v>1121</v>
      </c>
      <c r="K27" s="714" t="s">
        <v>27</v>
      </c>
      <c r="L27" s="714" t="s">
        <v>1120</v>
      </c>
      <c r="M27" s="714" t="s">
        <v>1121</v>
      </c>
      <c r="N27" s="714" t="s">
        <v>27</v>
      </c>
      <c r="O27" s="714" t="s">
        <v>1120</v>
      </c>
      <c r="P27" s="714" t="s">
        <v>1121</v>
      </c>
      <c r="Q27" s="714" t="s">
        <v>27</v>
      </c>
      <c r="R27" s="714" t="s">
        <v>1120</v>
      </c>
      <c r="S27" s="714" t="s">
        <v>1121</v>
      </c>
      <c r="T27" s="714" t="s">
        <v>27</v>
      </c>
      <c r="U27" s="714" t="s">
        <v>1120</v>
      </c>
      <c r="V27" s="714" t="s">
        <v>1121</v>
      </c>
      <c r="W27" s="714" t="s">
        <v>27</v>
      </c>
      <c r="X27" s="714" t="s">
        <v>1120</v>
      </c>
      <c r="Y27" s="714" t="s">
        <v>1121</v>
      </c>
      <c r="Z27" s="714" t="s">
        <v>27</v>
      </c>
      <c r="AA27" s="714" t="s">
        <v>1120</v>
      </c>
      <c r="AB27" s="714" t="s">
        <v>1121</v>
      </c>
      <c r="AC27" s="714" t="s">
        <v>27</v>
      </c>
      <c r="AD27" s="714" t="s">
        <v>1120</v>
      </c>
      <c r="AE27" s="714" t="s">
        <v>1121</v>
      </c>
      <c r="AF27" s="714" t="s">
        <v>27</v>
      </c>
      <c r="AG27" s="714" t="s">
        <v>1120</v>
      </c>
      <c r="AH27" s="714" t="s">
        <v>1121</v>
      </c>
      <c r="AI27" s="714" t="s">
        <v>27</v>
      </c>
      <c r="AJ27" s="714" t="s">
        <v>1120</v>
      </c>
      <c r="AK27" s="714" t="s">
        <v>1121</v>
      </c>
      <c r="AL27" s="714" t="s">
        <v>27</v>
      </c>
      <c r="AM27" s="714" t="s">
        <v>1120</v>
      </c>
      <c r="AN27" s="714" t="s">
        <v>1121</v>
      </c>
      <c r="AO27" s="714" t="s">
        <v>27</v>
      </c>
      <c r="AP27" s="714" t="s">
        <v>1120</v>
      </c>
      <c r="AQ27" s="714" t="s">
        <v>1121</v>
      </c>
      <c r="AR27" s="714" t="s">
        <v>27</v>
      </c>
      <c r="AS27" s="714" t="s">
        <v>1120</v>
      </c>
      <c r="AT27" s="714" t="s">
        <v>1121</v>
      </c>
      <c r="AU27" s="714" t="s">
        <v>27</v>
      </c>
      <c r="AV27" s="714" t="s">
        <v>1120</v>
      </c>
      <c r="AW27" s="714" t="s">
        <v>1121</v>
      </c>
      <c r="AX27" s="714" t="s">
        <v>27</v>
      </c>
      <c r="AY27" s="714" t="s">
        <v>1120</v>
      </c>
      <c r="AZ27" s="714" t="s">
        <v>1121</v>
      </c>
      <c r="BA27" s="714" t="s">
        <v>27</v>
      </c>
      <c r="BB27" s="714" t="s">
        <v>1120</v>
      </c>
      <c r="BC27" s="714" t="s">
        <v>1121</v>
      </c>
      <c r="BD27" s="714" t="s">
        <v>27</v>
      </c>
      <c r="BE27" s="714" t="s">
        <v>1120</v>
      </c>
      <c r="BF27" s="714" t="s">
        <v>1121</v>
      </c>
      <c r="BG27" s="714" t="s">
        <v>27</v>
      </c>
      <c r="BH27" s="714" t="s">
        <v>1120</v>
      </c>
      <c r="BI27" s="714" t="s">
        <v>1121</v>
      </c>
      <c r="BJ27" s="714" t="s">
        <v>27</v>
      </c>
      <c r="BK27" s="714" t="s">
        <v>1120</v>
      </c>
      <c r="BL27" s="714" t="s">
        <v>1121</v>
      </c>
      <c r="BM27" s="714" t="s">
        <v>27</v>
      </c>
      <c r="BN27" s="714" t="s">
        <v>1120</v>
      </c>
      <c r="BO27" s="714" t="s">
        <v>1121</v>
      </c>
      <c r="BP27" s="714" t="s">
        <v>27</v>
      </c>
      <c r="BQ27" s="714" t="s">
        <v>1120</v>
      </c>
      <c r="BR27" s="714" t="s">
        <v>1121</v>
      </c>
      <c r="BS27" s="714" t="s">
        <v>27</v>
      </c>
      <c r="BT27" s="714" t="s">
        <v>1120</v>
      </c>
      <c r="BU27" s="714" t="s">
        <v>1121</v>
      </c>
      <c r="BV27" s="714" t="s">
        <v>27</v>
      </c>
      <c r="BW27" s="714" t="s">
        <v>1120</v>
      </c>
      <c r="BX27" s="714" t="s">
        <v>1121</v>
      </c>
      <c r="BY27" s="714" t="s">
        <v>27</v>
      </c>
      <c r="BZ27" s="714" t="s">
        <v>1120</v>
      </c>
      <c r="CA27" s="714" t="s">
        <v>1121</v>
      </c>
      <c r="CB27" s="714" t="s">
        <v>27</v>
      </c>
      <c r="CC27" s="714" t="s">
        <v>1120</v>
      </c>
      <c r="CD27" s="714" t="s">
        <v>1121</v>
      </c>
      <c r="CE27" s="714" t="s">
        <v>27</v>
      </c>
      <c r="CF27" s="714" t="s">
        <v>1120</v>
      </c>
      <c r="CG27" s="714" t="s">
        <v>1121</v>
      </c>
      <c r="CH27" s="714" t="s">
        <v>27</v>
      </c>
      <c r="CI27" s="714" t="s">
        <v>1120</v>
      </c>
      <c r="CJ27" s="714" t="s">
        <v>1121</v>
      </c>
      <c r="CK27" s="714" t="s">
        <v>27</v>
      </c>
      <c r="CL27" s="714" t="s">
        <v>1120</v>
      </c>
      <c r="CM27" s="714" t="s">
        <v>1121</v>
      </c>
      <c r="CN27" s="714" t="s">
        <v>27</v>
      </c>
      <c r="CO27" s="714" t="s">
        <v>1120</v>
      </c>
      <c r="CP27" s="714" t="s">
        <v>1121</v>
      </c>
      <c r="CQ27" s="714" t="s">
        <v>27</v>
      </c>
      <c r="CR27" s="714" t="s">
        <v>1120</v>
      </c>
      <c r="CS27" s="714" t="s">
        <v>1121</v>
      </c>
      <c r="CT27" s="714" t="s">
        <v>27</v>
      </c>
      <c r="CU27" s="714" t="s">
        <v>1120</v>
      </c>
      <c r="CV27" s="714" t="s">
        <v>1121</v>
      </c>
      <c r="CW27" s="714" t="s">
        <v>27</v>
      </c>
      <c r="CX27" s="714" t="s">
        <v>1120</v>
      </c>
      <c r="CY27" s="714" t="s">
        <v>1121</v>
      </c>
      <c r="CZ27" s="714" t="s">
        <v>27</v>
      </c>
      <c r="DA27" s="714" t="s">
        <v>1120</v>
      </c>
      <c r="DB27" s="714" t="s">
        <v>1121</v>
      </c>
      <c r="DC27" s="714" t="s">
        <v>27</v>
      </c>
      <c r="DD27" s="714" t="s">
        <v>1120</v>
      </c>
      <c r="DE27" s="714" t="s">
        <v>1121</v>
      </c>
      <c r="DF27" s="714" t="s">
        <v>27</v>
      </c>
      <c r="DG27" s="714" t="s">
        <v>1120</v>
      </c>
      <c r="DH27" s="714" t="s">
        <v>1121</v>
      </c>
      <c r="DI27" s="714" t="s">
        <v>27</v>
      </c>
      <c r="DJ27" s="714" t="s">
        <v>1120</v>
      </c>
      <c r="DK27" s="714" t="s">
        <v>1121</v>
      </c>
      <c r="DL27" s="714" t="s">
        <v>27</v>
      </c>
      <c r="DM27" s="714" t="s">
        <v>1120</v>
      </c>
      <c r="DN27" s="714" t="s">
        <v>1121</v>
      </c>
      <c r="DO27" s="714" t="s">
        <v>27</v>
      </c>
      <c r="DP27" s="714" t="s">
        <v>1120</v>
      </c>
      <c r="DQ27" s="714" t="s">
        <v>1121</v>
      </c>
      <c r="DR27" s="714" t="s">
        <v>27</v>
      </c>
      <c r="DS27" s="714" t="s">
        <v>1120</v>
      </c>
      <c r="DT27" s="714" t="s">
        <v>1121</v>
      </c>
      <c r="DU27" s="714" t="s">
        <v>27</v>
      </c>
      <c r="DV27" s="714" t="s">
        <v>1120</v>
      </c>
      <c r="DW27" s="714" t="s">
        <v>1121</v>
      </c>
      <c r="DX27" s="714" t="s">
        <v>27</v>
      </c>
      <c r="DY27" s="714" t="s">
        <v>1120</v>
      </c>
      <c r="DZ27" s="714" t="s">
        <v>1121</v>
      </c>
      <c r="EA27" s="714" t="s">
        <v>27</v>
      </c>
      <c r="EB27" s="714" t="s">
        <v>1120</v>
      </c>
      <c r="EC27" s="714" t="s">
        <v>1121</v>
      </c>
      <c r="ED27" s="714" t="s">
        <v>27</v>
      </c>
      <c r="EE27" s="714" t="s">
        <v>1120</v>
      </c>
      <c r="EF27" s="714" t="s">
        <v>1121</v>
      </c>
    </row>
    <row r="28" spans="2:136" x14ac:dyDescent="0.3">
      <c r="E28" s="714">
        <v>2.2000000000000002</v>
      </c>
      <c r="F28" s="714">
        <v>2.2000000000000002</v>
      </c>
      <c r="G28" s="714">
        <v>2.2000000000000002</v>
      </c>
      <c r="H28" s="714">
        <v>2.2000000000000002</v>
      </c>
      <c r="I28" s="714">
        <v>2.2000000000000002</v>
      </c>
      <c r="J28" s="714">
        <v>2.2000000000000002</v>
      </c>
      <c r="K28" s="714" t="s">
        <v>703</v>
      </c>
      <c r="L28" s="714" t="s">
        <v>703</v>
      </c>
      <c r="M28" s="714" t="s">
        <v>703</v>
      </c>
      <c r="N28" s="714" t="s">
        <v>703</v>
      </c>
      <c r="O28" s="714" t="s">
        <v>703</v>
      </c>
      <c r="P28" s="714" t="s">
        <v>703</v>
      </c>
      <c r="Q28" s="714" t="s">
        <v>705</v>
      </c>
      <c r="R28" s="714" t="s">
        <v>705</v>
      </c>
      <c r="S28" s="714" t="s">
        <v>705</v>
      </c>
      <c r="T28" s="714" t="s">
        <v>705</v>
      </c>
      <c r="U28" s="714" t="s">
        <v>705</v>
      </c>
      <c r="V28" s="714" t="s">
        <v>705</v>
      </c>
      <c r="W28" s="714">
        <v>4.2</v>
      </c>
      <c r="X28" s="714">
        <v>4.2</v>
      </c>
      <c r="Y28" s="714">
        <v>4.2</v>
      </c>
      <c r="Z28" s="714">
        <v>4.2</v>
      </c>
      <c r="AA28" s="714">
        <v>4.2</v>
      </c>
      <c r="AB28" s="714">
        <v>4.2</v>
      </c>
      <c r="AC28" s="714" t="s">
        <v>733</v>
      </c>
      <c r="AD28" s="714" t="s">
        <v>733</v>
      </c>
      <c r="AE28" s="714" t="s">
        <v>733</v>
      </c>
      <c r="AF28" s="714" t="s">
        <v>733</v>
      </c>
      <c r="AG28" s="714" t="s">
        <v>733</v>
      </c>
      <c r="AH28" s="714" t="s">
        <v>733</v>
      </c>
      <c r="AI28" s="714" t="s">
        <v>735</v>
      </c>
      <c r="AJ28" s="714" t="s">
        <v>735</v>
      </c>
      <c r="AK28" s="714" t="s">
        <v>735</v>
      </c>
      <c r="AL28" s="714" t="s">
        <v>735</v>
      </c>
      <c r="AM28" s="714" t="s">
        <v>735</v>
      </c>
      <c r="AN28" s="714" t="s">
        <v>735</v>
      </c>
      <c r="AO28" s="714" t="s">
        <v>737</v>
      </c>
      <c r="AP28" s="714" t="s">
        <v>737</v>
      </c>
      <c r="AQ28" s="714" t="s">
        <v>737</v>
      </c>
      <c r="AR28" s="714" t="s">
        <v>737</v>
      </c>
      <c r="AS28" s="714" t="s">
        <v>737</v>
      </c>
      <c r="AT28" s="714" t="s">
        <v>737</v>
      </c>
      <c r="AU28" s="714" t="s">
        <v>739</v>
      </c>
      <c r="AV28" s="714" t="s">
        <v>739</v>
      </c>
      <c r="AW28" s="714" t="s">
        <v>739</v>
      </c>
      <c r="AX28" s="714" t="s">
        <v>739</v>
      </c>
      <c r="AY28" s="714" t="s">
        <v>739</v>
      </c>
      <c r="AZ28" s="714" t="s">
        <v>739</v>
      </c>
      <c r="BA28" s="714" t="s">
        <v>745</v>
      </c>
      <c r="BB28" s="714" t="s">
        <v>745</v>
      </c>
      <c r="BC28" s="714" t="s">
        <v>745</v>
      </c>
      <c r="BD28" s="714" t="s">
        <v>745</v>
      </c>
      <c r="BE28" s="714" t="s">
        <v>745</v>
      </c>
      <c r="BF28" s="714" t="s">
        <v>745</v>
      </c>
      <c r="BG28" s="714" t="s">
        <v>747</v>
      </c>
      <c r="BH28" s="714" t="s">
        <v>747</v>
      </c>
      <c r="BI28" s="714" t="s">
        <v>747</v>
      </c>
      <c r="BJ28" s="714" t="s">
        <v>747</v>
      </c>
      <c r="BK28" s="714" t="s">
        <v>747</v>
      </c>
      <c r="BL28" s="714" t="s">
        <v>747</v>
      </c>
      <c r="BM28" s="714" t="s">
        <v>749</v>
      </c>
      <c r="BN28" s="714" t="s">
        <v>749</v>
      </c>
      <c r="BO28" s="714" t="s">
        <v>749</v>
      </c>
      <c r="BP28" s="714" t="s">
        <v>749</v>
      </c>
      <c r="BQ28" s="714" t="s">
        <v>749</v>
      </c>
      <c r="BR28" s="714" t="s">
        <v>749</v>
      </c>
      <c r="BS28" s="714" t="s">
        <v>753</v>
      </c>
      <c r="BT28" s="714" t="s">
        <v>753</v>
      </c>
      <c r="BU28" s="714" t="s">
        <v>753</v>
      </c>
      <c r="BV28" s="714" t="s">
        <v>753</v>
      </c>
      <c r="BW28" s="714" t="s">
        <v>753</v>
      </c>
      <c r="BX28" s="714" t="s">
        <v>753</v>
      </c>
      <c r="BY28" s="1384">
        <v>5.0999999999999996</v>
      </c>
      <c r="BZ28" s="1384">
        <v>5.0999999999999996</v>
      </c>
      <c r="CA28" s="1384">
        <v>5.0999999999999996</v>
      </c>
      <c r="CB28" s="1384">
        <v>5.0999999999999996</v>
      </c>
      <c r="CC28" s="1384">
        <v>5.0999999999999996</v>
      </c>
      <c r="CD28" s="1384">
        <v>5.0999999999999996</v>
      </c>
      <c r="CE28" s="714">
        <v>5.1100000000000003</v>
      </c>
      <c r="CF28" s="714">
        <v>5.1100000000000003</v>
      </c>
      <c r="CG28" s="714">
        <v>5.1100000000000003</v>
      </c>
      <c r="CH28" s="714">
        <v>5.1100000000000003</v>
      </c>
      <c r="CI28" s="714">
        <v>5.1100000000000003</v>
      </c>
      <c r="CJ28" s="714">
        <v>5.1100000000000003</v>
      </c>
      <c r="CK28" s="714">
        <v>5.12</v>
      </c>
      <c r="CL28" s="714">
        <v>5.12</v>
      </c>
      <c r="CM28" s="714">
        <v>5.12</v>
      </c>
      <c r="CN28" s="714">
        <v>5.12</v>
      </c>
      <c r="CO28" s="714">
        <v>5.12</v>
      </c>
      <c r="CP28" s="714">
        <v>5.12</v>
      </c>
      <c r="CQ28" s="714">
        <v>5.13</v>
      </c>
      <c r="CR28" s="714">
        <v>5.13</v>
      </c>
      <c r="CS28" s="714">
        <v>5.13</v>
      </c>
      <c r="CT28" s="714">
        <v>5.13</v>
      </c>
      <c r="CU28" s="714">
        <v>5.13</v>
      </c>
      <c r="CV28" s="714">
        <v>5.13</v>
      </c>
      <c r="CW28" s="714" t="s">
        <v>777</v>
      </c>
      <c r="CX28" s="714" t="s">
        <v>777</v>
      </c>
      <c r="CY28" s="714" t="s">
        <v>777</v>
      </c>
      <c r="CZ28" s="714" t="s">
        <v>777</v>
      </c>
      <c r="DA28" s="714" t="s">
        <v>777</v>
      </c>
      <c r="DB28" s="714" t="s">
        <v>777</v>
      </c>
      <c r="DC28" s="714" t="s">
        <v>779</v>
      </c>
      <c r="DD28" s="714" t="s">
        <v>779</v>
      </c>
      <c r="DE28" s="714" t="s">
        <v>779</v>
      </c>
      <c r="DF28" s="714" t="s">
        <v>779</v>
      </c>
      <c r="DG28" s="714" t="s">
        <v>779</v>
      </c>
      <c r="DH28" s="714" t="s">
        <v>779</v>
      </c>
      <c r="DI28" s="714" t="s">
        <v>780</v>
      </c>
      <c r="DJ28" s="714" t="s">
        <v>780</v>
      </c>
      <c r="DK28" s="714" t="s">
        <v>780</v>
      </c>
      <c r="DL28" s="714" t="s">
        <v>780</v>
      </c>
      <c r="DM28" s="714" t="s">
        <v>780</v>
      </c>
      <c r="DN28" s="714" t="s">
        <v>780</v>
      </c>
      <c r="DO28" s="714" t="s">
        <v>782</v>
      </c>
      <c r="DP28" s="714" t="s">
        <v>782</v>
      </c>
      <c r="DQ28" s="714" t="s">
        <v>782</v>
      </c>
      <c r="DR28" s="714" t="s">
        <v>782</v>
      </c>
      <c r="DS28" s="714" t="s">
        <v>782</v>
      </c>
      <c r="DT28" s="714" t="s">
        <v>782</v>
      </c>
      <c r="DU28" s="714" t="s">
        <v>792</v>
      </c>
      <c r="DV28" s="714" t="s">
        <v>792</v>
      </c>
      <c r="DW28" s="714" t="s">
        <v>792</v>
      </c>
      <c r="DX28" s="714" t="s">
        <v>792</v>
      </c>
      <c r="DY28" s="714" t="s">
        <v>792</v>
      </c>
      <c r="DZ28" s="714" t="s">
        <v>792</v>
      </c>
      <c r="EA28" s="714" t="s">
        <v>794</v>
      </c>
      <c r="EB28" s="714" t="s">
        <v>794</v>
      </c>
      <c r="EC28" s="714" t="s">
        <v>794</v>
      </c>
      <c r="ED28" s="714" t="s">
        <v>794</v>
      </c>
      <c r="EE28" s="714" t="s">
        <v>794</v>
      </c>
      <c r="EF28" s="714" t="s">
        <v>794</v>
      </c>
    </row>
  </sheetData>
  <dataValidations count="3">
    <dataValidation type="list" allowBlank="1" showInputMessage="1" showErrorMessage="1" sqref="C17" xr:uid="{00000000-0002-0000-0200-000000000000}">
      <formula1>INDIRECT($A$15&amp;(SUBSTITUTE(B15," ",""))&amp;$B$17)</formula1>
    </dataValidation>
    <dataValidation type="list" allowBlank="1" showInputMessage="1" showErrorMessage="1" sqref="B15" xr:uid="{00000000-0002-0000-0200-000001000000}">
      <formula1>Type</formula1>
    </dataValidation>
    <dataValidation type="list" allowBlank="1" showInputMessage="1" showErrorMessage="1" sqref="A15" xr:uid="{00000000-0002-0000-0200-000002000000}">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H65"/>
  <sheetViews>
    <sheetView zoomScaleNormal="100" workbookViewId="0">
      <selection activeCell="C85" sqref="C85"/>
    </sheetView>
  </sheetViews>
  <sheetFormatPr defaultColWidth="9.109375" defaultRowHeight="13.8" x14ac:dyDescent="0.3"/>
  <cols>
    <col min="1" max="2" width="1.6640625" style="1398" customWidth="1"/>
    <col min="3" max="3" width="29.109375" style="1398" bestFit="1" customWidth="1"/>
    <col min="4" max="4" width="68.88671875" style="1398" bestFit="1" customWidth="1"/>
    <col min="5" max="5" width="6.44140625" style="1398" bestFit="1" customWidth="1"/>
    <col min="6" max="6" width="1.6640625" style="1398" customWidth="1"/>
    <col min="7" max="16384" width="9.109375" style="1398"/>
  </cols>
  <sheetData>
    <row r="2" spans="2:6" ht="9" customHeight="1" thickBot="1" x14ac:dyDescent="0.35"/>
    <row r="3" spans="2:6" ht="9" customHeight="1" thickBot="1" x14ac:dyDescent="0.35">
      <c r="B3" s="1399"/>
      <c r="C3" s="1400"/>
      <c r="D3" s="1400"/>
      <c r="E3" s="1400"/>
      <c r="F3" s="1401"/>
    </row>
    <row r="4" spans="2:6" ht="14.4" thickBot="1" x14ac:dyDescent="0.35">
      <c r="B4" s="1402"/>
      <c r="C4" s="1403" t="s">
        <v>1130</v>
      </c>
      <c r="D4" s="1404"/>
      <c r="E4" s="1405"/>
      <c r="F4" s="1406"/>
    </row>
    <row r="5" spans="2:6" ht="14.4" thickBot="1" x14ac:dyDescent="0.35">
      <c r="B5" s="1402"/>
      <c r="C5" s="1407"/>
      <c r="D5" s="1407"/>
      <c r="E5" s="1407"/>
      <c r="F5" s="1406"/>
    </row>
    <row r="6" spans="2:6" ht="14.4" thickBot="1" x14ac:dyDescent="0.35">
      <c r="B6" s="1402"/>
      <c r="C6" s="1408" t="s">
        <v>85</v>
      </c>
      <c r="D6" s="1409" t="s">
        <v>86</v>
      </c>
      <c r="E6" s="1410"/>
      <c r="F6" s="1406"/>
    </row>
    <row r="7" spans="2:6" x14ac:dyDescent="0.3">
      <c r="B7" s="1402"/>
      <c r="C7" s="1411" t="s">
        <v>87</v>
      </c>
      <c r="D7" s="1411" t="s">
        <v>88</v>
      </c>
      <c r="E7" s="1411" t="b">
        <f>IF((IFERROR(MATCH(D7,'5'!$D$16:$D$76,0),0))&lt;&gt;0,TRUE,FALSE)</f>
        <v>1</v>
      </c>
      <c r="F7" s="1406"/>
    </row>
    <row r="8" spans="2:6" x14ac:dyDescent="0.3">
      <c r="B8" s="1402"/>
      <c r="C8" s="1411" t="s">
        <v>89</v>
      </c>
      <c r="D8" s="1411" t="s">
        <v>90</v>
      </c>
      <c r="E8" s="1411" t="b">
        <f>IF((IFERROR(MATCH(D8,'5'!$D$16:$D$76,0),0))&lt;&gt;0,TRUE,FALSE)</f>
        <v>0</v>
      </c>
      <c r="F8" s="1406"/>
    </row>
    <row r="9" spans="2:6" x14ac:dyDescent="0.3">
      <c r="B9" s="1402"/>
      <c r="C9" s="1411" t="s">
        <v>89</v>
      </c>
      <c r="D9" s="1411" t="s">
        <v>91</v>
      </c>
      <c r="E9" s="1411" t="b">
        <f>IF((IFERROR(MATCH(D9,'5'!$D$16:$D$76,0),0))&lt;&gt;0,TRUE,FALSE)</f>
        <v>1</v>
      </c>
      <c r="F9" s="1406"/>
    </row>
    <row r="10" spans="2:6" x14ac:dyDescent="0.3">
      <c r="B10" s="1402"/>
      <c r="C10" s="1411" t="s">
        <v>1131</v>
      </c>
      <c r="D10" s="1411" t="s">
        <v>93</v>
      </c>
      <c r="E10" s="1411" t="b">
        <f>IF((IFERROR(MATCH(D10,'5'!$D$16:$D$76,0),0))&lt;&gt;0,TRUE,FALSE)</f>
        <v>1</v>
      </c>
      <c r="F10" s="1406"/>
    </row>
    <row r="11" spans="2:6" x14ac:dyDescent="0.3">
      <c r="B11" s="1402"/>
      <c r="C11" s="1411" t="s">
        <v>1131</v>
      </c>
      <c r="D11" s="1411" t="s">
        <v>94</v>
      </c>
      <c r="E11" s="1411" t="b">
        <f>IF((IFERROR(MATCH(D11,'5'!$D$16:$D$76,0),0))&lt;&gt;0,TRUE,FALSE)</f>
        <v>1</v>
      </c>
      <c r="F11" s="1406"/>
    </row>
    <row r="12" spans="2:6" x14ac:dyDescent="0.3">
      <c r="B12" s="1402"/>
      <c r="C12" s="1411" t="s">
        <v>1131</v>
      </c>
      <c r="D12" s="1411" t="s">
        <v>95</v>
      </c>
      <c r="E12" s="1411" t="b">
        <f>IF((IFERROR(MATCH(D12,'5'!$D$16:$D$76,0),0))&lt;&gt;0,TRUE,FALSE)</f>
        <v>1</v>
      </c>
      <c r="F12" s="1406"/>
    </row>
    <row r="13" spans="2:6" x14ac:dyDescent="0.3">
      <c r="B13" s="1402"/>
      <c r="C13" s="1411" t="s">
        <v>1131</v>
      </c>
      <c r="D13" s="1411" t="s">
        <v>96</v>
      </c>
      <c r="E13" s="1411" t="b">
        <f>IF((IFERROR(MATCH(D13,'5'!$D$16:$D$76,0),0))&lt;&gt;0,TRUE,FALSE)</f>
        <v>1</v>
      </c>
      <c r="F13" s="1406"/>
    </row>
    <row r="14" spans="2:6" x14ac:dyDescent="0.3">
      <c r="B14" s="1402"/>
      <c r="C14" s="1411" t="s">
        <v>1131</v>
      </c>
      <c r="D14" s="1411" t="s">
        <v>97</v>
      </c>
      <c r="E14" s="1411" t="b">
        <f>IF((IFERROR(MATCH(D14,'5'!$D$16:$D$76,0),0))&lt;&gt;0,TRUE,FALSE)</f>
        <v>1</v>
      </c>
      <c r="F14" s="1406"/>
    </row>
    <row r="15" spans="2:6" x14ac:dyDescent="0.3">
      <c r="B15" s="1402"/>
      <c r="C15" s="1411" t="s">
        <v>1131</v>
      </c>
      <c r="D15" s="1411" t="s">
        <v>98</v>
      </c>
      <c r="E15" s="1411" t="b">
        <f>IF((IFERROR(MATCH(D15,'5'!$D$16:$D$76,0),0))&lt;&gt;0,TRUE,FALSE)</f>
        <v>1</v>
      </c>
      <c r="F15" s="1406"/>
    </row>
    <row r="16" spans="2:6" x14ac:dyDescent="0.3">
      <c r="B16" s="1402"/>
      <c r="C16" s="1411" t="s">
        <v>1131</v>
      </c>
      <c r="D16" s="1411" t="s">
        <v>99</v>
      </c>
      <c r="E16" s="1411" t="b">
        <f>IF((IFERROR(MATCH(D16,'5'!$D$16:$D$76,0),0))&lt;&gt;0,TRUE,FALSE)</f>
        <v>1</v>
      </c>
      <c r="F16" s="1406"/>
    </row>
    <row r="17" spans="2:8" x14ac:dyDescent="0.3">
      <c r="B17" s="1402"/>
      <c r="C17" s="1411" t="s">
        <v>1131</v>
      </c>
      <c r="D17" s="1411" t="s">
        <v>100</v>
      </c>
      <c r="E17" s="1411" t="b">
        <f>IF((IFERROR(MATCH(D17,'5'!$D$16:$D$76,0),0))&lt;&gt;0,TRUE,FALSE)</f>
        <v>1</v>
      </c>
      <c r="F17" s="1406"/>
    </row>
    <row r="18" spans="2:8" x14ac:dyDescent="0.3">
      <c r="B18" s="1402"/>
      <c r="C18" s="1411" t="s">
        <v>1131</v>
      </c>
      <c r="D18" s="1411" t="s">
        <v>101</v>
      </c>
      <c r="E18" s="1411" t="b">
        <f>IF((IFERROR(MATCH(D18,'5'!$D$16:$D$76,0),0))&lt;&gt;0,TRUE,FALSE)</f>
        <v>1</v>
      </c>
      <c r="F18" s="1406"/>
    </row>
    <row r="19" spans="2:8" x14ac:dyDescent="0.3">
      <c r="B19" s="1402"/>
      <c r="C19" s="1411" t="s">
        <v>1131</v>
      </c>
      <c r="D19" s="1411" t="s">
        <v>102</v>
      </c>
      <c r="E19" s="1411" t="b">
        <f>IF((IFERROR(MATCH(D19,'5'!$D$16:$D$76,0),0))&lt;&gt;0,TRUE,FALSE)</f>
        <v>1</v>
      </c>
      <c r="F19" s="1406"/>
    </row>
    <row r="20" spans="2:8" x14ac:dyDescent="0.3">
      <c r="B20" s="1402"/>
      <c r="C20" s="1411" t="s">
        <v>103</v>
      </c>
      <c r="D20" s="1411" t="s">
        <v>104</v>
      </c>
      <c r="E20" s="1411" t="b">
        <f>IF((IFERROR(MATCH(D20,'5'!$D$16:$D$76,0),0))&lt;&gt;0,TRUE,FALSE)</f>
        <v>1</v>
      </c>
      <c r="F20" s="1406"/>
    </row>
    <row r="21" spans="2:8" x14ac:dyDescent="0.3">
      <c r="B21" s="1402"/>
      <c r="C21" s="1411" t="s">
        <v>103</v>
      </c>
      <c r="D21" s="1411" t="s">
        <v>105</v>
      </c>
      <c r="E21" s="1411" t="b">
        <f>IF((IFERROR(MATCH(D21,'5'!$D$16:$D$76,0),0))&lt;&gt;0,TRUE,FALSE)</f>
        <v>1</v>
      </c>
      <c r="F21" s="1406"/>
    </row>
    <row r="22" spans="2:8" x14ac:dyDescent="0.3">
      <c r="B22" s="1402"/>
      <c r="C22" s="1411" t="s">
        <v>103</v>
      </c>
      <c r="D22" s="1411" t="s">
        <v>106</v>
      </c>
      <c r="E22" s="1411" t="b">
        <f>IF((IFERROR(MATCH(D22,'5'!$D$16:$D$76,0),0))&lt;&gt;0,TRUE,FALSE)</f>
        <v>1</v>
      </c>
      <c r="F22" s="1406"/>
      <c r="H22" s="1412"/>
    </row>
    <row r="23" spans="2:8" x14ac:dyDescent="0.3">
      <c r="B23" s="1402"/>
      <c r="C23" s="1411" t="s">
        <v>103</v>
      </c>
      <c r="D23" s="1411" t="s">
        <v>107</v>
      </c>
      <c r="E23" s="1411" t="b">
        <f>IF((IFERROR(MATCH(D23,'5'!$D$16:$D$76,0),0))&lt;&gt;0,TRUE,FALSE)</f>
        <v>1</v>
      </c>
      <c r="F23" s="1406"/>
    </row>
    <row r="24" spans="2:8" x14ac:dyDescent="0.3">
      <c r="B24" s="1402"/>
      <c r="C24" s="1411" t="s">
        <v>103</v>
      </c>
      <c r="D24" s="1411" t="s">
        <v>108</v>
      </c>
      <c r="E24" s="1411" t="b">
        <f>IF((IFERROR(MATCH(D24,'5'!$D$16:$D$76,0),0))&lt;&gt;0,TRUE,FALSE)</f>
        <v>1</v>
      </c>
      <c r="F24" s="1406"/>
    </row>
    <row r="25" spans="2:8" x14ac:dyDescent="0.3">
      <c r="B25" s="1402"/>
      <c r="C25" s="1411" t="s">
        <v>103</v>
      </c>
      <c r="D25" s="1411" t="s">
        <v>109</v>
      </c>
      <c r="E25" s="1411" t="b">
        <f>IF((IFERROR(MATCH(D25,'5'!$D$16:$D$76,0),0))&lt;&gt;0,TRUE,FALSE)</f>
        <v>1</v>
      </c>
      <c r="F25" s="1406"/>
    </row>
    <row r="26" spans="2:8" x14ac:dyDescent="0.3">
      <c r="B26" s="1402"/>
      <c r="C26" s="1411" t="s">
        <v>103</v>
      </c>
      <c r="D26" s="1411" t="s">
        <v>110</v>
      </c>
      <c r="E26" s="1411" t="b">
        <f>IF((IFERROR(MATCH(D26,'5'!$D$16:$D$76,0),0))&lt;&gt;0,TRUE,FALSE)</f>
        <v>1</v>
      </c>
      <c r="F26" s="1406"/>
    </row>
    <row r="27" spans="2:8" x14ac:dyDescent="0.3">
      <c r="B27" s="1402"/>
      <c r="C27" s="1411" t="s">
        <v>103</v>
      </c>
      <c r="D27" s="1411" t="s">
        <v>111</v>
      </c>
      <c r="E27" s="1411" t="b">
        <f>IF((IFERROR(MATCH(D27,'5'!$D$16:$D$76,0),0))&lt;&gt;0,TRUE,FALSE)</f>
        <v>1</v>
      </c>
      <c r="F27" s="1406"/>
    </row>
    <row r="28" spans="2:8" x14ac:dyDescent="0.3">
      <c r="B28" s="1402"/>
      <c r="C28" s="1411" t="s">
        <v>112</v>
      </c>
      <c r="D28" s="1411" t="s">
        <v>113</v>
      </c>
      <c r="E28" s="1411" t="b">
        <f>IF((IFERROR(MATCH(D28,'5'!$D$16:$D$76,0),0))&lt;&gt;0,TRUE,FALSE)</f>
        <v>1</v>
      </c>
      <c r="F28" s="1406"/>
    </row>
    <row r="29" spans="2:8" x14ac:dyDescent="0.3">
      <c r="B29" s="1402"/>
      <c r="C29" s="1411" t="s">
        <v>114</v>
      </c>
      <c r="D29" s="1411" t="s">
        <v>115</v>
      </c>
      <c r="E29" s="1411" t="b">
        <f>IF((IFERROR(MATCH(D29,'5'!$D$16:$D$76,0),0))&lt;&gt;0,TRUE,FALSE)</f>
        <v>1</v>
      </c>
      <c r="F29" s="1406"/>
    </row>
    <row r="30" spans="2:8" x14ac:dyDescent="0.3">
      <c r="B30" s="1402"/>
      <c r="C30" s="1411" t="s">
        <v>112</v>
      </c>
      <c r="D30" s="1411" t="s">
        <v>116</v>
      </c>
      <c r="E30" s="1411" t="b">
        <f>IF((IFERROR(MATCH(D30,'5'!$D$16:$D$76,0),0))&lt;&gt;0,TRUE,FALSE)</f>
        <v>1</v>
      </c>
      <c r="F30" s="1406"/>
    </row>
    <row r="31" spans="2:8" x14ac:dyDescent="0.3">
      <c r="B31" s="1402"/>
      <c r="C31" s="1411" t="s">
        <v>112</v>
      </c>
      <c r="D31" s="1411" t="s">
        <v>116</v>
      </c>
      <c r="E31" s="1411" t="b">
        <f>IF((IFERROR(MATCH(D31,'5'!$D$16:$D$76,0),0))&lt;&gt;0,TRUE,FALSE)</f>
        <v>1</v>
      </c>
      <c r="F31" s="1406"/>
    </row>
    <row r="32" spans="2:8" x14ac:dyDescent="0.3">
      <c r="B32" s="1402"/>
      <c r="C32" s="1411" t="s">
        <v>112</v>
      </c>
      <c r="D32" s="1411" t="s">
        <v>116</v>
      </c>
      <c r="E32" s="1411" t="b">
        <f>IF((IFERROR(MATCH(D32,'5'!$D$16:$D$76,0),0))&lt;&gt;0,TRUE,FALSE)</f>
        <v>1</v>
      </c>
      <c r="F32" s="1406"/>
    </row>
    <row r="33" spans="2:6" x14ac:dyDescent="0.3">
      <c r="B33" s="1402"/>
      <c r="C33" s="1411" t="s">
        <v>114</v>
      </c>
      <c r="D33" s="1411" t="s">
        <v>670</v>
      </c>
      <c r="E33" s="1411" t="b">
        <f>IF((IFERROR(MATCH(D33,'5'!$D$16:$D$76,0),0))&lt;&gt;0,TRUE,FALSE)</f>
        <v>1</v>
      </c>
      <c r="F33" s="1406"/>
    </row>
    <row r="34" spans="2:6" x14ac:dyDescent="0.3">
      <c r="B34" s="1402"/>
      <c r="C34" s="1411" t="s">
        <v>112</v>
      </c>
      <c r="D34" s="1411" t="s">
        <v>117</v>
      </c>
      <c r="E34" s="1411" t="b">
        <f>IF((IFERROR(MATCH(D34,'5'!$D$16:$D$76,0),0))&lt;&gt;0,TRUE,FALSE)</f>
        <v>1</v>
      </c>
      <c r="F34" s="1406"/>
    </row>
    <row r="35" spans="2:6" x14ac:dyDescent="0.3">
      <c r="B35" s="1402"/>
      <c r="C35" s="1411" t="s">
        <v>112</v>
      </c>
      <c r="D35" s="1411" t="s">
        <v>118</v>
      </c>
      <c r="E35" s="1411" t="b">
        <f>IF((IFERROR(MATCH(D35,'5'!$D$16:$D$76,0),0))&lt;&gt;0,TRUE,FALSE)</f>
        <v>1</v>
      </c>
      <c r="F35" s="1406"/>
    </row>
    <row r="36" spans="2:6" x14ac:dyDescent="0.3">
      <c r="B36" s="1402"/>
      <c r="C36" s="1411" t="s">
        <v>114</v>
      </c>
      <c r="D36" s="1411" t="s">
        <v>669</v>
      </c>
      <c r="E36" s="1411" t="b">
        <f>IF((IFERROR(MATCH(D36,'5'!$D$16:$D$76,0),0))&lt;&gt;0,TRUE,FALSE)</f>
        <v>1</v>
      </c>
      <c r="F36" s="1406"/>
    </row>
    <row r="37" spans="2:6" x14ac:dyDescent="0.3">
      <c r="B37" s="1402"/>
      <c r="C37" s="1411" t="s">
        <v>112</v>
      </c>
      <c r="D37" s="1411" t="s">
        <v>119</v>
      </c>
      <c r="E37" s="1411" t="b">
        <f>IF((IFERROR(MATCH(D37,'5'!$D$16:$D$76,0),0))&lt;&gt;0,TRUE,FALSE)</f>
        <v>1</v>
      </c>
      <c r="F37" s="1406"/>
    </row>
    <row r="38" spans="2:6" x14ac:dyDescent="0.3">
      <c r="B38" s="1402"/>
      <c r="C38" s="1411" t="s">
        <v>112</v>
      </c>
      <c r="D38" s="1411" t="s">
        <v>119</v>
      </c>
      <c r="E38" s="1411" t="b">
        <f>IF((IFERROR(MATCH(D38,'5'!$D$16:$D$76,0),0))&lt;&gt;0,TRUE,FALSE)</f>
        <v>1</v>
      </c>
      <c r="F38" s="1406"/>
    </row>
    <row r="39" spans="2:6" x14ac:dyDescent="0.3">
      <c r="B39" s="1402"/>
      <c r="C39" s="1411" t="s">
        <v>112</v>
      </c>
      <c r="D39" s="1411" t="s">
        <v>119</v>
      </c>
      <c r="E39" s="1411" t="b">
        <f>IF((IFERROR(MATCH(D39,'5'!$D$16:$D$76,0),0))&lt;&gt;0,TRUE,FALSE)</f>
        <v>1</v>
      </c>
      <c r="F39" s="1406"/>
    </row>
    <row r="40" spans="2:6" x14ac:dyDescent="0.3">
      <c r="B40" s="1402"/>
      <c r="C40" s="1411" t="s">
        <v>112</v>
      </c>
      <c r="D40" s="1411" t="s">
        <v>120</v>
      </c>
      <c r="E40" s="1411" t="b">
        <f>IF((IFERROR(MATCH(D40,'5'!$D$16:$D$76,0),0))&lt;&gt;0,TRUE,FALSE)</f>
        <v>1</v>
      </c>
      <c r="F40" s="1406"/>
    </row>
    <row r="41" spans="2:6" x14ac:dyDescent="0.3">
      <c r="B41" s="1402"/>
      <c r="C41" s="1411" t="s">
        <v>112</v>
      </c>
      <c r="D41" s="1411" t="s">
        <v>671</v>
      </c>
      <c r="E41" s="1411" t="b">
        <f>IF((IFERROR(MATCH(D41,'5'!$D$16:$D$76,0),0))&lt;&gt;0,TRUE,FALSE)</f>
        <v>1</v>
      </c>
      <c r="F41" s="1406"/>
    </row>
    <row r="42" spans="2:6" x14ac:dyDescent="0.3">
      <c r="B42" s="1402"/>
      <c r="C42" s="1411" t="s">
        <v>121</v>
      </c>
      <c r="D42" s="1411" t="s">
        <v>122</v>
      </c>
      <c r="E42" s="1411" t="b">
        <f>IF((IFERROR(MATCH(D42,'5'!$D$16:$D$76,0),0))&lt;&gt;0,TRUE,FALSE)</f>
        <v>1</v>
      </c>
      <c r="F42" s="1406"/>
    </row>
    <row r="43" spans="2:6" x14ac:dyDescent="0.3">
      <c r="B43" s="1402"/>
      <c r="C43" s="1411" t="s">
        <v>121</v>
      </c>
      <c r="D43" s="1411" t="s">
        <v>123</v>
      </c>
      <c r="E43" s="1411" t="b">
        <f>IF((IFERROR(MATCH(D43,'5'!$D$16:$D$76,0),0))&lt;&gt;0,TRUE,FALSE)</f>
        <v>1</v>
      </c>
      <c r="F43" s="1406"/>
    </row>
    <row r="44" spans="2:6" x14ac:dyDescent="0.3">
      <c r="B44" s="1402"/>
      <c r="C44" s="1411" t="s">
        <v>121</v>
      </c>
      <c r="D44" s="1411" t="s">
        <v>124</v>
      </c>
      <c r="E44" s="1411" t="b">
        <f>IF((IFERROR(MATCH(D44,'5'!$D$16:$D$76,0),0))&lt;&gt;0,TRUE,FALSE)</f>
        <v>1</v>
      </c>
      <c r="F44" s="1406"/>
    </row>
    <row r="45" spans="2:6" x14ac:dyDescent="0.3">
      <c r="B45" s="1402"/>
      <c r="C45" s="1411" t="s">
        <v>121</v>
      </c>
      <c r="D45" s="1411" t="s">
        <v>125</v>
      </c>
      <c r="E45" s="1411" t="b">
        <f>IF((IFERROR(MATCH(D45,'5'!$D$16:$D$76,0),0))&lt;&gt;0,TRUE,FALSE)</f>
        <v>1</v>
      </c>
      <c r="F45" s="1406"/>
    </row>
    <row r="46" spans="2:6" x14ac:dyDescent="0.3">
      <c r="B46" s="1402"/>
      <c r="C46" s="1411" t="s">
        <v>121</v>
      </c>
      <c r="D46" s="1411" t="s">
        <v>126</v>
      </c>
      <c r="E46" s="1411" t="b">
        <f>IF((IFERROR(MATCH(D46,'5'!$D$16:$D$76,0),0))&lt;&gt;0,TRUE,FALSE)</f>
        <v>1</v>
      </c>
      <c r="F46" s="1406"/>
    </row>
    <row r="47" spans="2:6" ht="15" customHeight="1" x14ac:dyDescent="0.3">
      <c r="B47" s="1402"/>
      <c r="C47" s="1411" t="s">
        <v>121</v>
      </c>
      <c r="D47" s="1411" t="s">
        <v>127</v>
      </c>
      <c r="E47" s="1411" t="b">
        <f>IF((IFERROR(MATCH(D47,'5'!$D$16:$D$76,0),0))&lt;&gt;0,TRUE,FALSE)</f>
        <v>1</v>
      </c>
      <c r="F47" s="1406"/>
    </row>
    <row r="48" spans="2:6" ht="15.75" customHeight="1" x14ac:dyDescent="0.3">
      <c r="B48" s="1402"/>
      <c r="C48" s="1411" t="s">
        <v>121</v>
      </c>
      <c r="D48" s="1411" t="s">
        <v>128</v>
      </c>
      <c r="E48" s="1411" t="b">
        <f>IF((IFERROR(MATCH(D48,'5'!$D$16:$D$76,0),0))&lt;&gt;0,TRUE,FALSE)</f>
        <v>1</v>
      </c>
      <c r="F48" s="1406"/>
    </row>
    <row r="49" spans="2:6" x14ac:dyDescent="0.3">
      <c r="B49" s="1402"/>
      <c r="C49" s="1411" t="s">
        <v>129</v>
      </c>
      <c r="D49" s="1411" t="s">
        <v>130</v>
      </c>
      <c r="E49" s="1411" t="b">
        <f>IF((IFERROR(MATCH(D49,'5'!$D$16:$D$76,0),0))&lt;&gt;0,TRUE,FALSE)</f>
        <v>1</v>
      </c>
      <c r="F49" s="1406"/>
    </row>
    <row r="50" spans="2:6" x14ac:dyDescent="0.3">
      <c r="B50" s="1402"/>
      <c r="C50" s="1411" t="s">
        <v>129</v>
      </c>
      <c r="D50" s="1411" t="s">
        <v>672</v>
      </c>
      <c r="E50" s="1411" t="b">
        <f>IF((IFERROR(MATCH(D50,'5'!$D$16:$D$76,0),0))&lt;&gt;0,TRUE,FALSE)</f>
        <v>1</v>
      </c>
      <c r="F50" s="1406"/>
    </row>
    <row r="51" spans="2:6" x14ac:dyDescent="0.3">
      <c r="B51" s="1402"/>
      <c r="C51" s="1411" t="s">
        <v>129</v>
      </c>
      <c r="D51" s="1411" t="s">
        <v>131</v>
      </c>
      <c r="E51" s="1411" t="b">
        <f>IF((IFERROR(MATCH(D51,'5'!$D$16:$D$76,0),0))&lt;&gt;0,TRUE,FALSE)</f>
        <v>1</v>
      </c>
      <c r="F51" s="1406"/>
    </row>
    <row r="52" spans="2:6" x14ac:dyDescent="0.3">
      <c r="B52" s="1402"/>
      <c r="C52" s="1411" t="s">
        <v>132</v>
      </c>
      <c r="D52" s="1411" t="s">
        <v>133</v>
      </c>
      <c r="E52" s="1411" t="b">
        <f>IF((IFERROR(MATCH(D52,'5'!$D$16:$D$76,0),0))&lt;&gt;0,TRUE,FALSE)</f>
        <v>1</v>
      </c>
      <c r="F52" s="1406"/>
    </row>
    <row r="53" spans="2:6" x14ac:dyDescent="0.3">
      <c r="B53" s="1402"/>
      <c r="C53" s="1411" t="s">
        <v>132</v>
      </c>
      <c r="D53" s="1411" t="s">
        <v>134</v>
      </c>
      <c r="E53" s="1411" t="b">
        <f>IF((IFERROR(MATCH(D53,'5'!$D$16:$D$76,0),0))&lt;&gt;0,TRUE,FALSE)</f>
        <v>1</v>
      </c>
      <c r="F53" s="1406"/>
    </row>
    <row r="54" spans="2:6" x14ac:dyDescent="0.3">
      <c r="B54" s="1402"/>
      <c r="C54" s="1411" t="s">
        <v>132</v>
      </c>
      <c r="D54" s="1411" t="s">
        <v>135</v>
      </c>
      <c r="E54" s="1411" t="b">
        <f>IF((IFERROR(MATCH(D54,'5'!$D$16:$D$76,0),0))&lt;&gt;0,TRUE,FALSE)</f>
        <v>1</v>
      </c>
      <c r="F54" s="1406"/>
    </row>
    <row r="55" spans="2:6" x14ac:dyDescent="0.3">
      <c r="B55" s="1402"/>
      <c r="C55" s="1411" t="s">
        <v>132</v>
      </c>
      <c r="D55" s="1411" t="s">
        <v>136</v>
      </c>
      <c r="E55" s="1411" t="b">
        <f>IF((IFERROR(MATCH(D55,'5'!$D$16:$D$76,0),0))&lt;&gt;0,TRUE,FALSE)</f>
        <v>1</v>
      </c>
      <c r="F55" s="1406"/>
    </row>
    <row r="56" spans="2:6" x14ac:dyDescent="0.3">
      <c r="B56" s="1402"/>
      <c r="C56" s="1411" t="s">
        <v>132</v>
      </c>
      <c r="D56" s="1411" t="s">
        <v>137</v>
      </c>
      <c r="E56" s="1411" t="b">
        <f>IF((IFERROR(MATCH(D56,'5'!$D$16:$D$76,0),0))&lt;&gt;0,TRUE,FALSE)</f>
        <v>1</v>
      </c>
      <c r="F56" s="1406"/>
    </row>
    <row r="57" spans="2:6" x14ac:dyDescent="0.3">
      <c r="B57" s="1402"/>
      <c r="C57" s="1411" t="s">
        <v>132</v>
      </c>
      <c r="D57" s="1411" t="s">
        <v>138</v>
      </c>
      <c r="E57" s="1411" t="b">
        <f>IF((IFERROR(MATCH(D57,'5'!$D$16:$D$76,0),0))&lt;&gt;0,TRUE,FALSE)</f>
        <v>1</v>
      </c>
      <c r="F57" s="1406"/>
    </row>
    <row r="58" spans="2:6" x14ac:dyDescent="0.3">
      <c r="B58" s="1402"/>
      <c r="C58" s="1411" t="s">
        <v>132</v>
      </c>
      <c r="D58" s="1411" t="s">
        <v>139</v>
      </c>
      <c r="E58" s="1411" t="b">
        <f>IF((IFERROR(MATCH(D58,'5'!$D$16:$D$76,0),0))&lt;&gt;0,TRUE,FALSE)</f>
        <v>1</v>
      </c>
      <c r="F58" s="1406"/>
    </row>
    <row r="59" spans="2:6" x14ac:dyDescent="0.3">
      <c r="B59" s="1402"/>
      <c r="C59" s="1411" t="s">
        <v>132</v>
      </c>
      <c r="D59" s="1411" t="s">
        <v>140</v>
      </c>
      <c r="E59" s="1411" t="b">
        <f>IF((IFERROR(MATCH(D59,'5'!$D$16:$D$76,0),0))&lt;&gt;0,TRUE,FALSE)</f>
        <v>1</v>
      </c>
      <c r="F59" s="1406"/>
    </row>
    <row r="60" spans="2:6" x14ac:dyDescent="0.3">
      <c r="B60" s="1402"/>
      <c r="C60" s="1411" t="s">
        <v>132</v>
      </c>
      <c r="D60" s="1411" t="s">
        <v>668</v>
      </c>
      <c r="E60" s="1411" t="b">
        <f>IF((IFERROR(MATCH(D60,'5'!$D$16:$D$76,0),0))&lt;&gt;0,TRUE,FALSE)</f>
        <v>1</v>
      </c>
      <c r="F60" s="1406"/>
    </row>
    <row r="61" spans="2:6" ht="14.4" thickBot="1" x14ac:dyDescent="0.35">
      <c r="B61" s="1413"/>
      <c r="C61" s="1414"/>
      <c r="D61" s="1414"/>
      <c r="E61" s="1414"/>
      <c r="F61" s="1415"/>
    </row>
    <row r="62" spans="2:6" ht="9" customHeight="1" x14ac:dyDescent="0.3"/>
    <row r="64" spans="2:6" ht="14.4" thickBot="1" x14ac:dyDescent="0.35"/>
    <row r="65" spans="5:5" ht="14.4" thickBot="1" x14ac:dyDescent="0.35">
      <c r="E65" s="1416">
        <f>COUNTIF(E7:E60,TRUE)</f>
        <v>53</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zoomScaleNormal="100" workbookViewId="0">
      <selection activeCell="N18" sqref="N18"/>
    </sheetView>
  </sheetViews>
  <sheetFormatPr defaultRowHeight="14.4" x14ac:dyDescent="0.3"/>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selection activeCell="J23" sqref="J23"/>
    </sheetView>
  </sheetViews>
  <sheetFormatPr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Y14"/>
  <sheetViews>
    <sheetView workbookViewId="0">
      <selection activeCell="L23" sqref="L23"/>
    </sheetView>
  </sheetViews>
  <sheetFormatPr defaultRowHeight="14.4" x14ac:dyDescent="0.3"/>
  <cols>
    <col min="1" max="73" width="4.33203125" customWidth="1"/>
    <col min="74" max="76" width="4.33203125" style="714" customWidth="1"/>
    <col min="77" max="82" width="4.33203125" customWidth="1"/>
    <col min="83" max="83" width="4.33203125" style="714" customWidth="1"/>
    <col min="84" max="84" width="4.33203125" customWidth="1"/>
    <col min="85" max="85" width="4.33203125" style="714" customWidth="1"/>
    <col min="86" max="86" width="4.33203125" customWidth="1"/>
    <col min="87" max="87" width="4.33203125" style="714" customWidth="1"/>
    <col min="88" max="88" width="4.33203125" customWidth="1"/>
    <col min="89" max="89" width="4.33203125" style="714" customWidth="1"/>
    <col min="90" max="102" width="4.33203125" customWidth="1"/>
  </cols>
  <sheetData>
    <row r="1" spans="1:103" x14ac:dyDescent="0.3">
      <c r="A1" s="1678" t="s">
        <v>1531</v>
      </c>
      <c r="B1" s="1678" t="s">
        <v>438</v>
      </c>
      <c r="C1" s="1678" t="s">
        <v>1601</v>
      </c>
      <c r="D1" s="1678" t="s">
        <v>1602</v>
      </c>
      <c r="E1" s="1678" t="s">
        <v>1603</v>
      </c>
      <c r="F1" s="1678" t="s">
        <v>1532</v>
      </c>
      <c r="G1" s="1678" t="s">
        <v>1533</v>
      </c>
      <c r="H1" s="1678" t="s">
        <v>617</v>
      </c>
      <c r="I1" s="1678" t="s">
        <v>1534</v>
      </c>
      <c r="J1" s="1678" t="s">
        <v>478</v>
      </c>
      <c r="K1" s="1678" t="s">
        <v>1535</v>
      </c>
      <c r="L1" s="1679">
        <v>0.3</v>
      </c>
      <c r="M1" s="1679">
        <v>0.4</v>
      </c>
      <c r="N1" s="1679">
        <v>0.5</v>
      </c>
      <c r="O1" s="1679">
        <v>0.6</v>
      </c>
      <c r="P1" s="1678" t="s">
        <v>1536</v>
      </c>
      <c r="Q1" s="1678" t="s">
        <v>1537</v>
      </c>
      <c r="R1" s="1678" t="s">
        <v>1538</v>
      </c>
      <c r="S1" s="1678" t="s">
        <v>1539</v>
      </c>
      <c r="T1" s="1678" t="s">
        <v>1540</v>
      </c>
      <c r="U1" s="1678" t="s">
        <v>562</v>
      </c>
      <c r="V1" s="1678" t="s">
        <v>563</v>
      </c>
      <c r="W1" s="1678" t="s">
        <v>564</v>
      </c>
      <c r="X1" s="1678" t="s">
        <v>565</v>
      </c>
      <c r="Y1" s="1678" t="s">
        <v>1541</v>
      </c>
      <c r="Z1" s="1678" t="s">
        <v>34</v>
      </c>
      <c r="AA1" s="1678" t="s">
        <v>1542</v>
      </c>
      <c r="AB1" s="1678" t="s">
        <v>1543</v>
      </c>
      <c r="AC1" s="1678" t="s">
        <v>562</v>
      </c>
      <c r="AD1" s="1678" t="s">
        <v>563</v>
      </c>
      <c r="AE1" s="1678" t="s">
        <v>564</v>
      </c>
      <c r="AF1" s="1678" t="s">
        <v>565</v>
      </c>
      <c r="AG1" s="1678" t="s">
        <v>1541</v>
      </c>
      <c r="AH1" s="1678" t="s">
        <v>34</v>
      </c>
      <c r="AI1" s="1678" t="s">
        <v>1544</v>
      </c>
      <c r="AJ1" s="1678" t="s">
        <v>1545</v>
      </c>
      <c r="AK1" s="1678" t="s">
        <v>1546</v>
      </c>
      <c r="AL1" s="1678" t="s">
        <v>1547</v>
      </c>
      <c r="AM1" s="1678" t="s">
        <v>1548</v>
      </c>
      <c r="AN1" s="1678" t="s">
        <v>1549</v>
      </c>
      <c r="AO1" s="1678" t="s">
        <v>1550</v>
      </c>
      <c r="AP1" s="1678" t="s">
        <v>1551</v>
      </c>
      <c r="AQ1" s="1678" t="s">
        <v>1552</v>
      </c>
      <c r="AR1" s="1678" t="s">
        <v>1553</v>
      </c>
      <c r="AS1" s="1678" t="s">
        <v>1554</v>
      </c>
      <c r="AT1" s="1678" t="s">
        <v>1555</v>
      </c>
      <c r="AU1" s="1678" t="s">
        <v>1556</v>
      </c>
      <c r="AV1" s="1678" t="s">
        <v>1557</v>
      </c>
      <c r="AW1" s="1678" t="s">
        <v>1558</v>
      </c>
      <c r="AX1" s="1678" t="s">
        <v>1559</v>
      </c>
      <c r="AY1" s="1678" t="s">
        <v>1560</v>
      </c>
      <c r="AZ1" s="1678" t="s">
        <v>1561</v>
      </c>
      <c r="BA1" s="1678" t="s">
        <v>1562</v>
      </c>
      <c r="BB1" s="1678" t="s">
        <v>1563</v>
      </c>
      <c r="BC1" s="1678" t="s">
        <v>1564</v>
      </c>
      <c r="BD1" s="1678" t="s">
        <v>1565</v>
      </c>
      <c r="BE1" s="1678" t="s">
        <v>1566</v>
      </c>
      <c r="BF1" s="1678" t="s">
        <v>1567</v>
      </c>
      <c r="BG1" s="1678" t="s">
        <v>1568</v>
      </c>
      <c r="BH1" s="1678" t="s">
        <v>1569</v>
      </c>
      <c r="BI1" s="1678" t="s">
        <v>1570</v>
      </c>
      <c r="BJ1" s="1678" t="s">
        <v>1571</v>
      </c>
      <c r="BK1" s="1678" t="s">
        <v>1572</v>
      </c>
      <c r="BL1" s="1678" t="s">
        <v>1573</v>
      </c>
      <c r="BM1" s="1678" t="s">
        <v>1574</v>
      </c>
      <c r="BN1" s="1678" t="s">
        <v>1575</v>
      </c>
      <c r="BO1" s="1678" t="s">
        <v>1576</v>
      </c>
      <c r="BP1" s="1678" t="s">
        <v>1577</v>
      </c>
      <c r="BQ1" s="1678" t="s">
        <v>1578</v>
      </c>
      <c r="BR1" s="1678" t="s">
        <v>1579</v>
      </c>
      <c r="BS1" s="1678" t="s">
        <v>1580</v>
      </c>
      <c r="BT1" s="1678" t="s">
        <v>1581</v>
      </c>
      <c r="BU1" s="1678" t="s">
        <v>1606</v>
      </c>
      <c r="BV1" s="1678" t="s">
        <v>1607</v>
      </c>
      <c r="BW1" s="1678" t="s">
        <v>1604</v>
      </c>
      <c r="BX1" s="1678" t="s">
        <v>1605</v>
      </c>
      <c r="BY1" s="1678" t="s">
        <v>1582</v>
      </c>
      <c r="BZ1" s="1678" t="s">
        <v>1583</v>
      </c>
      <c r="CA1" s="1678" t="s">
        <v>1584</v>
      </c>
      <c r="CB1" s="1678" t="s">
        <v>1585</v>
      </c>
      <c r="CC1" s="1678" t="s">
        <v>1586</v>
      </c>
      <c r="CD1" s="1678" t="s">
        <v>1587</v>
      </c>
      <c r="CE1" s="1678" t="s">
        <v>1614</v>
      </c>
      <c r="CF1" s="1678" t="s">
        <v>1608</v>
      </c>
      <c r="CG1" s="1678" t="s">
        <v>1609</v>
      </c>
      <c r="CH1" s="1678" t="s">
        <v>1610</v>
      </c>
      <c r="CI1" s="1678" t="s">
        <v>1611</v>
      </c>
      <c r="CJ1" s="1678" t="s">
        <v>1612</v>
      </c>
      <c r="CK1" s="1678" t="s">
        <v>1613</v>
      </c>
      <c r="CL1" s="1678" t="s">
        <v>1588</v>
      </c>
      <c r="CM1" s="1678" t="s">
        <v>1589</v>
      </c>
      <c r="CN1" s="1678" t="s">
        <v>1590</v>
      </c>
      <c r="CO1" s="1678" t="s">
        <v>1591</v>
      </c>
      <c r="CP1" s="1678" t="s">
        <v>1592</v>
      </c>
      <c r="CQ1" s="1678" t="s">
        <v>1593</v>
      </c>
      <c r="CR1" s="1678" t="s">
        <v>1594</v>
      </c>
      <c r="CS1" s="1678" t="s">
        <v>1595</v>
      </c>
      <c r="CT1" s="1678" t="s">
        <v>1596</v>
      </c>
      <c r="CU1" s="1678" t="s">
        <v>1597</v>
      </c>
      <c r="CV1" s="1678" t="s">
        <v>1598</v>
      </c>
      <c r="CW1" s="1678" t="s">
        <v>1599</v>
      </c>
      <c r="CX1" s="1678" t="s">
        <v>1600</v>
      </c>
      <c r="CY1" s="1677"/>
    </row>
    <row r="2" spans="1:103" x14ac:dyDescent="0.3">
      <c r="A2" t="str">
        <f>'1'!G8</f>
        <v>Bellwether Housing/Mercy Housing Northwest</v>
      </c>
      <c r="B2" t="str">
        <f>'1'!G15</f>
        <v>N/A</v>
      </c>
      <c r="C2" t="str">
        <f>'9A'!D16</f>
        <v>sboyd@bellwetherhousing.org</v>
      </c>
      <c r="D2" t="str">
        <f>'1'!G10</f>
        <v>Richard Loo</v>
      </c>
      <c r="E2">
        <f>'1'!J19</f>
        <v>0</v>
      </c>
      <c r="F2" t="str">
        <f>'1'!G5</f>
        <v>6600 Roosevelt Way NE</v>
      </c>
      <c r="G2" t="str">
        <f>'1'!G33</f>
        <v>Seattle</v>
      </c>
      <c r="H2" t="str">
        <f>'1'!J33</f>
        <v>King</v>
      </c>
      <c r="I2" t="str">
        <f>'1'!G35</f>
        <v>43rd District</v>
      </c>
      <c r="J2" t="str">
        <f>CONCATENATE((IF('1'!F43="X",'1'!E43,"")),", ",(IF('1'!F45="X",'1'!E45,"")),", ",(IF('1'!F47="X",'1'!E47,"")),", ",(IF('1'!F49="X",'1'!E49,"")),", ",(IF('1'!J43="X",'1'!G43,"")),", ",(IF('1'!J45="X",'1'!G45,"")),", ",(IF('1'!J47="X",'1'!G47,"")),", ",(IF('1'!J49="X",'1'!G49,"")),", ",(IF('1'!M43="X",'1'!L43,"")),", ",(IF('1'!M45="X",'1'!L45,"")))</f>
        <v xml:space="preserve">, , New Construction, , , , , , Mixed Use , </v>
      </c>
      <c r="K2">
        <f>SUM(L2:R2)</f>
        <v>245</v>
      </c>
      <c r="L2">
        <f>'8A'!L49+'8A'!L50</f>
        <v>61</v>
      </c>
      <c r="M2">
        <f>'8A'!L51+'8A'!L52</f>
        <v>0</v>
      </c>
      <c r="N2">
        <f>'8A'!L53+'8A'!L54</f>
        <v>39</v>
      </c>
      <c r="O2">
        <f>'8A'!L55+'8A'!L56</f>
        <v>145</v>
      </c>
      <c r="P2">
        <f>'8A'!L57+'8A'!L58</f>
        <v>0</v>
      </c>
      <c r="Q2">
        <f>'8A'!L61</f>
        <v>0</v>
      </c>
      <c r="R2">
        <f>'8A'!L60</f>
        <v>0</v>
      </c>
      <c r="T2">
        <f>'8A'!E62+'8A'!F62</f>
        <v>64</v>
      </c>
      <c r="U2">
        <f>'8A'!G62</f>
        <v>78</v>
      </c>
      <c r="V2">
        <f>'8A'!H62</f>
        <v>66</v>
      </c>
      <c r="W2">
        <f>'8A'!I62</f>
        <v>37</v>
      </c>
      <c r="X2">
        <f>'8A'!J62</f>
        <v>0</v>
      </c>
      <c r="Y2">
        <f>'8A'!K62</f>
        <v>0</v>
      </c>
      <c r="Z2">
        <f>'8A'!D62</f>
        <v>0</v>
      </c>
      <c r="AB2">
        <f>AVERAGE('8A'!E65+'8A'!F65)</f>
        <v>425</v>
      </c>
      <c r="AC2">
        <f>'8A'!G65</f>
        <v>550</v>
      </c>
      <c r="AD2" s="714">
        <f>'8A'!H65</f>
        <v>800</v>
      </c>
      <c r="AE2" s="714">
        <f>'8A'!I65</f>
        <v>1100</v>
      </c>
      <c r="AF2" s="714">
        <f>'8A'!J65</f>
        <v>0</v>
      </c>
      <c r="AG2" s="714">
        <f>'8A'!K65</f>
        <v>0</v>
      </c>
      <c r="AH2" s="714">
        <f>AVERAGE('8A'!D65+'8A'!E65)</f>
        <v>0</v>
      </c>
      <c r="AI2" s="1671">
        <f>'2B'!K34</f>
        <v>222317</v>
      </c>
      <c r="AJ2" s="1671">
        <f>'2B'!O34</f>
        <v>287180</v>
      </c>
      <c r="AK2">
        <f>'2C'!J142</f>
        <v>11</v>
      </c>
      <c r="AL2" s="714">
        <f>'2C'!J143</f>
        <v>10</v>
      </c>
      <c r="AM2" s="714">
        <f>'2C'!J144</f>
        <v>5</v>
      </c>
      <c r="AN2" s="714">
        <f>'2C'!J145</f>
        <v>15</v>
      </c>
      <c r="AO2" s="714">
        <f>'2C'!J146</f>
        <v>8</v>
      </c>
      <c r="AP2" s="714">
        <f>'2C'!J147</f>
        <v>5</v>
      </c>
      <c r="AQ2" s="714">
        <f>'2C'!J148</f>
        <v>8</v>
      </c>
      <c r="AR2" s="714">
        <f>'2C'!J149</f>
        <v>7</v>
      </c>
      <c r="AT2" s="1672">
        <f>INDEX(Schedule_Dates,MATCH("building permits issued",'5'!D17:D75,0))</f>
        <v>43800</v>
      </c>
      <c r="AU2" s="1672">
        <f>INDEX(Schedule_Dates,MATCH("begin construction",'5'!D17:D75,0))</f>
        <v>43835</v>
      </c>
      <c r="AV2" s="1672">
        <f>INDEX(Schedule_Dates,MATCH("issued certificate of occupancy",'5'!D17:D75,0))</f>
        <v>44470</v>
      </c>
      <c r="AW2" s="1673">
        <f>'6A Rollup'!J15</f>
        <v>6749999</v>
      </c>
      <c r="AX2" s="1673">
        <f>'6A Rollup'!K15</f>
        <v>3085155</v>
      </c>
      <c r="AY2" s="1673">
        <f>'6A Rollup'!J29</f>
        <v>3633888</v>
      </c>
      <c r="AZ2" s="1673">
        <f>'6A Rollup'!J30</f>
        <v>0</v>
      </c>
      <c r="BA2" s="1673">
        <f>'6A Rollup'!J25</f>
        <v>65769609</v>
      </c>
      <c r="BB2" s="1673">
        <f>'6A Rollup'!J26</f>
        <v>0</v>
      </c>
      <c r="BC2" s="1673">
        <f>'6A Rollup'!J40</f>
        <v>76311640</v>
      </c>
      <c r="BD2" s="1673">
        <f>'6A Rollup'!K40</f>
        <v>43289674</v>
      </c>
      <c r="BE2" s="1673">
        <f>'6A Rollup'!J51</f>
        <v>4200000</v>
      </c>
      <c r="BF2" s="1673">
        <f>'6A Rollup'!J52</f>
        <v>280000</v>
      </c>
      <c r="BG2" s="1680">
        <f ca="1">SUMIF('6A Rollup'!L12:M13,"*htf*",'6A Rollup'!L51:M51)+SUMIF('6A Rollup'!L12:M13,"*housing trust fund*",'6A Rollup'!L51:M51)</f>
        <v>0</v>
      </c>
      <c r="BH2" s="1680">
        <f ca="1">SUMIF('6A Rollup'!L12:M13,"*htf*",'6A Rollup'!L52:M52)+SUMIF('6A Rollup'!L12:M13,"*housing trust fund*",'6A Rollup'!L52:M52)</f>
        <v>0</v>
      </c>
      <c r="BI2" s="1673">
        <f>'6A Rollup'!J83</f>
        <v>890000</v>
      </c>
      <c r="BJ2" s="1673">
        <f>'6A Rollup'!K83</f>
        <v>615000</v>
      </c>
      <c r="BK2" s="1673">
        <f>'6A Rollup'!J84</f>
        <v>0</v>
      </c>
      <c r="BL2" s="1673">
        <f>'6A Rollup'!K84</f>
        <v>0</v>
      </c>
      <c r="BM2" s="1673">
        <f>'6A Rollup'!J111</f>
        <v>111000</v>
      </c>
      <c r="BN2" s="1673">
        <f>'6A Rollup'!K111</f>
        <v>111000</v>
      </c>
      <c r="BO2" t="e">
        <f>IF(BP2&gt;0,"9%",(IF(AND(BP2=0,BQ2&gt;0),"4%",(IF(AND(BP2=0,BQ2=0),"n/a")))))</f>
        <v>#REF!</v>
      </c>
      <c r="BP2" t="e">
        <f>#REF!</f>
        <v>#REF!</v>
      </c>
      <c r="BQ2" t="e">
        <f>#REF!</f>
        <v>#REF!</v>
      </c>
      <c r="BR2">
        <f>'6D - 4% Building'!G42</f>
        <v>1.05</v>
      </c>
      <c r="BS2" t="str">
        <f>IF('7A (Rollup)'!F24&gt;0,"Y","N")</f>
        <v>Y</v>
      </c>
      <c r="BT2" s="1674">
        <f>SUMIF('7A (Rollup)'!D28:D34,"State - Housing Trust Fund",'7A (Rollup)'!E28:E34)+SUMIF('7A (Rollup)'!D28:D34,"State - Housing Trust Fund",'7A (Rollup)'!F28:F34)</f>
        <v>0</v>
      </c>
      <c r="BU2" s="1675">
        <f>SUMIF('7A (Rollup)'!$D28:$D34,"City",'7A (Rollup)'!E28:E34)</f>
        <v>12660000</v>
      </c>
      <c r="BV2" s="1675">
        <f>SUMIF('7A (Rollup)'!$D28:$D34,"City",'7A (Rollup)'!F28:F34)</f>
        <v>0</v>
      </c>
      <c r="BW2" s="1675">
        <f>SUMIF('7A (Rollup)'!$D28:$D34,"County",'7A (Rollup)'!E28:E34)</f>
        <v>3750000</v>
      </c>
      <c r="BX2" s="1675">
        <f>SUMIF('7A (Rollup)'!$D28:$D34,"County",'7A (Rollup)'!F28:F34)</f>
        <v>0</v>
      </c>
      <c r="BY2" s="1675">
        <f>'7A (Rollup)'!F39</f>
        <v>16062304.007399999</v>
      </c>
      <c r="BZ2" s="1674">
        <f>SUMIFS('7A (Rollup)'!E28:E34,'7A (Rollup)'!C28:C34,"*cdbg*",'7A (Rollup)'!D28:D34,"State - Other")+SUMIFS('7A (Rollup)'!F28:F34,'7A (Rollup)'!C28:C34,"*cdbg*",'7A (Rollup)'!D28:D34,"State - Other")</f>
        <v>0</v>
      </c>
      <c r="CA2" s="1674">
        <f>'7A (Rollup)'!F41</f>
        <v>51835230.997399993</v>
      </c>
      <c r="CB2" s="1674" t="e">
        <f>'7A (Rollup)'!#REF!</f>
        <v>#REF!</v>
      </c>
      <c r="CC2" s="1674" t="e">
        <f>'7A (Rollup)'!E35+'7A (Rollup)'!#REF!</f>
        <v>#REF!</v>
      </c>
      <c r="CD2" s="1674" t="e">
        <f>'7A (Rollup)'!F35+'7A (Rollup)'!#REF!</f>
        <v>#REF!</v>
      </c>
      <c r="CE2" s="1674" t="e">
        <f>((((SUMIFS('7A (Rollup)'!$E28:$E34,'7A (Rollup)'!$D28:$D34,"Bank",'7A (Rollup)'!$D28:$D34,"City",'7A (Rollup)'!$D28:$D34,"County",'7A (Rollup)'!$D28:$D34,"federal",'7A (Rollup)'!$D28:$D34,"GSE*",'7A (Rollup)'!$D28:$D34,"Private",'7A (Rollup)'!$D28:$D34,"Public*",'7A (Rollup)'!$D28:$D34,"Sponsor",'7A (Rollup)'!$D28:$D34,"State - Other",'7A (Rollup)'!$D28:$D34,"historic*",'7A (Rollup)'!$D28:$D34,"other"))+'7A (Rollup)'!F39+(SUMIFS('7A (Rollup)'!$F28:$F34,'7A (Rollup)'!$D28:$D34,"Bank",'7A (Rollup)'!$D28:$D34,"City",'7A (Rollup)'!$D28:$D34,"County",'7A (Rollup)'!$D28:$D34,"federal",'7A (Rollup)'!$D28:$D34,"GSE*",'7A (Rollup)'!$D28:$D34,"Private",'7A (Rollup)'!$D28:$D34,"Public*",'7A (Rollup)'!$D28:$D34,"Sponsor",'7A (Rollup)'!$D28:$D34,"State - Other",'7A (Rollup)'!$D28:$D34,"historic*",'7A (Rollup)'!$D28:$D34,"other"))+(SUMIFS('7A (Rollup)'!#REF!,'7A (Rollup)'!#REF!,"bank",'7A (Rollup)'!#REF!,"city",'7A (Rollup)'!#REF!,"county",'7A (Rollup)'!#REF!,"federal",'7A (Rollup)'!#REF!,"gse*",'7A (Rollup)'!#REF!,"private",'7A (Rollup)'!#REF!,"public*",'7A (Rollup)'!#REF!,"sponsor",'7A (Rollup)'!#REF!,"state",'7A (Rollup)'!#REF!,"historic*",'7A (Rollup)'!#REF!,"new market*",'7A (Rollup)'!#REF!,"other"))+(SUMIFS('7A (Rollup)'!#REF!,'7A (Rollup)'!#REF!,"bank",'7A (Rollup)'!#REF!,"city",'7A (Rollup)'!#REF!,"county",'7A (Rollup)'!#REF!,"federal",'7A (Rollup)'!#REF!,"gse*",'7A (Rollup)'!#REF!,"private",'7A (Rollup)'!#REF!,"public*",'7A (Rollup)'!#REF!,"sponsor",'7A (Rollup)'!#REF!,"state",'7A (Rollup)'!#REF!,"historic*",'7A (Rollup)'!#REF!,"new market*",'7A (Rollup)'!#REF!,"other")))))</f>
        <v>#REF!</v>
      </c>
      <c r="CF2" s="1673">
        <f>'8B - 4% Building'!D32</f>
        <v>0</v>
      </c>
      <c r="CG2" s="1673">
        <f>'8B - 4% Building'!E32</f>
        <v>0</v>
      </c>
      <c r="CH2" s="1673">
        <f>'8B - 4% Building'!D23</f>
        <v>0</v>
      </c>
      <c r="CI2" s="1673">
        <f>'8B - 4% Building'!E23</f>
        <v>0</v>
      </c>
      <c r="CJ2" s="1673">
        <f>'8B - 4% Building'!D41</f>
        <v>0</v>
      </c>
      <c r="CK2" s="1673">
        <f>'8B - 4% Building'!E41</f>
        <v>0</v>
      </c>
      <c r="CL2" s="1674">
        <f>'8D - 4% Building'!H38</f>
        <v>1999442.2</v>
      </c>
      <c r="CM2" s="1674">
        <f>'8D - 4% Building'!H72</f>
        <v>134660.5632</v>
      </c>
      <c r="CN2" s="1674">
        <f>'8D - 4% Building'!H73</f>
        <v>119967</v>
      </c>
      <c r="CO2" s="1674">
        <f>'8D - 4% Building'!H93</f>
        <v>784263.56319999998</v>
      </c>
      <c r="CP2" s="1674">
        <f>'8D - 4% Building'!H95</f>
        <v>58100</v>
      </c>
      <c r="CQ2" s="1674">
        <f>'8D - 4% Building'!H96</f>
        <v>0</v>
      </c>
      <c r="CR2" s="1674">
        <f>'8D - 4% Building'!I96</f>
        <v>0</v>
      </c>
      <c r="CS2" s="1674">
        <f>'8D - 4% Building'!H99</f>
        <v>74179.434999999998</v>
      </c>
      <c r="CT2" s="1676">
        <f>'8D - 4% Building'!H51</f>
        <v>1.1526217035942281</v>
      </c>
      <c r="CU2" s="1674">
        <f>'8D - 4% Building'!H62</f>
        <v>18389.561799999909</v>
      </c>
      <c r="CV2" s="1674">
        <f>'8D - 4% Building'!I62</f>
        <v>31969.231862999848</v>
      </c>
      <c r="CW2" s="1674">
        <f>'8D - 4% Building'!J62</f>
        <v>35708.239578204812</v>
      </c>
      <c r="CX2" t="str">
        <f>IF(CS2=0,"No","Yes")</f>
        <v>Yes</v>
      </c>
      <c r="CY2" s="1677"/>
    </row>
    <row r="3" spans="1:103" x14ac:dyDescent="0.3">
      <c r="A3" s="1677"/>
      <c r="B3" s="1677"/>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c r="AN3" s="1677"/>
      <c r="AO3" s="1677"/>
      <c r="AP3" s="1677"/>
      <c r="AQ3" s="1677"/>
      <c r="AR3" s="1677"/>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c r="BP3" s="1677"/>
      <c r="BQ3" s="1677"/>
      <c r="BR3" s="1677"/>
      <c r="BS3" s="1677"/>
      <c r="BT3" s="1677"/>
      <c r="BU3" s="1677"/>
      <c r="BV3" s="1677"/>
      <c r="BW3" s="1677"/>
      <c r="BX3" s="1677"/>
      <c r="BY3" s="1677"/>
      <c r="BZ3" s="1677"/>
      <c r="CA3" s="1677"/>
      <c r="CB3" s="1677"/>
      <c r="CC3" s="1677"/>
      <c r="CD3" s="1677"/>
      <c r="CE3" s="1677"/>
      <c r="CF3" s="1677"/>
      <c r="CG3" s="1677"/>
      <c r="CH3" s="1677"/>
      <c r="CI3" s="1677"/>
      <c r="CJ3" s="1677"/>
      <c r="CK3" s="1677"/>
      <c r="CL3" s="1677"/>
      <c r="CM3" s="1677"/>
      <c r="CN3" s="1677"/>
      <c r="CO3" s="1677"/>
      <c r="CP3" s="1677"/>
      <c r="CQ3" s="1677"/>
      <c r="CR3" s="1677"/>
      <c r="CS3" s="1677"/>
      <c r="CT3" s="1677"/>
      <c r="CU3" s="1677"/>
      <c r="CV3" s="1677"/>
      <c r="CW3" s="1677"/>
      <c r="CX3" s="1677"/>
      <c r="CY3" s="1677"/>
    </row>
    <row r="4" spans="1:103" x14ac:dyDescent="0.3">
      <c r="AC4" s="714"/>
    </row>
    <row r="5" spans="1:103" x14ac:dyDescent="0.3">
      <c r="K5" s="714" t="str">
        <f>IF('1'!I43="X",'1'!H43,"")</f>
        <v/>
      </c>
      <c r="L5" s="714"/>
      <c r="M5" s="714" t="str">
        <f>IF('1'!K43="X",'1'!J43,"")</f>
        <v/>
      </c>
      <c r="N5" s="714" t="str">
        <f>IF('1'!L43="X",'1'!K43,"")</f>
        <v/>
      </c>
      <c r="AC5" s="714"/>
    </row>
    <row r="6" spans="1:103" x14ac:dyDescent="0.3">
      <c r="AC6" s="714"/>
    </row>
    <row r="7" spans="1:103" x14ac:dyDescent="0.3">
      <c r="AC7" s="714"/>
    </row>
    <row r="8" spans="1:103" x14ac:dyDescent="0.3">
      <c r="AC8" s="714"/>
    </row>
    <row r="9" spans="1:103" x14ac:dyDescent="0.3">
      <c r="AC9" s="714"/>
    </row>
    <row r="10" spans="1:103" x14ac:dyDescent="0.3">
      <c r="AC10" s="714"/>
      <c r="AK10" s="714"/>
    </row>
    <row r="11" spans="1:103" x14ac:dyDescent="0.3">
      <c r="AK11" s="714"/>
    </row>
    <row r="12" spans="1:103" x14ac:dyDescent="0.3">
      <c r="AK12" s="714"/>
    </row>
    <row r="13" spans="1:103" x14ac:dyDescent="0.3">
      <c r="BQ13" s="714"/>
    </row>
    <row r="14" spans="1:103" x14ac:dyDescent="0.3">
      <c r="BQ14" s="71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7:L37"/>
  <sheetViews>
    <sheetView showGridLines="0" workbookViewId="0">
      <selection activeCell="H26" sqref="H26"/>
    </sheetView>
  </sheetViews>
  <sheetFormatPr defaultColWidth="9.109375" defaultRowHeight="14.4" x14ac:dyDescent="0.3"/>
  <cols>
    <col min="1" max="2" width="1.6640625" style="399" customWidth="1"/>
    <col min="3" max="3" width="6" style="1567" bestFit="1" customWidth="1"/>
    <col min="4" max="4" width="29" style="1568" bestFit="1" customWidth="1"/>
    <col min="5" max="5" width="21.6640625" style="399" bestFit="1" customWidth="1"/>
    <col min="6" max="6" width="21.6640625" style="399" customWidth="1"/>
    <col min="7" max="7" width="9.6640625" style="399" bestFit="1" customWidth="1"/>
    <col min="8" max="8" width="26.33203125" style="399" customWidth="1"/>
    <col min="9" max="16384" width="9.109375" style="399"/>
  </cols>
  <sheetData>
    <row r="7" spans="2:12" ht="21.6" thickBot="1" x14ac:dyDescent="0.45">
      <c r="B7" s="1569" t="s">
        <v>661</v>
      </c>
    </row>
    <row r="8" spans="2:12" x14ac:dyDescent="0.3">
      <c r="B8" s="1576"/>
      <c r="C8" s="1577"/>
      <c r="D8" s="1578"/>
      <c r="E8" s="1480"/>
      <c r="F8" s="1480"/>
      <c r="G8" s="1480"/>
      <c r="H8" s="1480"/>
      <c r="I8" s="1481"/>
      <c r="J8" s="1028"/>
      <c r="K8" s="1028"/>
      <c r="L8" s="1028"/>
    </row>
    <row r="9" spans="2:12" ht="29.4" thickBot="1" x14ac:dyDescent="0.35">
      <c r="B9" s="1435"/>
      <c r="C9" s="1030" t="s">
        <v>649</v>
      </c>
      <c r="D9" s="1579" t="s">
        <v>650</v>
      </c>
      <c r="E9" s="1030"/>
      <c r="F9" s="1030"/>
      <c r="G9" s="1580" t="s">
        <v>673</v>
      </c>
      <c r="H9" s="1537" t="s">
        <v>674</v>
      </c>
      <c r="I9" s="1482"/>
      <c r="J9" s="1028"/>
      <c r="K9" s="1028"/>
      <c r="L9" s="1028"/>
    </row>
    <row r="10" spans="2:12" s="1570" customFormat="1" x14ac:dyDescent="0.3">
      <c r="B10" s="1581"/>
      <c r="C10" s="1582">
        <v>3</v>
      </c>
      <c r="D10" s="2507" t="s">
        <v>656</v>
      </c>
      <c r="E10" s="2507"/>
      <c r="F10" s="2507"/>
      <c r="G10" s="1583" t="str">
        <f>IF((COUNTA('3'!$C$21:$C$27))&lt;1,"Concern","OK")</f>
        <v>OK</v>
      </c>
      <c r="H10" s="1571"/>
      <c r="I10" s="1584"/>
      <c r="J10" s="1572"/>
      <c r="K10" s="1572"/>
      <c r="L10" s="1572"/>
    </row>
    <row r="11" spans="2:12" s="1570" customFormat="1" x14ac:dyDescent="0.3">
      <c r="B11" s="1581"/>
      <c r="C11" s="1585"/>
      <c r="D11" s="2508" t="s">
        <v>657</v>
      </c>
      <c r="E11" s="2508"/>
      <c r="F11" s="2508"/>
      <c r="G11" s="1586" t="str">
        <f>IF((COUNTA('3'!$D$22:$D$27)+(COUNTA('3'!$D$30:$D$35)))&lt;&gt;((COUNTA('3'!$C$22:$C$27))+(COUNTA('3'!$C$30:$C$35))),"Concern","OK")</f>
        <v>OK</v>
      </c>
      <c r="H11" s="1573"/>
      <c r="I11" s="1584"/>
      <c r="J11" s="1572"/>
      <c r="K11" s="1572"/>
      <c r="L11" s="1572"/>
    </row>
    <row r="12" spans="2:12" s="1570" customFormat="1" x14ac:dyDescent="0.3">
      <c r="B12" s="1581"/>
      <c r="C12" s="1585"/>
      <c r="D12" s="2508" t="s">
        <v>658</v>
      </c>
      <c r="E12" s="2508"/>
      <c r="F12" s="2508"/>
      <c r="G12" s="1586" t="str">
        <f>IF((COUNTA('3'!$E$22:$E$27)+(COUNTA('3'!$E$30:$E$35)))&lt;&gt;((COUNTA('3'!$C$22:$C$27))+(COUNTA('3'!$C$30:$C$35))),"Concern","OK")</f>
        <v>OK</v>
      </c>
      <c r="H12" s="1573"/>
      <c r="I12" s="1584"/>
      <c r="J12" s="1572"/>
      <c r="K12" s="1572"/>
      <c r="L12" s="1572"/>
    </row>
    <row r="13" spans="2:12" s="1570" customFormat="1" x14ac:dyDescent="0.3">
      <c r="B13" s="1581"/>
      <c r="C13" s="1585"/>
      <c r="D13" s="2508" t="s">
        <v>659</v>
      </c>
      <c r="E13" s="2508"/>
      <c r="F13" s="2508"/>
      <c r="G13" s="1586" t="str">
        <f>IF(((COUNTA('3'!$F$22:$F$27))+(COUNTA('3'!$F$30:$F$35)))&lt;2,"Concern","OK")</f>
        <v>OK</v>
      </c>
      <c r="H13" s="1573"/>
      <c r="I13" s="1584"/>
      <c r="J13" s="1572"/>
      <c r="K13" s="1572"/>
      <c r="L13" s="1572"/>
    </row>
    <row r="14" spans="2:12" s="1570" customFormat="1" ht="15" thickBot="1" x14ac:dyDescent="0.35">
      <c r="B14" s="1581"/>
      <c r="C14" s="1587"/>
      <c r="D14" s="2511" t="s">
        <v>660</v>
      </c>
      <c r="E14" s="2511"/>
      <c r="F14" s="2511"/>
      <c r="G14" s="1588" t="str">
        <f>IF(((COUNTA('3'!$G$22:$G$27))+(COUNTA('3'!$G$30:$G$35)))&lt;((COUNTIF('3'!C22:C27,C22&lt;&gt;"Select…"))+(COUNTIF('3'!C30:C35,C30&lt;&gt;"Select…"))),"Concern","OK")</f>
        <v>OK</v>
      </c>
      <c r="H14" s="1574"/>
      <c r="I14" s="1584"/>
      <c r="J14" s="1572"/>
      <c r="K14" s="1572"/>
      <c r="L14" s="1572"/>
    </row>
    <row r="15" spans="2:12" s="1570" customFormat="1" ht="15" thickBot="1" x14ac:dyDescent="0.35">
      <c r="B15" s="1581"/>
      <c r="C15" s="1585"/>
      <c r="D15" s="2512"/>
      <c r="E15" s="2512"/>
      <c r="F15" s="2512"/>
      <c r="G15" s="1589"/>
      <c r="H15" s="1589"/>
      <c r="I15" s="1584"/>
      <c r="J15" s="1572"/>
      <c r="K15" s="1572"/>
      <c r="L15" s="1572"/>
    </row>
    <row r="16" spans="2:12" x14ac:dyDescent="0.3">
      <c r="B16" s="1435"/>
      <c r="C16" s="1582">
        <v>5</v>
      </c>
      <c r="D16" s="2507" t="s">
        <v>655</v>
      </c>
      <c r="E16" s="2507"/>
      <c r="F16" s="2507"/>
      <c r="G16" s="1583" t="str">
        <f>IF((IFERROR(MATCH("Begin Construction",'5'!D16:D76,0),0))&lt;&gt;0,"OK","Concern")</f>
        <v>OK</v>
      </c>
      <c r="H16" s="1571"/>
      <c r="I16" s="1482"/>
      <c r="J16" s="1028"/>
      <c r="K16" s="1028"/>
      <c r="L16" s="1028"/>
    </row>
    <row r="17" spans="2:12" ht="42" thickBot="1" x14ac:dyDescent="0.35">
      <c r="B17" s="1435"/>
      <c r="C17" s="1587"/>
      <c r="D17" s="2511" t="s">
        <v>1129</v>
      </c>
      <c r="E17" s="2511"/>
      <c r="F17" s="2511"/>
      <c r="G17" s="1588" t="str">
        <f>IF('5 Default Check'!E65&gt;=54,"OK","Concern")</f>
        <v>Concern</v>
      </c>
      <c r="H17" s="1574" t="s">
        <v>2138</v>
      </c>
      <c r="I17" s="1482"/>
      <c r="L17" s="1028"/>
    </row>
    <row r="18" spans="2:12" ht="15" thickBot="1" x14ac:dyDescent="0.35">
      <c r="B18" s="1435"/>
      <c r="C18" s="1585"/>
      <c r="D18" s="2512"/>
      <c r="E18" s="2512"/>
      <c r="F18" s="2512"/>
      <c r="G18" s="1590"/>
      <c r="H18" s="1590"/>
      <c r="I18" s="1482"/>
      <c r="L18" s="1028"/>
    </row>
    <row r="19" spans="2:12" ht="15" thickBot="1" x14ac:dyDescent="0.35">
      <c r="B19" s="1435"/>
      <c r="C19" s="1591" t="s">
        <v>651</v>
      </c>
      <c r="D19" s="2512" t="s">
        <v>662</v>
      </c>
      <c r="E19" s="2512"/>
      <c r="F19" s="2512"/>
      <c r="G19" s="1592" t="str">
        <f>IF('6A Rollup'!J113&lt;&gt;'6A Rollup'!J114,"Concern","OK")</f>
        <v>OK</v>
      </c>
      <c r="H19" s="1575"/>
      <c r="I19" s="1482"/>
      <c r="L19" s="1028"/>
    </row>
    <row r="20" spans="2:12" ht="15" thickBot="1" x14ac:dyDescent="0.35">
      <c r="B20" s="1435"/>
      <c r="C20" s="1585"/>
      <c r="D20" s="2510"/>
      <c r="E20" s="2510"/>
      <c r="F20" s="2510"/>
      <c r="G20" s="1590"/>
      <c r="H20" s="1590"/>
      <c r="I20" s="1482"/>
      <c r="L20" s="1028"/>
    </row>
    <row r="21" spans="2:12" ht="27.6" x14ac:dyDescent="0.3">
      <c r="B21" s="1435"/>
      <c r="C21" s="1582" t="s">
        <v>652</v>
      </c>
      <c r="D21" s="2510" t="s">
        <v>653</v>
      </c>
      <c r="E21" s="2510"/>
      <c r="F21" s="2510"/>
      <c r="G21" s="1593" t="str">
        <f>IF(((COUNTA('7A - 4%'!C18:C20))+(COUNTA('7A - 4%'!C28:C33))+(COUNTA('7A - 4%'!C45:C52))+(COUNTA('7A - 9%'!C18:C20))+(COUNTA('7A - 9%'!C28:C33))+(COUNTA('7A - 9%'!C45:C52)))&gt;(((COUNTIF('7A - 4%'!D18:D20,'7A - 4%'!D18&lt;&gt;"Select…")))+((COUNTIF('7A - 4%'!D28:D33,'7A - 4%'!D28&lt;&gt;"Select…")))+((COUNTIF('7A - 4%'!D45:D52,'7A - 4%'!D45&lt;&gt;"Select…")))+((COUNTIF('7A - 9%'!D18:D20,'7A - 4%'!D18&lt;&gt;"Select…")))+((COUNTIF('7A - 9%'!D28:D33,'7A - 4%'!D28&lt;&gt;"Select…")))+((COUNTIF('7A - 9%'!D45:D52,'7A - 4%'!D45&lt;&gt;"Select…")))),"Concern","OK")</f>
        <v>Concern</v>
      </c>
      <c r="H21" s="1571" t="s">
        <v>2205</v>
      </c>
      <c r="I21" s="1482"/>
      <c r="L21" s="1028"/>
    </row>
    <row r="22" spans="2:12" ht="27.6" x14ac:dyDescent="0.3">
      <c r="B22" s="1435"/>
      <c r="C22" s="1585"/>
      <c r="D22" s="2508" t="s">
        <v>664</v>
      </c>
      <c r="E22" s="2508"/>
      <c r="F22" s="2508"/>
      <c r="G22" s="1586" t="str">
        <f>IF(((COUNTA('7A - 4%'!C18:C20))+(COUNTA('7A - 4%'!C28:C33))+(COUNTA('7A - 4%'!C45:C52))+(COUNTA('7A - 9%'!C18:C20))+(COUNTA('7A - 9%'!C28:C33))+(COUNTA('7A - 9%'!C45:C52)))&gt;(((COUNTIF('7A - 4%'!J18:J20,'7A - 4%'!J18&lt;&gt;"Select…")))+((COUNTIF('7A - 4%'!J28:J33,'7A - 4%'!J28&lt;&gt;"Select…")))+((COUNTIF('7A - 4%'!J45:J52,'7A - 4%'!J45&lt;&gt;"Select…")))+((COUNTIF('7A - 9%'!J18:J20,'7A - 4%'!J18&lt;&gt;"Select…")))+((COUNTIF('7A - 9%'!J28:J33,'7A - 4%'!J28&lt;&gt;"Select…")))+((COUNTIF('7A - 9%'!J45:J52,'7A - 4%'!J45&lt;&gt;"Select…")))),"Concern","OK")</f>
        <v>Concern</v>
      </c>
      <c r="H22" s="1573" t="s">
        <v>2205</v>
      </c>
      <c r="I22" s="1482"/>
      <c r="L22" s="1028"/>
    </row>
    <row r="23" spans="2:12" ht="27.6" x14ac:dyDescent="0.3">
      <c r="B23" s="1435"/>
      <c r="C23" s="1585"/>
      <c r="D23" s="1618" t="s">
        <v>1504</v>
      </c>
      <c r="E23" s="1618"/>
      <c r="F23" s="1618"/>
      <c r="G23" s="1586" t="str">
        <f>IF(((COUNTA('7A - 4%'!C18:C20))+(COUNTA('7A - 4%'!C28:C33))+(COUNTA('7A - 4%'!C45:C52))+(COUNTA('7A - 9%'!C18:C20))+(COUNTA('7A - 9%'!C28:C33))+(COUNTA('7A - 9%'!C45:C52)))&gt;(((COUNTIF('7A - 4%'!N18:N20,'7A - 4%'!N18&lt;&gt;"Select…")))+((COUNTIF('7A - 4%'!N28:N33,'7A - 4%'!N28&lt;&gt;"Select…")))+((COUNTIF('7A - 4%'!N45:N52,'7A - 4%'!N45&lt;&gt;"Select…")))+((COUNTIF('7A - 9%'!N18:N20,'7A - 4%'!N18&lt;&gt;"Select…")))+((COUNTIF('7A - 9%'!N28:N33,'7A - 4%'!N28&lt;&gt;"Select…")))+((COUNTIF('7A - 9%'!N45:N52,'7A - 4%'!N45&lt;&gt;"Select…")))),"Concern","OK")</f>
        <v>Concern</v>
      </c>
      <c r="H23" s="1573" t="s">
        <v>2205</v>
      </c>
      <c r="I23" s="1482"/>
      <c r="L23" s="1028"/>
    </row>
    <row r="24" spans="2:12" ht="27.6" x14ac:dyDescent="0.3">
      <c r="B24" s="1435"/>
      <c r="C24" s="1594"/>
      <c r="D24" s="2508" t="s">
        <v>654</v>
      </c>
      <c r="E24" s="2508"/>
      <c r="F24" s="2508"/>
      <c r="G24" s="1586" t="str">
        <f>IF(((COUNTA('7A - 4%'!C18:C20))+(COUNTA('7A - 4%'!C28:C33))+(COUNTA('7A - 4%'!C45:C52))+(COUNTA('7A - 9%'!C18:C20))+(COUNTA('7A - 9%'!C28:C33))+(COUNTA('7A - 9%'!C45:C52)))&gt;(((COUNTA('7A - 4%'!I18:I20)))+(COUNTA('7A - 4%'!I28:I33))+(COUNTA('7A - 4%'!I45:I52))+(COUNTA('7A - 9%'!I18:I20,))+(COUNTA('7A - 9%'!I28:I33))+(COUNTA('7A - 9%'!I45:I52))),"Concern","OK")</f>
        <v>Concern</v>
      </c>
      <c r="H24" s="1573" t="s">
        <v>2205</v>
      </c>
      <c r="I24" s="1482"/>
      <c r="J24" s="1028"/>
      <c r="K24" s="1028"/>
      <c r="L24" s="1028"/>
    </row>
    <row r="25" spans="2:12" ht="28.2" thickBot="1" x14ac:dyDescent="0.35">
      <c r="B25" s="1435"/>
      <c r="C25" s="1595"/>
      <c r="D25" s="2509" t="s">
        <v>663</v>
      </c>
      <c r="E25" s="2509"/>
      <c r="F25" s="2509"/>
      <c r="G25" s="1588" t="str">
        <f>IF('6A Rollup'!K114&lt;&gt;'7A (Rollup)'!F67,"Concern","OK")</f>
        <v>Concern</v>
      </c>
      <c r="H25" s="1574" t="s">
        <v>2205</v>
      </c>
      <c r="I25" s="1482"/>
      <c r="J25" s="1028"/>
      <c r="K25" s="1028"/>
      <c r="L25" s="1028"/>
    </row>
    <row r="26" spans="2:12" ht="15" thickBot="1" x14ac:dyDescent="0.35">
      <c r="B26" s="1438"/>
      <c r="C26" s="1596"/>
      <c r="D26" s="1597"/>
      <c r="E26" s="1490"/>
      <c r="F26" s="1490"/>
      <c r="G26" s="1490"/>
      <c r="H26" s="1490"/>
      <c r="I26" s="1439"/>
      <c r="J26" s="1028"/>
      <c r="K26" s="1028"/>
      <c r="L26" s="1028"/>
    </row>
    <row r="31" spans="2:12" x14ac:dyDescent="0.3">
      <c r="D31" s="1028"/>
      <c r="E31" s="1028"/>
    </row>
    <row r="32" spans="2:12" x14ac:dyDescent="0.3">
      <c r="D32" s="1028"/>
      <c r="E32" s="1028"/>
    </row>
    <row r="33" spans="4:5" x14ac:dyDescent="0.3">
      <c r="D33" s="1028"/>
      <c r="E33" s="1028"/>
    </row>
    <row r="34" spans="4:5" x14ac:dyDescent="0.3">
      <c r="D34" s="1028"/>
      <c r="E34" s="1028"/>
    </row>
    <row r="35" spans="4:5" x14ac:dyDescent="0.3">
      <c r="D35" s="1028"/>
      <c r="E35" s="1028"/>
    </row>
    <row r="36" spans="4:5" x14ac:dyDescent="0.3">
      <c r="D36" s="1028"/>
      <c r="E36" s="1028"/>
    </row>
    <row r="37" spans="4:5" x14ac:dyDescent="0.3">
      <c r="D37" s="1028"/>
      <c r="E37" s="1028"/>
    </row>
  </sheetData>
  <sheetProtection algorithmName="SHA-512" hashValue="JG+fDUSERznIx6B/vKlQwb1UgJtfrIW8zK0mJ5O6fqD3gr2xEhEAGod8ZbIfL0+64Yf3cr+BQ3tSas8Y4mzyeQ==" saltValue="a9r/WKgWHPW5lsHRVzSyOg==" spinCount="100000"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4" priority="17" operator="equal">
      <formula>"OK"</formula>
    </cfRule>
    <cfRule type="cellIs" dxfId="153" priority="18" operator="equal">
      <formula>"FAIL"</formula>
    </cfRule>
  </conditionalFormatting>
  <conditionalFormatting sqref="H24">
    <cfRule type="cellIs" dxfId="152" priority="15" operator="equal">
      <formula>"OK"</formula>
    </cfRule>
    <cfRule type="cellIs" dxfId="151" priority="16" operator="equal">
      <formula>"FAIL"</formula>
    </cfRule>
  </conditionalFormatting>
  <conditionalFormatting sqref="H25">
    <cfRule type="cellIs" dxfId="150" priority="13" operator="equal">
      <formula>"OK"</formula>
    </cfRule>
    <cfRule type="cellIs" dxfId="149" priority="14" operator="equal">
      <formula>"FAIL"</formula>
    </cfRule>
  </conditionalFormatting>
  <conditionalFormatting sqref="H21">
    <cfRule type="cellIs" dxfId="148" priority="11" operator="equal">
      <formula>"OK"</formula>
    </cfRule>
    <cfRule type="cellIs" dxfId="147" priority="12" operator="equal">
      <formula>"FAIL"</formula>
    </cfRule>
  </conditionalFormatting>
  <conditionalFormatting sqref="H19">
    <cfRule type="cellIs" dxfId="146" priority="9" operator="equal">
      <formula>"OK"</formula>
    </cfRule>
    <cfRule type="cellIs" dxfId="145" priority="10" operator="equal">
      <formula>"FAIL"</formula>
    </cfRule>
  </conditionalFormatting>
  <conditionalFormatting sqref="G10:G15 G18:G22 G24:G25">
    <cfRule type="containsText" dxfId="144" priority="7" operator="containsText" text="Concern">
      <formula>NOT(ISERROR(SEARCH("Concern",G10)))</formula>
    </cfRule>
    <cfRule type="containsText" dxfId="143" priority="8" operator="containsText" text="OK">
      <formula>NOT(ISERROR(SEARCH("OK",G10)))</formula>
    </cfRule>
  </conditionalFormatting>
  <conditionalFormatting sqref="G17">
    <cfRule type="containsText" dxfId="142" priority="5" operator="containsText" text="Concern">
      <formula>NOT(ISERROR(SEARCH("Concern",G17)))</formula>
    </cfRule>
    <cfRule type="containsText" dxfId="141" priority="6" operator="containsText" text="OK">
      <formula>NOT(ISERROR(SEARCH("OK",G17)))</formula>
    </cfRule>
  </conditionalFormatting>
  <conditionalFormatting sqref="G16">
    <cfRule type="containsText" dxfId="140" priority="3" operator="containsText" text="Concern">
      <formula>NOT(ISERROR(SEARCH("Concern",G16)))</formula>
    </cfRule>
    <cfRule type="containsText" dxfId="139" priority="4" operator="containsText" text="OK">
      <formula>NOT(ISERROR(SEARCH("OK",G16)))</formula>
    </cfRule>
  </conditionalFormatting>
  <conditionalFormatting sqref="G23">
    <cfRule type="containsText" dxfId="138" priority="1" operator="containsText" text="Concern">
      <formula>NOT(ISERROR(SEARCH("Concern",G23)))</formula>
    </cfRule>
    <cfRule type="containsText" dxfId="137" priority="2" operator="containsText" text="OK">
      <formula>NOT(ISERROR(SEARCH("OK",G23)))</formula>
    </cfRule>
  </conditionalFormatting>
  <pageMargins left="0.7" right="0.7" top="1" bottom="0.75" header="0.3" footer="0.3"/>
  <pageSetup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3"/>
  <sheetViews>
    <sheetView showGridLines="0" zoomScaleNormal="100" workbookViewId="0"/>
  </sheetViews>
  <sheetFormatPr defaultColWidth="9.109375" defaultRowHeight="14.4" x14ac:dyDescent="0.3"/>
  <cols>
    <col min="1" max="1" width="2.88671875" style="399" customWidth="1"/>
    <col min="2" max="3" width="1.44140625" style="399" customWidth="1"/>
    <col min="4" max="4" width="11" style="399" customWidth="1"/>
    <col min="5" max="5" width="9.109375" style="399"/>
    <col min="6" max="6" width="4" style="399" customWidth="1"/>
    <col min="7" max="9" width="9.109375" style="399"/>
    <col min="10" max="10" width="4" style="399" customWidth="1"/>
    <col min="11" max="12" width="9.109375" style="399"/>
    <col min="13" max="13" width="4" style="399" bestFit="1" customWidth="1"/>
    <col min="14" max="14" width="6" style="399" customWidth="1"/>
    <col min="15" max="15" width="9.109375" style="399"/>
    <col min="16" max="17" width="1.44140625" style="399" customWidth="1"/>
    <col min="18" max="16384" width="9.109375" style="399"/>
  </cols>
  <sheetData>
    <row r="1" spans="2:17" ht="15" thickBot="1" x14ac:dyDescent="0.35"/>
    <row r="2" spans="2:17" ht="7.5" customHeight="1" x14ac:dyDescent="0.3">
      <c r="B2" s="368"/>
      <c r="C2" s="369"/>
      <c r="D2" s="369"/>
      <c r="E2" s="369"/>
      <c r="F2" s="369"/>
      <c r="G2" s="369"/>
      <c r="H2" s="369"/>
      <c r="I2" s="369"/>
      <c r="J2" s="369"/>
      <c r="K2" s="369"/>
      <c r="L2" s="369"/>
      <c r="M2" s="369"/>
      <c r="N2" s="369"/>
      <c r="O2" s="369"/>
      <c r="P2" s="369"/>
      <c r="Q2" s="401"/>
    </row>
    <row r="3" spans="2:17" ht="18" x14ac:dyDescent="0.35">
      <c r="B3" s="370"/>
      <c r="C3" s="2515" t="s">
        <v>1139</v>
      </c>
      <c r="D3" s="2515"/>
      <c r="E3" s="2515"/>
      <c r="F3" s="2515"/>
      <c r="G3" s="2515"/>
      <c r="H3" s="2515"/>
      <c r="I3" s="2515"/>
      <c r="J3" s="2515"/>
      <c r="K3" s="2515"/>
      <c r="L3" s="2515"/>
      <c r="M3" s="2515"/>
      <c r="N3" s="2515"/>
      <c r="O3" s="2515"/>
      <c r="P3" s="2515"/>
      <c r="Q3" s="402"/>
    </row>
    <row r="4" spans="2:17" x14ac:dyDescent="0.3">
      <c r="B4" s="370"/>
      <c r="C4" s="130"/>
      <c r="D4" s="130"/>
      <c r="E4" s="130"/>
      <c r="F4" s="130"/>
      <c r="G4" s="130"/>
      <c r="H4" s="130"/>
      <c r="I4" s="130"/>
      <c r="J4" s="130"/>
      <c r="K4" s="130"/>
      <c r="L4" s="130"/>
      <c r="M4" s="130"/>
      <c r="N4" s="130"/>
      <c r="O4" s="130"/>
      <c r="P4" s="130"/>
      <c r="Q4" s="402"/>
    </row>
    <row r="5" spans="2:17" ht="18" x14ac:dyDescent="0.35">
      <c r="B5" s="370"/>
      <c r="C5" s="162" t="s">
        <v>0</v>
      </c>
      <c r="D5" s="17"/>
      <c r="E5" s="424"/>
      <c r="F5" s="424"/>
      <c r="G5" s="2521" t="s">
        <v>1887</v>
      </c>
      <c r="H5" s="2521"/>
      <c r="I5" s="2521"/>
      <c r="J5" s="2521"/>
      <c r="K5" s="2521"/>
      <c r="L5" s="2521"/>
      <c r="M5" s="2521"/>
      <c r="N5" s="2521"/>
      <c r="O5" s="2521"/>
      <c r="P5" s="130"/>
      <c r="Q5" s="402"/>
    </row>
    <row r="6" spans="2:17" ht="3.75" customHeight="1" x14ac:dyDescent="0.3">
      <c r="B6" s="370"/>
      <c r="C6" s="134"/>
      <c r="D6" s="424"/>
      <c r="E6" s="424"/>
      <c r="F6" s="424"/>
      <c r="G6" s="371"/>
      <c r="H6" s="371"/>
      <c r="I6" s="371"/>
      <c r="J6" s="371"/>
      <c r="K6" s="371"/>
      <c r="L6" s="371"/>
      <c r="M6" s="371"/>
      <c r="N6" s="371"/>
      <c r="O6" s="371"/>
      <c r="P6" s="130"/>
      <c r="Q6" s="402"/>
    </row>
    <row r="7" spans="2:17" x14ac:dyDescent="0.3">
      <c r="B7" s="370"/>
      <c r="C7" s="372" t="s">
        <v>1</v>
      </c>
      <c r="D7" s="424"/>
      <c r="E7" s="424"/>
      <c r="F7" s="424"/>
      <c r="G7" s="371"/>
      <c r="H7" s="371"/>
      <c r="I7" s="371"/>
      <c r="J7" s="371"/>
      <c r="K7" s="371"/>
      <c r="L7" s="371"/>
      <c r="M7" s="371"/>
      <c r="N7" s="371"/>
      <c r="O7" s="371"/>
      <c r="P7" s="130"/>
      <c r="Q7" s="402"/>
    </row>
    <row r="8" spans="2:17" x14ac:dyDescent="0.3">
      <c r="B8" s="370"/>
      <c r="C8" s="373" t="s">
        <v>2</v>
      </c>
      <c r="D8" s="424"/>
      <c r="E8" s="424"/>
      <c r="F8" s="424"/>
      <c r="G8" s="2522" t="s">
        <v>1883</v>
      </c>
      <c r="H8" s="2522"/>
      <c r="I8" s="2522"/>
      <c r="J8" s="2522"/>
      <c r="K8" s="2522"/>
      <c r="L8" s="2522"/>
      <c r="M8" s="2522"/>
      <c r="N8" s="2522"/>
      <c r="O8" s="2522"/>
      <c r="P8" s="130"/>
      <c r="Q8" s="402"/>
    </row>
    <row r="9" spans="2:17" ht="3.75" customHeight="1" x14ac:dyDescent="0.3">
      <c r="B9" s="370"/>
      <c r="C9" s="373"/>
      <c r="D9" s="424"/>
      <c r="E9" s="424"/>
      <c r="F9" s="424"/>
      <c r="G9" s="371"/>
      <c r="H9" s="371"/>
      <c r="I9" s="371"/>
      <c r="J9" s="371"/>
      <c r="K9" s="371"/>
      <c r="L9" s="371"/>
      <c r="M9" s="371"/>
      <c r="N9" s="371"/>
      <c r="O9" s="371"/>
      <c r="P9" s="130"/>
      <c r="Q9" s="402"/>
    </row>
    <row r="10" spans="2:17" x14ac:dyDescent="0.3">
      <c r="B10" s="370"/>
      <c r="C10" s="373" t="s">
        <v>3</v>
      </c>
      <c r="D10" s="424"/>
      <c r="E10" s="424"/>
      <c r="F10" s="424"/>
      <c r="G10" s="2513" t="s">
        <v>1884</v>
      </c>
      <c r="H10" s="2513"/>
      <c r="I10" s="2513"/>
      <c r="J10" s="2513"/>
      <c r="K10" s="2513"/>
      <c r="L10" s="2513"/>
      <c r="M10" s="2513"/>
      <c r="N10" s="2513"/>
      <c r="O10" s="2513"/>
      <c r="P10" s="130"/>
      <c r="Q10" s="402"/>
    </row>
    <row r="11" spans="2:17" ht="3.75" customHeight="1" x14ac:dyDescent="0.3">
      <c r="B11" s="370"/>
      <c r="C11" s="374"/>
      <c r="D11" s="424"/>
      <c r="E11" s="424"/>
      <c r="F11" s="424"/>
      <c r="G11" s="371"/>
      <c r="H11" s="371"/>
      <c r="I11" s="371"/>
      <c r="J11" s="371"/>
      <c r="K11" s="371"/>
      <c r="L11" s="371"/>
      <c r="M11" s="371"/>
      <c r="N11" s="371"/>
      <c r="O11" s="371"/>
      <c r="P11" s="130"/>
      <c r="Q11" s="402"/>
    </row>
    <row r="12" spans="2:17" x14ac:dyDescent="0.3">
      <c r="B12" s="370"/>
      <c r="C12" s="373" t="s">
        <v>4</v>
      </c>
      <c r="D12" s="424"/>
      <c r="E12" s="424"/>
      <c r="F12" s="424"/>
      <c r="G12" s="2513" t="s">
        <v>1885</v>
      </c>
      <c r="H12" s="2513"/>
      <c r="I12" s="375" t="s">
        <v>5</v>
      </c>
      <c r="J12" s="2520" t="s">
        <v>1886</v>
      </c>
      <c r="K12" s="2520"/>
      <c r="L12" s="2520"/>
      <c r="M12" s="2520"/>
      <c r="N12" s="2520"/>
      <c r="O12" s="2520"/>
      <c r="P12" s="130"/>
      <c r="Q12" s="402"/>
    </row>
    <row r="13" spans="2:17" ht="3.75" customHeight="1" x14ac:dyDescent="0.3">
      <c r="B13" s="370"/>
      <c r="C13" s="373"/>
      <c r="D13" s="424"/>
      <c r="E13" s="424"/>
      <c r="F13" s="424"/>
      <c r="G13" s="371"/>
      <c r="H13" s="371"/>
      <c r="I13" s="371"/>
      <c r="J13" s="371"/>
      <c r="K13" s="371"/>
      <c r="L13" s="371"/>
      <c r="M13" s="371"/>
      <c r="N13" s="371"/>
      <c r="O13" s="371"/>
      <c r="P13" s="130"/>
      <c r="Q13" s="402"/>
    </row>
    <row r="14" spans="2:17" x14ac:dyDescent="0.3">
      <c r="B14" s="370"/>
      <c r="C14" s="372" t="s">
        <v>6</v>
      </c>
      <c r="D14" s="424"/>
      <c r="E14" s="424"/>
      <c r="F14" s="424"/>
      <c r="G14" s="371"/>
      <c r="H14" s="371"/>
      <c r="I14" s="371"/>
      <c r="J14" s="371"/>
      <c r="K14" s="371"/>
      <c r="L14" s="371"/>
      <c r="M14" s="371"/>
      <c r="N14" s="371"/>
      <c r="O14" s="371"/>
      <c r="P14" s="130"/>
      <c r="Q14" s="402"/>
    </row>
    <row r="15" spans="2:17" x14ac:dyDescent="0.3">
      <c r="B15" s="370"/>
      <c r="C15" s="373" t="s">
        <v>7</v>
      </c>
      <c r="D15" s="424"/>
      <c r="E15" s="424"/>
      <c r="F15" s="424"/>
      <c r="G15" s="2522" t="s">
        <v>1889</v>
      </c>
      <c r="H15" s="2522"/>
      <c r="I15" s="2522"/>
      <c r="J15" s="2522"/>
      <c r="K15" s="2522"/>
      <c r="L15" s="2522"/>
      <c r="M15" s="2522"/>
      <c r="N15" s="2522"/>
      <c r="O15" s="2522"/>
      <c r="P15" s="130"/>
      <c r="Q15" s="402"/>
    </row>
    <row r="16" spans="2:17" ht="3.75" customHeight="1" x14ac:dyDescent="0.3">
      <c r="B16" s="370"/>
      <c r="C16" s="373"/>
      <c r="D16" s="424"/>
      <c r="E16" s="424"/>
      <c r="F16" s="424"/>
      <c r="G16" s="377"/>
      <c r="H16" s="377"/>
      <c r="I16" s="371"/>
      <c r="J16" s="377"/>
      <c r="K16" s="371"/>
      <c r="L16" s="371"/>
      <c r="M16" s="371"/>
      <c r="N16" s="371"/>
      <c r="O16" s="371"/>
      <c r="P16" s="130"/>
      <c r="Q16" s="402"/>
    </row>
    <row r="17" spans="2:17" x14ac:dyDescent="0.3">
      <c r="B17" s="370"/>
      <c r="C17" s="373" t="s">
        <v>8</v>
      </c>
      <c r="D17" s="424"/>
      <c r="E17" s="424"/>
      <c r="F17" s="424"/>
      <c r="G17" s="2513"/>
      <c r="H17" s="2513"/>
      <c r="I17" s="2513"/>
      <c r="J17" s="2513"/>
      <c r="K17" s="2513"/>
      <c r="L17" s="2513"/>
      <c r="M17" s="2513"/>
      <c r="N17" s="2513"/>
      <c r="O17" s="2513"/>
      <c r="P17" s="130"/>
      <c r="Q17" s="402"/>
    </row>
    <row r="18" spans="2:17" ht="3.75" customHeight="1" x14ac:dyDescent="0.3">
      <c r="B18" s="370"/>
      <c r="C18" s="374"/>
      <c r="D18" s="424"/>
      <c r="E18" s="424"/>
      <c r="F18" s="424"/>
      <c r="G18" s="377"/>
      <c r="H18" s="377"/>
      <c r="I18" s="371"/>
      <c r="J18" s="377"/>
      <c r="K18" s="371"/>
      <c r="L18" s="371"/>
      <c r="M18" s="371"/>
      <c r="N18" s="371"/>
      <c r="O18" s="371"/>
      <c r="P18" s="130"/>
      <c r="Q18" s="402"/>
    </row>
    <row r="19" spans="2:17" x14ac:dyDescent="0.3">
      <c r="B19" s="370"/>
      <c r="C19" s="373" t="s">
        <v>4</v>
      </c>
      <c r="D19" s="424"/>
      <c r="E19" s="424"/>
      <c r="F19" s="424"/>
      <c r="G19" s="2513"/>
      <c r="H19" s="2513"/>
      <c r="I19" s="375" t="s">
        <v>5</v>
      </c>
      <c r="J19" s="2520"/>
      <c r="K19" s="2520"/>
      <c r="L19" s="2520"/>
      <c r="M19" s="2520"/>
      <c r="N19" s="2520"/>
      <c r="O19" s="2520"/>
      <c r="P19" s="130"/>
      <c r="Q19" s="402"/>
    </row>
    <row r="20" spans="2:17" ht="3.75" customHeight="1" x14ac:dyDescent="0.3">
      <c r="B20" s="370"/>
      <c r="C20" s="373"/>
      <c r="D20" s="424"/>
      <c r="E20" s="424"/>
      <c r="F20" s="424"/>
      <c r="G20" s="371"/>
      <c r="H20" s="371"/>
      <c r="I20" s="371"/>
      <c r="J20" s="371"/>
      <c r="K20" s="371"/>
      <c r="L20" s="371"/>
      <c r="M20" s="371"/>
      <c r="N20" s="371"/>
      <c r="O20" s="371"/>
      <c r="P20" s="130"/>
      <c r="Q20" s="402"/>
    </row>
    <row r="21" spans="2:17" x14ac:dyDescent="0.3">
      <c r="B21" s="370"/>
      <c r="C21" s="130"/>
      <c r="D21" s="424" t="s">
        <v>9</v>
      </c>
      <c r="E21" s="424"/>
      <c r="F21" s="424"/>
      <c r="G21" s="424"/>
      <c r="H21" s="424"/>
      <c r="I21" s="424"/>
      <c r="J21" s="424"/>
      <c r="K21" s="424"/>
      <c r="L21" s="398" t="s">
        <v>550</v>
      </c>
      <c r="M21" s="1875"/>
      <c r="N21" s="424"/>
      <c r="O21" s="424"/>
      <c r="P21" s="130"/>
      <c r="Q21" s="402"/>
    </row>
    <row r="22" spans="2:17" ht="7.5" customHeight="1" x14ac:dyDescent="0.3">
      <c r="B22" s="370"/>
      <c r="C22" s="130"/>
      <c r="D22" s="424"/>
      <c r="E22" s="424"/>
      <c r="F22" s="424"/>
      <c r="G22" s="424"/>
      <c r="H22" s="424"/>
      <c r="I22" s="424"/>
      <c r="J22" s="424"/>
      <c r="K22" s="424"/>
      <c r="L22" s="379"/>
      <c r="M22" s="424"/>
      <c r="N22" s="379"/>
      <c r="O22" s="424"/>
      <c r="P22" s="130"/>
      <c r="Q22" s="402"/>
    </row>
    <row r="23" spans="2:17" x14ac:dyDescent="0.3">
      <c r="B23" s="370"/>
      <c r="C23" s="162" t="s">
        <v>10</v>
      </c>
      <c r="D23" s="424"/>
      <c r="E23" s="424"/>
      <c r="F23" s="424"/>
      <c r="G23" s="2513" t="s">
        <v>1890</v>
      </c>
      <c r="H23" s="2513"/>
      <c r="I23" s="2513"/>
      <c r="J23" s="2513"/>
      <c r="K23" s="2513"/>
      <c r="L23" s="2513"/>
      <c r="M23" s="2513"/>
      <c r="N23" s="2513"/>
      <c r="O23" s="2513"/>
      <c r="P23" s="130"/>
      <c r="Q23" s="402"/>
    </row>
    <row r="24" spans="2:17" x14ac:dyDescent="0.3">
      <c r="B24" s="370"/>
      <c r="C24" s="130"/>
      <c r="D24" s="424"/>
      <c r="E24" s="424"/>
      <c r="F24" s="424"/>
      <c r="G24" s="377"/>
      <c r="H24" s="377"/>
      <c r="I24" s="377"/>
      <c r="J24" s="377"/>
      <c r="K24" s="377"/>
      <c r="L24" s="377"/>
      <c r="M24" s="377"/>
      <c r="N24" s="377"/>
      <c r="O24" s="377"/>
      <c r="P24" s="130"/>
      <c r="Q24" s="402"/>
    </row>
    <row r="25" spans="2:17" ht="15" thickBot="1" x14ac:dyDescent="0.35">
      <c r="B25" s="370"/>
      <c r="C25" s="380" t="s">
        <v>11</v>
      </c>
      <c r="D25" s="381"/>
      <c r="E25" s="381"/>
      <c r="F25" s="381"/>
      <c r="G25" s="381"/>
      <c r="H25" s="381"/>
      <c r="I25" s="381"/>
      <c r="J25" s="381"/>
      <c r="K25" s="381"/>
      <c r="L25" s="381"/>
      <c r="M25" s="381"/>
      <c r="N25" s="381"/>
      <c r="O25" s="381"/>
      <c r="P25" s="130"/>
      <c r="Q25" s="402"/>
    </row>
    <row r="26" spans="2:17" ht="3.75" customHeight="1" x14ac:dyDescent="0.3">
      <c r="B26" s="370"/>
      <c r="C26" s="382"/>
      <c r="D26" s="383"/>
      <c r="E26" s="424"/>
      <c r="F26" s="424"/>
      <c r="G26" s="371"/>
      <c r="H26" s="371"/>
      <c r="I26" s="371"/>
      <c r="J26" s="371"/>
      <c r="K26" s="371"/>
      <c r="L26" s="371"/>
      <c r="M26" s="371"/>
      <c r="N26" s="371"/>
      <c r="O26" s="371"/>
      <c r="P26" s="130"/>
      <c r="Q26" s="402"/>
    </row>
    <row r="27" spans="2:17" x14ac:dyDescent="0.3">
      <c r="B27" s="370"/>
      <c r="C27" s="2016" t="s">
        <v>1847</v>
      </c>
      <c r="D27" s="1997"/>
      <c r="E27" s="1998"/>
      <c r="F27" s="1998"/>
      <c r="G27" s="1999"/>
      <c r="H27" s="1999"/>
      <c r="I27" s="1999"/>
      <c r="J27" s="1999"/>
      <c r="K27" s="1999"/>
      <c r="L27" s="1999"/>
      <c r="M27" s="1999"/>
      <c r="N27" s="1999"/>
      <c r="O27" s="1999"/>
      <c r="P27" s="2000"/>
      <c r="Q27" s="402"/>
    </row>
    <row r="28" spans="2:17" ht="3.75" customHeight="1" x14ac:dyDescent="0.3">
      <c r="B28" s="370"/>
      <c r="C28" s="2001"/>
      <c r="D28" s="383"/>
      <c r="E28" s="424"/>
      <c r="F28" s="424"/>
      <c r="G28" s="2523"/>
      <c r="H28" s="2523"/>
      <c r="I28" s="2523"/>
      <c r="J28" s="2523"/>
      <c r="K28" s="2523"/>
      <c r="L28" s="2523"/>
      <c r="M28" s="2523"/>
      <c r="N28" s="2523"/>
      <c r="O28" s="2523"/>
      <c r="P28" s="2002"/>
      <c r="Q28" s="402"/>
    </row>
    <row r="29" spans="2:17" x14ac:dyDescent="0.3">
      <c r="B29" s="370"/>
      <c r="C29" s="2001"/>
      <c r="D29" s="2516" t="s">
        <v>1848</v>
      </c>
      <c r="E29" s="2516"/>
      <c r="F29" s="424"/>
      <c r="G29" s="2513" t="s">
        <v>1860</v>
      </c>
      <c r="H29" s="2513"/>
      <c r="I29" s="2513"/>
      <c r="J29" s="2513"/>
      <c r="K29" s="2513"/>
      <c r="L29" s="2513"/>
      <c r="M29" s="2513"/>
      <c r="N29" s="2513"/>
      <c r="O29" s="2513"/>
      <c r="P29" s="2002"/>
      <c r="Q29" s="402"/>
    </row>
    <row r="30" spans="2:17" ht="3.75" customHeight="1" x14ac:dyDescent="0.3">
      <c r="B30" s="370"/>
      <c r="C30" s="2001"/>
      <c r="D30" s="383"/>
      <c r="E30" s="424"/>
      <c r="F30" s="424"/>
      <c r="G30" s="371"/>
      <c r="H30" s="371"/>
      <c r="I30" s="371"/>
      <c r="J30" s="371"/>
      <c r="K30" s="371"/>
      <c r="L30" s="371"/>
      <c r="M30" s="371"/>
      <c r="N30" s="371"/>
      <c r="O30" s="371"/>
      <c r="P30" s="2002"/>
      <c r="Q30" s="402"/>
    </row>
    <row r="31" spans="2:17" x14ac:dyDescent="0.3">
      <c r="B31" s="370"/>
      <c r="C31" s="2001"/>
      <c r="D31" s="2516" t="s">
        <v>1849</v>
      </c>
      <c r="E31" s="2516"/>
      <c r="F31" s="424"/>
      <c r="G31" s="2513" t="s">
        <v>1887</v>
      </c>
      <c r="H31" s="2513"/>
      <c r="I31" s="2513"/>
      <c r="J31" s="2513"/>
      <c r="K31" s="2513"/>
      <c r="L31" s="2513"/>
      <c r="M31" s="2513"/>
      <c r="N31" s="2513"/>
      <c r="O31" s="2513"/>
      <c r="P31" s="2002"/>
      <c r="Q31" s="402"/>
    </row>
    <row r="32" spans="2:17" ht="3.75" customHeight="1" x14ac:dyDescent="0.3">
      <c r="B32" s="370"/>
      <c r="C32" s="2003"/>
      <c r="D32" s="1992"/>
      <c r="E32" s="424"/>
      <c r="F32" s="424"/>
      <c r="G32" s="377"/>
      <c r="H32" s="377"/>
      <c r="I32" s="377"/>
      <c r="J32" s="377"/>
      <c r="K32" s="377"/>
      <c r="L32" s="377"/>
      <c r="M32" s="377"/>
      <c r="N32" s="377"/>
      <c r="O32" s="377"/>
      <c r="P32" s="2002"/>
      <c r="Q32" s="402"/>
    </row>
    <row r="33" spans="2:17" x14ac:dyDescent="0.3">
      <c r="B33" s="370"/>
      <c r="C33" s="2003"/>
      <c r="D33" s="1992" t="s">
        <v>12</v>
      </c>
      <c r="E33" s="424"/>
      <c r="F33" s="424"/>
      <c r="G33" s="2520" t="s">
        <v>1888</v>
      </c>
      <c r="H33" s="2520"/>
      <c r="I33" s="375" t="s">
        <v>13</v>
      </c>
      <c r="J33" s="2513" t="s">
        <v>1257</v>
      </c>
      <c r="K33" s="2513"/>
      <c r="L33" s="375" t="s">
        <v>14</v>
      </c>
      <c r="M33" s="2513">
        <v>98115</v>
      </c>
      <c r="N33" s="2513"/>
      <c r="O33" s="2513"/>
      <c r="P33" s="2002"/>
      <c r="Q33" s="402"/>
    </row>
    <row r="34" spans="2:17" ht="3.75" customHeight="1" x14ac:dyDescent="0.3">
      <c r="B34" s="370"/>
      <c r="C34" s="2001"/>
      <c r="D34" s="1992"/>
      <c r="E34" s="424"/>
      <c r="F34" s="424"/>
      <c r="G34" s="371"/>
      <c r="H34" s="371"/>
      <c r="I34" s="371"/>
      <c r="J34" s="371"/>
      <c r="K34" s="371"/>
      <c r="L34" s="371"/>
      <c r="M34" s="371"/>
      <c r="N34" s="371"/>
      <c r="O34" s="371"/>
      <c r="P34" s="2002"/>
      <c r="Q34" s="402"/>
    </row>
    <row r="35" spans="2:17" x14ac:dyDescent="0.3">
      <c r="B35" s="370"/>
      <c r="C35" s="2001"/>
      <c r="D35" s="1992" t="s">
        <v>15</v>
      </c>
      <c r="E35" s="424"/>
      <c r="F35" s="424"/>
      <c r="G35" s="2513" t="s">
        <v>1891</v>
      </c>
      <c r="H35" s="2513"/>
      <c r="I35" s="424"/>
      <c r="J35" s="424"/>
      <c r="K35" s="375" t="s">
        <v>16</v>
      </c>
      <c r="L35" s="2513" t="s">
        <v>1892</v>
      </c>
      <c r="M35" s="2513"/>
      <c r="N35" s="2513"/>
      <c r="O35" s="2513"/>
      <c r="P35" s="2002"/>
      <c r="Q35" s="402"/>
    </row>
    <row r="36" spans="2:17" ht="3.75" customHeight="1" x14ac:dyDescent="0.3">
      <c r="B36" s="370"/>
      <c r="C36" s="2001"/>
      <c r="D36" s="1992"/>
      <c r="E36" s="424"/>
      <c r="F36" s="424"/>
      <c r="G36" s="371"/>
      <c r="H36" s="371"/>
      <c r="I36" s="371"/>
      <c r="J36" s="371"/>
      <c r="K36" s="371"/>
      <c r="L36" s="371"/>
      <c r="M36" s="371"/>
      <c r="N36" s="371"/>
      <c r="O36" s="371"/>
      <c r="P36" s="2002"/>
      <c r="Q36" s="402"/>
    </row>
    <row r="37" spans="2:17" x14ac:dyDescent="0.3">
      <c r="B37" s="370"/>
      <c r="C37" s="2001"/>
      <c r="D37" s="1992" t="s">
        <v>17</v>
      </c>
      <c r="E37" s="424"/>
      <c r="F37" s="424"/>
      <c r="G37" s="1990" t="s">
        <v>1893</v>
      </c>
      <c r="H37" s="375" t="s">
        <v>18</v>
      </c>
      <c r="I37" s="1991">
        <v>47.677</v>
      </c>
      <c r="J37" s="424"/>
      <c r="K37" s="375" t="s">
        <v>19</v>
      </c>
      <c r="L37" s="2514">
        <v>-122.313</v>
      </c>
      <c r="M37" s="2513"/>
      <c r="N37" s="2513"/>
      <c r="O37" s="2513"/>
      <c r="P37" s="2002"/>
      <c r="Q37" s="402"/>
    </row>
    <row r="38" spans="2:17" ht="3.75" customHeight="1" x14ac:dyDescent="0.3">
      <c r="B38" s="370"/>
      <c r="C38" s="2004"/>
      <c r="D38" s="1992"/>
      <c r="E38" s="424"/>
      <c r="F38" s="424"/>
      <c r="G38" s="371"/>
      <c r="H38" s="371"/>
      <c r="I38" s="371"/>
      <c r="J38" s="371"/>
      <c r="K38" s="371"/>
      <c r="L38" s="371"/>
      <c r="M38" s="371"/>
      <c r="N38" s="371"/>
      <c r="O38" s="371"/>
      <c r="P38" s="2002"/>
      <c r="Q38" s="402"/>
    </row>
    <row r="39" spans="2:17" x14ac:dyDescent="0.3">
      <c r="B39" s="370"/>
      <c r="C39" s="2001"/>
      <c r="D39" s="1992" t="s">
        <v>20</v>
      </c>
      <c r="E39" s="424"/>
      <c r="F39" s="424"/>
      <c r="G39" s="2513" t="s">
        <v>2178</v>
      </c>
      <c r="H39" s="2513"/>
      <c r="I39" s="2513"/>
      <c r="J39" s="2513"/>
      <c r="K39" s="2513"/>
      <c r="L39" s="2513"/>
      <c r="M39" s="2513"/>
      <c r="N39" s="2513"/>
      <c r="O39" s="2513"/>
      <c r="P39" s="2002"/>
      <c r="Q39" s="402"/>
    </row>
    <row r="40" spans="2:17" ht="7.5" customHeight="1" x14ac:dyDescent="0.3">
      <c r="B40" s="370"/>
      <c r="C40" s="2004"/>
      <c r="D40" s="424"/>
      <c r="E40" s="424"/>
      <c r="F40" s="424"/>
      <c r="G40" s="371"/>
      <c r="H40" s="371"/>
      <c r="I40" s="371"/>
      <c r="J40" s="371"/>
      <c r="K40" s="371"/>
      <c r="L40" s="371"/>
      <c r="M40" s="371"/>
      <c r="N40" s="371"/>
      <c r="O40" s="371"/>
      <c r="P40" s="2002"/>
      <c r="Q40" s="402"/>
    </row>
    <row r="41" spans="2:17" ht="15" thickBot="1" x14ac:dyDescent="0.35">
      <c r="B41" s="370"/>
      <c r="C41" s="2005" t="s">
        <v>1850</v>
      </c>
      <c r="D41" s="1996"/>
      <c r="E41" s="1996"/>
      <c r="F41" s="1996"/>
      <c r="G41" s="1996"/>
      <c r="H41" s="1996"/>
      <c r="I41" s="1996"/>
      <c r="J41" s="1996"/>
      <c r="K41" s="1996"/>
      <c r="L41" s="1996"/>
      <c r="M41" s="1996"/>
      <c r="N41" s="1996"/>
      <c r="O41" s="1996"/>
      <c r="P41" s="2015"/>
      <c r="Q41" s="402"/>
    </row>
    <row r="42" spans="2:17" ht="3.75" customHeight="1" x14ac:dyDescent="0.3">
      <c r="B42" s="370"/>
      <c r="C42" s="2006"/>
      <c r="D42" s="424"/>
      <c r="E42" s="1992"/>
      <c r="F42" s="1992"/>
      <c r="G42" s="1992"/>
      <c r="H42" s="1992"/>
      <c r="I42" s="1992"/>
      <c r="J42" s="1992"/>
      <c r="K42" s="1992"/>
      <c r="L42" s="424"/>
      <c r="M42" s="424"/>
      <c r="N42" s="424"/>
      <c r="O42" s="424"/>
      <c r="P42" s="2002"/>
      <c r="Q42" s="402"/>
    </row>
    <row r="43" spans="2:17" x14ac:dyDescent="0.3">
      <c r="B43" s="370"/>
      <c r="C43" s="2006"/>
      <c r="D43" s="424"/>
      <c r="E43" s="1993" t="s">
        <v>21</v>
      </c>
      <c r="F43" s="2007"/>
      <c r="G43" s="2518" t="s">
        <v>22</v>
      </c>
      <c r="H43" s="2517"/>
      <c r="I43" s="2519"/>
      <c r="J43" s="2007"/>
      <c r="K43" s="379"/>
      <c r="L43" s="1993" t="s">
        <v>23</v>
      </c>
      <c r="M43" s="2007" t="s">
        <v>571</v>
      </c>
      <c r="N43" s="1995"/>
      <c r="O43" s="424"/>
      <c r="P43" s="2002"/>
      <c r="Q43" s="402"/>
    </row>
    <row r="44" spans="2:17" ht="3.75" customHeight="1" x14ac:dyDescent="0.3">
      <c r="B44" s="370"/>
      <c r="C44" s="2006"/>
      <c r="D44" s="424"/>
      <c r="E44" s="1993"/>
      <c r="F44" s="385"/>
      <c r="G44" s="2517"/>
      <c r="H44" s="2517"/>
      <c r="I44" s="2517"/>
      <c r="J44" s="2008"/>
      <c r="K44" s="385"/>
      <c r="L44" s="1992"/>
      <c r="M44" s="1992"/>
      <c r="N44" s="1995"/>
      <c r="O44" s="424"/>
      <c r="P44" s="2002"/>
      <c r="Q44" s="402"/>
    </row>
    <row r="45" spans="2:17" x14ac:dyDescent="0.3">
      <c r="B45" s="370"/>
      <c r="C45" s="2006"/>
      <c r="D45" s="424"/>
      <c r="E45" s="1993" t="s">
        <v>24</v>
      </c>
      <c r="F45" s="2007"/>
      <c r="G45" s="2518" t="s">
        <v>25</v>
      </c>
      <c r="H45" s="2517"/>
      <c r="I45" s="2519"/>
      <c r="J45" s="2007"/>
      <c r="K45" s="386"/>
      <c r="L45" s="1993" t="s">
        <v>26</v>
      </c>
      <c r="M45" s="2007"/>
      <c r="N45" s="1995"/>
      <c r="O45" s="424"/>
      <c r="P45" s="2002"/>
      <c r="Q45" s="402"/>
    </row>
    <row r="46" spans="2:17" ht="3.75" customHeight="1" x14ac:dyDescent="0.3">
      <c r="B46" s="370"/>
      <c r="C46" s="2006"/>
      <c r="D46" s="424"/>
      <c r="E46" s="1993"/>
      <c r="F46" s="385"/>
      <c r="G46" s="2517"/>
      <c r="H46" s="2517"/>
      <c r="I46" s="2517"/>
      <c r="J46" s="2008"/>
      <c r="K46" s="385"/>
      <c r="L46" s="424"/>
      <c r="M46" s="424"/>
      <c r="N46" s="424"/>
      <c r="O46" s="424"/>
      <c r="P46" s="2002"/>
      <c r="Q46" s="402"/>
    </row>
    <row r="47" spans="2:17" x14ac:dyDescent="0.3">
      <c r="B47" s="370"/>
      <c r="C47" s="2006"/>
      <c r="D47" s="424"/>
      <c r="E47" s="1993" t="s">
        <v>27</v>
      </c>
      <c r="F47" s="2007" t="s">
        <v>571</v>
      </c>
      <c r="G47" s="2518" t="s">
        <v>28</v>
      </c>
      <c r="H47" s="2517"/>
      <c r="I47" s="2519"/>
      <c r="J47" s="2007"/>
      <c r="K47" s="379"/>
      <c r="L47" s="385"/>
      <c r="M47" s="385"/>
      <c r="N47" s="424"/>
      <c r="O47" s="424"/>
      <c r="P47" s="2002"/>
      <c r="Q47" s="402"/>
    </row>
    <row r="48" spans="2:17" ht="3.75" customHeight="1" x14ac:dyDescent="0.3">
      <c r="B48" s="370"/>
      <c r="C48" s="2006"/>
      <c r="D48" s="424"/>
      <c r="E48" s="385"/>
      <c r="F48" s="385"/>
      <c r="G48" s="385"/>
      <c r="H48" s="385"/>
      <c r="I48" s="385"/>
      <c r="J48" s="385"/>
      <c r="K48" s="385"/>
      <c r="L48" s="424"/>
      <c r="M48" s="424"/>
      <c r="N48" s="424"/>
      <c r="O48" s="424"/>
      <c r="P48" s="2002"/>
      <c r="Q48" s="402"/>
    </row>
    <row r="49" spans="2:17" x14ac:dyDescent="0.3">
      <c r="B49" s="370"/>
      <c r="C49" s="2006"/>
      <c r="D49" s="424"/>
      <c r="E49" s="1994" t="s">
        <v>29</v>
      </c>
      <c r="F49" s="2007"/>
      <c r="G49" s="2518" t="s">
        <v>30</v>
      </c>
      <c r="H49" s="2517"/>
      <c r="I49" s="2519"/>
      <c r="J49" s="2007"/>
      <c r="K49" s="387"/>
      <c r="L49" s="424"/>
      <c r="M49" s="424"/>
      <c r="N49" s="424"/>
      <c r="O49" s="424"/>
      <c r="P49" s="2002"/>
      <c r="Q49" s="402"/>
    </row>
    <row r="50" spans="2:17" x14ac:dyDescent="0.3">
      <c r="B50" s="370"/>
      <c r="C50" s="2009"/>
      <c r="D50" s="2010"/>
      <c r="E50" s="2011"/>
      <c r="F50" s="2012"/>
      <c r="G50" s="2011"/>
      <c r="H50" s="2011"/>
      <c r="I50" s="2011"/>
      <c r="J50" s="2012"/>
      <c r="K50" s="2013"/>
      <c r="L50" s="2010"/>
      <c r="M50" s="2010"/>
      <c r="N50" s="2010"/>
      <c r="O50" s="2010"/>
      <c r="P50" s="2014"/>
      <c r="Q50" s="402"/>
    </row>
    <row r="51" spans="2:17" ht="3.75" customHeight="1" x14ac:dyDescent="0.3">
      <c r="B51" s="370"/>
      <c r="C51" s="130"/>
      <c r="D51" s="424"/>
      <c r="E51" s="1868"/>
      <c r="F51" s="379"/>
      <c r="G51" s="1868"/>
      <c r="H51" s="1868"/>
      <c r="I51" s="1868"/>
      <c r="J51" s="387"/>
      <c r="K51" s="387"/>
      <c r="L51" s="424"/>
      <c r="M51" s="424"/>
      <c r="N51" s="424"/>
      <c r="O51" s="424"/>
      <c r="P51" s="130"/>
      <c r="Q51" s="402"/>
    </row>
    <row r="52" spans="2:17" ht="3.75" customHeight="1" x14ac:dyDescent="0.3">
      <c r="B52" s="370"/>
      <c r="C52" s="382"/>
      <c r="D52" s="383"/>
      <c r="E52" s="424"/>
      <c r="F52" s="424"/>
      <c r="G52" s="371"/>
      <c r="H52" s="371"/>
      <c r="I52" s="371"/>
      <c r="J52" s="371"/>
      <c r="K52" s="371"/>
      <c r="L52" s="371"/>
      <c r="M52" s="371"/>
      <c r="N52" s="371"/>
      <c r="O52" s="371"/>
      <c r="P52" s="130"/>
      <c r="Q52" s="402"/>
    </row>
    <row r="53" spans="2:17" x14ac:dyDescent="0.3">
      <c r="B53" s="370"/>
      <c r="C53" s="2016" t="s">
        <v>1851</v>
      </c>
      <c r="D53" s="1997"/>
      <c r="E53" s="1998"/>
      <c r="F53" s="1998"/>
      <c r="G53" s="1999"/>
      <c r="H53" s="1999"/>
      <c r="I53" s="1999"/>
      <c r="J53" s="1999"/>
      <c r="K53" s="1999"/>
      <c r="L53" s="1999"/>
      <c r="M53" s="1999"/>
      <c r="N53" s="1999"/>
      <c r="O53" s="1999"/>
      <c r="P53" s="2000"/>
      <c r="Q53" s="402"/>
    </row>
    <row r="54" spans="2:17" ht="3.75" customHeight="1" x14ac:dyDescent="0.3">
      <c r="B54" s="370"/>
      <c r="C54" s="2001"/>
      <c r="D54" s="383"/>
      <c r="E54" s="424"/>
      <c r="F54" s="424"/>
      <c r="G54" s="2523"/>
      <c r="H54" s="2523"/>
      <c r="I54" s="2523"/>
      <c r="J54" s="2523"/>
      <c r="K54" s="2523"/>
      <c r="L54" s="2523"/>
      <c r="M54" s="2523"/>
      <c r="N54" s="2523"/>
      <c r="O54" s="2523"/>
      <c r="P54" s="2002"/>
      <c r="Q54" s="402"/>
    </row>
    <row r="55" spans="2:17" x14ac:dyDescent="0.3">
      <c r="B55" s="370"/>
      <c r="C55" s="2001"/>
      <c r="D55" s="2516" t="s">
        <v>1848</v>
      </c>
      <c r="E55" s="2516"/>
      <c r="F55" s="424"/>
      <c r="G55" s="2513" t="s">
        <v>1861</v>
      </c>
      <c r="H55" s="2513"/>
      <c r="I55" s="2513"/>
      <c r="J55" s="2513"/>
      <c r="K55" s="2513"/>
      <c r="L55" s="2513"/>
      <c r="M55" s="2513"/>
      <c r="N55" s="2513"/>
      <c r="O55" s="2513"/>
      <c r="P55" s="2002"/>
      <c r="Q55" s="402"/>
    </row>
    <row r="56" spans="2:17" ht="3.75" customHeight="1" x14ac:dyDescent="0.3">
      <c r="B56" s="370"/>
      <c r="C56" s="2001"/>
      <c r="D56" s="383"/>
      <c r="E56" s="424"/>
      <c r="F56" s="424"/>
      <c r="G56" s="371"/>
      <c r="H56" s="371"/>
      <c r="I56" s="371"/>
      <c r="J56" s="371"/>
      <c r="K56" s="371"/>
      <c r="L56" s="371"/>
      <c r="M56" s="371"/>
      <c r="N56" s="371"/>
      <c r="O56" s="371"/>
      <c r="P56" s="2002"/>
      <c r="Q56" s="402"/>
    </row>
    <row r="57" spans="2:17" x14ac:dyDescent="0.3">
      <c r="B57" s="370"/>
      <c r="C57" s="2001"/>
      <c r="D57" s="2516" t="s">
        <v>1849</v>
      </c>
      <c r="E57" s="2516"/>
      <c r="F57" s="424"/>
      <c r="G57" s="2513" t="s">
        <v>1887</v>
      </c>
      <c r="H57" s="2513"/>
      <c r="I57" s="2513"/>
      <c r="J57" s="2513"/>
      <c r="K57" s="2513"/>
      <c r="L57" s="2513"/>
      <c r="M57" s="2513"/>
      <c r="N57" s="2513"/>
      <c r="O57" s="2513"/>
      <c r="P57" s="2002"/>
      <c r="Q57" s="402"/>
    </row>
    <row r="58" spans="2:17" ht="3.75" customHeight="1" x14ac:dyDescent="0.3">
      <c r="B58" s="370"/>
      <c r="C58" s="2003"/>
      <c r="D58" s="1992"/>
      <c r="E58" s="424"/>
      <c r="F58" s="424"/>
      <c r="G58" s="377"/>
      <c r="H58" s="377"/>
      <c r="I58" s="377"/>
      <c r="J58" s="377"/>
      <c r="K58" s="377"/>
      <c r="L58" s="377"/>
      <c r="M58" s="377"/>
      <c r="N58" s="377"/>
      <c r="O58" s="377"/>
      <c r="P58" s="2002"/>
      <c r="Q58" s="402"/>
    </row>
    <row r="59" spans="2:17" x14ac:dyDescent="0.3">
      <c r="B59" s="370"/>
      <c r="C59" s="2003"/>
      <c r="D59" s="1992" t="s">
        <v>12</v>
      </c>
      <c r="E59" s="424"/>
      <c r="F59" s="424"/>
      <c r="G59" s="2520" t="s">
        <v>1888</v>
      </c>
      <c r="H59" s="2520"/>
      <c r="I59" s="375" t="s">
        <v>13</v>
      </c>
      <c r="J59" s="2513" t="s">
        <v>1257</v>
      </c>
      <c r="K59" s="2513"/>
      <c r="L59" s="375" t="s">
        <v>14</v>
      </c>
      <c r="M59" s="2513">
        <v>98115</v>
      </c>
      <c r="N59" s="2513"/>
      <c r="O59" s="2513"/>
      <c r="P59" s="2002"/>
      <c r="Q59" s="402"/>
    </row>
    <row r="60" spans="2:17" ht="3.75" customHeight="1" x14ac:dyDescent="0.3">
      <c r="B60" s="370"/>
      <c r="C60" s="2001"/>
      <c r="D60" s="1992"/>
      <c r="E60" s="424"/>
      <c r="F60" s="424"/>
      <c r="G60" s="371"/>
      <c r="H60" s="371"/>
      <c r="I60" s="371"/>
      <c r="J60" s="371"/>
      <c r="K60" s="371"/>
      <c r="L60" s="371"/>
      <c r="M60" s="371"/>
      <c r="N60" s="371"/>
      <c r="O60" s="371"/>
      <c r="P60" s="2002"/>
      <c r="Q60" s="402"/>
    </row>
    <row r="61" spans="2:17" x14ac:dyDescent="0.3">
      <c r="B61" s="370"/>
      <c r="C61" s="2001"/>
      <c r="D61" s="1992" t="s">
        <v>15</v>
      </c>
      <c r="E61" s="424"/>
      <c r="F61" s="424"/>
      <c r="G61" s="2513" t="s">
        <v>1891</v>
      </c>
      <c r="H61" s="2513"/>
      <c r="I61" s="424"/>
      <c r="J61" s="424"/>
      <c r="K61" s="375" t="s">
        <v>16</v>
      </c>
      <c r="L61" s="2513" t="s">
        <v>1892</v>
      </c>
      <c r="M61" s="2513"/>
      <c r="N61" s="2513"/>
      <c r="O61" s="2513"/>
      <c r="P61" s="2002"/>
      <c r="Q61" s="402"/>
    </row>
    <row r="62" spans="2:17" ht="3.75" customHeight="1" x14ac:dyDescent="0.3">
      <c r="B62" s="370"/>
      <c r="C62" s="2001"/>
      <c r="D62" s="1992"/>
      <c r="E62" s="424"/>
      <c r="F62" s="424"/>
      <c r="G62" s="371"/>
      <c r="H62" s="371"/>
      <c r="I62" s="371"/>
      <c r="J62" s="371"/>
      <c r="K62" s="371"/>
      <c r="L62" s="371"/>
      <c r="M62" s="371"/>
      <c r="N62" s="371"/>
      <c r="O62" s="371"/>
      <c r="P62" s="2002"/>
      <c r="Q62" s="402"/>
    </row>
    <row r="63" spans="2:17" x14ac:dyDescent="0.3">
      <c r="B63" s="370"/>
      <c r="C63" s="2001"/>
      <c r="D63" s="1992" t="s">
        <v>17</v>
      </c>
      <c r="E63" s="424"/>
      <c r="F63" s="424"/>
      <c r="G63" s="2136" t="s">
        <v>1893</v>
      </c>
      <c r="H63" s="375" t="s">
        <v>18</v>
      </c>
      <c r="I63" s="2137">
        <v>47.677</v>
      </c>
      <c r="J63" s="424"/>
      <c r="K63" s="375" t="s">
        <v>19</v>
      </c>
      <c r="L63" s="2514">
        <v>-122.313</v>
      </c>
      <c r="M63" s="2513"/>
      <c r="N63" s="2513"/>
      <c r="O63" s="2513"/>
      <c r="P63" s="2002"/>
      <c r="Q63" s="402"/>
    </row>
    <row r="64" spans="2:17" ht="3.75" customHeight="1" x14ac:dyDescent="0.3">
      <c r="B64" s="370"/>
      <c r="C64" s="2004"/>
      <c r="D64" s="1992"/>
      <c r="E64" s="424"/>
      <c r="F64" s="424"/>
      <c r="G64" s="371"/>
      <c r="H64" s="371"/>
      <c r="I64" s="371"/>
      <c r="J64" s="371"/>
      <c r="K64" s="371"/>
      <c r="L64" s="371"/>
      <c r="M64" s="371"/>
      <c r="N64" s="371"/>
      <c r="O64" s="371"/>
      <c r="P64" s="2002"/>
      <c r="Q64" s="402"/>
    </row>
    <row r="65" spans="2:17" x14ac:dyDescent="0.3">
      <c r="B65" s="370"/>
      <c r="C65" s="2001"/>
      <c r="D65" s="1992" t="s">
        <v>20</v>
      </c>
      <c r="E65" s="424"/>
      <c r="F65" s="424"/>
      <c r="G65" s="2513" t="s">
        <v>2178</v>
      </c>
      <c r="H65" s="2513"/>
      <c r="I65" s="2513"/>
      <c r="J65" s="2513"/>
      <c r="K65" s="2513"/>
      <c r="L65" s="2513"/>
      <c r="M65" s="2513"/>
      <c r="N65" s="2513"/>
      <c r="O65" s="2513"/>
      <c r="P65" s="2002"/>
      <c r="Q65" s="402"/>
    </row>
    <row r="66" spans="2:17" ht="7.5" customHeight="1" x14ac:dyDescent="0.3">
      <c r="B66" s="370"/>
      <c r="C66" s="2004"/>
      <c r="D66" s="424"/>
      <c r="E66" s="424"/>
      <c r="F66" s="424"/>
      <c r="G66" s="371"/>
      <c r="H66" s="371"/>
      <c r="I66" s="371"/>
      <c r="J66" s="371"/>
      <c r="K66" s="371"/>
      <c r="L66" s="371"/>
      <c r="M66" s="371"/>
      <c r="N66" s="371"/>
      <c r="O66" s="371"/>
      <c r="P66" s="2002"/>
      <c r="Q66" s="402"/>
    </row>
    <row r="67" spans="2:17" ht="15" thickBot="1" x14ac:dyDescent="0.35">
      <c r="B67" s="370"/>
      <c r="C67" s="2005" t="s">
        <v>1850</v>
      </c>
      <c r="D67" s="1996"/>
      <c r="E67" s="1996"/>
      <c r="F67" s="1996"/>
      <c r="G67" s="1996"/>
      <c r="H67" s="1996"/>
      <c r="I67" s="1996"/>
      <c r="J67" s="1996"/>
      <c r="K67" s="1996"/>
      <c r="L67" s="1996"/>
      <c r="M67" s="1996"/>
      <c r="N67" s="1996"/>
      <c r="O67" s="1996"/>
      <c r="P67" s="2015"/>
      <c r="Q67" s="402"/>
    </row>
    <row r="68" spans="2:17" ht="3.75" customHeight="1" x14ac:dyDescent="0.3">
      <c r="B68" s="370"/>
      <c r="C68" s="2006"/>
      <c r="D68" s="424"/>
      <c r="E68" s="1992"/>
      <c r="F68" s="1992"/>
      <c r="G68" s="1992"/>
      <c r="H68" s="1992"/>
      <c r="I68" s="1992"/>
      <c r="J68" s="1992"/>
      <c r="K68" s="1992"/>
      <c r="L68" s="424"/>
      <c r="M68" s="424"/>
      <c r="N68" s="424"/>
      <c r="O68" s="424"/>
      <c r="P68" s="2002"/>
      <c r="Q68" s="402"/>
    </row>
    <row r="69" spans="2:17" x14ac:dyDescent="0.3">
      <c r="B69" s="370"/>
      <c r="C69" s="2006"/>
      <c r="D69" s="424"/>
      <c r="E69" s="1993" t="s">
        <v>21</v>
      </c>
      <c r="F69" s="2007"/>
      <c r="G69" s="2518" t="s">
        <v>22</v>
      </c>
      <c r="H69" s="2517"/>
      <c r="I69" s="2519"/>
      <c r="J69" s="2007"/>
      <c r="K69" s="379"/>
      <c r="L69" s="1993" t="s">
        <v>23</v>
      </c>
      <c r="M69" s="2007" t="s">
        <v>571</v>
      </c>
      <c r="N69" s="1995"/>
      <c r="O69" s="424"/>
      <c r="P69" s="2002"/>
      <c r="Q69" s="402"/>
    </row>
    <row r="70" spans="2:17" ht="3.75" customHeight="1" x14ac:dyDescent="0.3">
      <c r="B70" s="370"/>
      <c r="C70" s="2006"/>
      <c r="D70" s="424"/>
      <c r="E70" s="1993"/>
      <c r="F70" s="385"/>
      <c r="G70" s="2517"/>
      <c r="H70" s="2517"/>
      <c r="I70" s="2517"/>
      <c r="J70" s="2008"/>
      <c r="K70" s="385"/>
      <c r="L70" s="1992"/>
      <c r="M70" s="1992"/>
      <c r="N70" s="1995"/>
      <c r="O70" s="424"/>
      <c r="P70" s="2002"/>
      <c r="Q70" s="402"/>
    </row>
    <row r="71" spans="2:17" x14ac:dyDescent="0.3">
      <c r="B71" s="370"/>
      <c r="C71" s="2006"/>
      <c r="D71" s="424"/>
      <c r="E71" s="1993" t="s">
        <v>24</v>
      </c>
      <c r="F71" s="2007"/>
      <c r="G71" s="2518" t="s">
        <v>25</v>
      </c>
      <c r="H71" s="2517"/>
      <c r="I71" s="2519"/>
      <c r="J71" s="2007"/>
      <c r="K71" s="386"/>
      <c r="L71" s="1993" t="s">
        <v>26</v>
      </c>
      <c r="M71" s="2007"/>
      <c r="N71" s="1995"/>
      <c r="O71" s="424"/>
      <c r="P71" s="2002"/>
      <c r="Q71" s="402"/>
    </row>
    <row r="72" spans="2:17" ht="3.75" customHeight="1" x14ac:dyDescent="0.3">
      <c r="B72" s="370"/>
      <c r="C72" s="2006"/>
      <c r="D72" s="424"/>
      <c r="E72" s="1993"/>
      <c r="F72" s="385"/>
      <c r="G72" s="2517"/>
      <c r="H72" s="2517"/>
      <c r="I72" s="2517"/>
      <c r="J72" s="2008"/>
      <c r="K72" s="385"/>
      <c r="L72" s="424"/>
      <c r="M72" s="424"/>
      <c r="N72" s="424"/>
      <c r="O72" s="424"/>
      <c r="P72" s="2002"/>
      <c r="Q72" s="402"/>
    </row>
    <row r="73" spans="2:17" x14ac:dyDescent="0.3">
      <c r="B73" s="370"/>
      <c r="C73" s="2006"/>
      <c r="D73" s="424"/>
      <c r="E73" s="1993" t="s">
        <v>27</v>
      </c>
      <c r="F73" s="2007" t="s">
        <v>571</v>
      </c>
      <c r="G73" s="2518" t="s">
        <v>28</v>
      </c>
      <c r="H73" s="2517"/>
      <c r="I73" s="2519"/>
      <c r="J73" s="2007"/>
      <c r="K73" s="379"/>
      <c r="L73" s="385"/>
      <c r="M73" s="385"/>
      <c r="N73" s="424"/>
      <c r="O73" s="424"/>
      <c r="P73" s="2002"/>
      <c r="Q73" s="402"/>
    </row>
    <row r="74" spans="2:17" ht="3.75" customHeight="1" x14ac:dyDescent="0.3">
      <c r="B74" s="370"/>
      <c r="C74" s="2006"/>
      <c r="D74" s="424"/>
      <c r="E74" s="385"/>
      <c r="F74" s="385"/>
      <c r="G74" s="385"/>
      <c r="H74" s="385"/>
      <c r="I74" s="385"/>
      <c r="J74" s="385"/>
      <c r="K74" s="385"/>
      <c r="L74" s="424"/>
      <c r="M74" s="424"/>
      <c r="N74" s="424"/>
      <c r="O74" s="424"/>
      <c r="P74" s="2002"/>
      <c r="Q74" s="402"/>
    </row>
    <row r="75" spans="2:17" x14ac:dyDescent="0.3">
      <c r="B75" s="370"/>
      <c r="C75" s="2006"/>
      <c r="D75" s="424"/>
      <c r="E75" s="1994" t="s">
        <v>29</v>
      </c>
      <c r="F75" s="2007"/>
      <c r="G75" s="2518" t="s">
        <v>30</v>
      </c>
      <c r="H75" s="2517"/>
      <c r="I75" s="2519"/>
      <c r="J75" s="2007"/>
      <c r="K75" s="387"/>
      <c r="L75" s="424"/>
      <c r="M75" s="424"/>
      <c r="N75" s="424"/>
      <c r="O75" s="424"/>
      <c r="P75" s="2002"/>
      <c r="Q75" s="402"/>
    </row>
    <row r="76" spans="2:17" x14ac:dyDescent="0.3">
      <c r="B76" s="370"/>
      <c r="C76" s="2009"/>
      <c r="D76" s="2010"/>
      <c r="E76" s="2011"/>
      <c r="F76" s="2012"/>
      <c r="G76" s="2011"/>
      <c r="H76" s="2011"/>
      <c r="I76" s="2011"/>
      <c r="J76" s="2012"/>
      <c r="K76" s="2013"/>
      <c r="L76" s="2010"/>
      <c r="M76" s="2010"/>
      <c r="N76" s="2010"/>
      <c r="O76" s="2010"/>
      <c r="P76" s="2014"/>
      <c r="Q76" s="402"/>
    </row>
    <row r="77" spans="2:17" ht="7.5" customHeight="1" x14ac:dyDescent="0.3">
      <c r="B77" s="370"/>
      <c r="C77" s="130"/>
      <c r="D77" s="389"/>
      <c r="E77" s="389"/>
      <c r="F77" s="390"/>
      <c r="G77" s="389"/>
      <c r="H77" s="390"/>
      <c r="I77" s="390"/>
      <c r="J77" s="390"/>
      <c r="K77" s="390"/>
      <c r="L77" s="390"/>
      <c r="M77" s="390"/>
      <c r="N77" s="390"/>
      <c r="O77" s="390"/>
      <c r="P77" s="130"/>
      <c r="Q77" s="402"/>
    </row>
    <row r="78" spans="2:17" ht="15" customHeight="1" x14ac:dyDescent="0.3">
      <c r="B78" s="370"/>
      <c r="D78" s="391" t="s">
        <v>1852</v>
      </c>
      <c r="E78" s="389"/>
      <c r="F78"/>
      <c r="G78"/>
      <c r="H78" s="2017"/>
      <c r="I78" s="2017"/>
      <c r="J78" s="2017"/>
      <c r="K78" s="2017"/>
      <c r="L78" s="2524" t="s">
        <v>1847</v>
      </c>
      <c r="M78" s="2525"/>
      <c r="N78" s="2525"/>
      <c r="O78" s="2526"/>
      <c r="P78" s="130"/>
      <c r="Q78" s="402"/>
    </row>
    <row r="79" spans="2:17" ht="15" customHeight="1" thickBot="1" x14ac:dyDescent="0.35">
      <c r="B79" s="370"/>
      <c r="C79" s="130"/>
      <c r="D79" s="389"/>
      <c r="E79" s="389"/>
      <c r="F79" s="390"/>
      <c r="G79" s="389"/>
      <c r="H79" s="2017"/>
      <c r="I79" s="2017"/>
      <c r="J79" s="2017"/>
      <c r="K79" s="2017"/>
      <c r="L79" s="2017"/>
      <c r="M79" s="2017"/>
      <c r="N79" s="2017"/>
      <c r="O79" s="392"/>
      <c r="P79" s="130"/>
      <c r="Q79" s="402"/>
    </row>
    <row r="80" spans="2:17" ht="15" customHeight="1" thickTop="1" thickBot="1" x14ac:dyDescent="0.35">
      <c r="B80" s="370"/>
      <c r="C80" s="130"/>
      <c r="D80" s="162" t="s">
        <v>32</v>
      </c>
      <c r="E80" s="424"/>
      <c r="F80" s="393">
        <f>'2A'!L22</f>
        <v>245</v>
      </c>
      <c r="G80" s="424"/>
      <c r="H80" s="2017"/>
      <c r="I80" s="2017"/>
      <c r="J80" s="2017"/>
      <c r="K80" s="2017"/>
      <c r="L80" s="2017"/>
      <c r="M80" s="2017"/>
      <c r="N80" s="2017"/>
      <c r="O80" s="392"/>
      <c r="P80" s="130"/>
      <c r="Q80" s="402"/>
    </row>
    <row r="81" spans="2:17" ht="15" customHeight="1" thickTop="1" x14ac:dyDescent="0.3">
      <c r="B81" s="370"/>
      <c r="C81" s="130"/>
      <c r="D81" s="394"/>
      <c r="E81" s="130"/>
      <c r="F81" s="424"/>
      <c r="G81" s="424"/>
      <c r="H81" s="2017"/>
      <c r="I81" s="2017"/>
      <c r="J81" s="2017"/>
      <c r="K81" s="2017"/>
      <c r="L81" s="2017"/>
      <c r="M81" s="2017"/>
      <c r="N81" s="2017"/>
      <c r="O81" s="392"/>
      <c r="P81" s="130"/>
      <c r="Q81" s="402"/>
    </row>
    <row r="82" spans="2:17" ht="15" customHeight="1" x14ac:dyDescent="0.3">
      <c r="B82" s="370"/>
      <c r="C82" s="130"/>
      <c r="D82" s="130"/>
      <c r="E82" s="395"/>
      <c r="F82" s="396"/>
      <c r="G82" s="395"/>
      <c r="H82" s="395"/>
      <c r="I82" s="395"/>
      <c r="J82" s="397"/>
      <c r="K82" s="397"/>
      <c r="L82" s="130"/>
      <c r="M82" s="130"/>
      <c r="N82" s="130"/>
      <c r="O82" s="130"/>
      <c r="P82" s="130"/>
      <c r="Q82" s="402"/>
    </row>
    <row r="83" spans="2:17" ht="3.75" customHeight="1" thickBot="1" x14ac:dyDescent="0.35">
      <c r="B83" s="1884"/>
      <c r="C83" s="1885"/>
      <c r="D83" s="1885"/>
      <c r="E83" s="1885"/>
      <c r="F83" s="1886"/>
      <c r="G83" s="1885"/>
      <c r="H83" s="1885"/>
      <c r="I83" s="1885"/>
      <c r="J83" s="1885"/>
      <c r="K83" s="1887"/>
      <c r="L83" s="1886"/>
      <c r="M83" s="1886"/>
      <c r="N83" s="1886"/>
      <c r="O83" s="1885"/>
      <c r="P83" s="1885"/>
      <c r="Q83" s="1888"/>
    </row>
  </sheetData>
  <sheetProtection algorithmName="SHA-512" hashValue="9NNws2QSMhnguYeNasndOYRdLlcz82hFVv/PcXumLA87LHSvALt/RScTUAu+yqqHEQKFL6pjKceJPAH/YgpRdg==" saltValue="1gVkvLTAwO7BsQGCtNkdJg==" spinCount="100000" sheet="1" formatCells="0" formatColumns="0" formatRows="0"/>
  <mergeCells count="48">
    <mergeCell ref="G75:I75"/>
    <mergeCell ref="L78:O78"/>
    <mergeCell ref="G69:I69"/>
    <mergeCell ref="G70:I70"/>
    <mergeCell ref="G71:I71"/>
    <mergeCell ref="G72:I72"/>
    <mergeCell ref="G73:I73"/>
    <mergeCell ref="D57:E57"/>
    <mergeCell ref="G57:O57"/>
    <mergeCell ref="G59:H59"/>
    <mergeCell ref="J59:K59"/>
    <mergeCell ref="M59:O59"/>
    <mergeCell ref="D29:E29"/>
    <mergeCell ref="G28:O28"/>
    <mergeCell ref="G29:O29"/>
    <mergeCell ref="G54:O54"/>
    <mergeCell ref="D55:E55"/>
    <mergeCell ref="G55:O55"/>
    <mergeCell ref="G39:O39"/>
    <mergeCell ref="J33:K33"/>
    <mergeCell ref="M33:O33"/>
    <mergeCell ref="L37:O37"/>
    <mergeCell ref="G5:O5"/>
    <mergeCell ref="G8:O8"/>
    <mergeCell ref="G10:O10"/>
    <mergeCell ref="G15:O15"/>
    <mergeCell ref="G17:O17"/>
    <mergeCell ref="G23:O23"/>
    <mergeCell ref="G12:H12"/>
    <mergeCell ref="J12:O12"/>
    <mergeCell ref="G19:H19"/>
    <mergeCell ref="J19:O19"/>
    <mergeCell ref="G61:H61"/>
    <mergeCell ref="L61:O61"/>
    <mergeCell ref="L63:O63"/>
    <mergeCell ref="G65:O65"/>
    <mergeCell ref="C3:P3"/>
    <mergeCell ref="D31:E31"/>
    <mergeCell ref="G44:I44"/>
    <mergeCell ref="G45:I45"/>
    <mergeCell ref="G46:I46"/>
    <mergeCell ref="G47:I47"/>
    <mergeCell ref="G49:I49"/>
    <mergeCell ref="G43:I43"/>
    <mergeCell ref="G35:H35"/>
    <mergeCell ref="L35:O35"/>
    <mergeCell ref="G31:O31"/>
    <mergeCell ref="G33:H33"/>
  </mergeCells>
  <conditionalFormatting sqref="F43 F45 F47 F49:F50 J43 J45 J47 J49:J50 M43 M45">
    <cfRule type="cellIs" dxfId="136" priority="3" operator="equal">
      <formula>"X"</formula>
    </cfRule>
  </conditionalFormatting>
  <conditionalFormatting sqref="F69 F71 F73 F75:F76 J69 J71 J73 J75:J76 M69 M71">
    <cfRule type="cellIs" dxfId="135" priority="2" operator="equal">
      <formula>"X"</formula>
    </cfRule>
  </conditionalFormatting>
  <dataValidations count="2">
    <dataValidation type="list" allowBlank="1" showInputMessage="1" showErrorMessage="1" sqref="L21" xr:uid="{00000000-0002-0000-0800-000000000000}">
      <formula1>Yes_or_No</formula1>
    </dataValidation>
    <dataValidation type="list" allowBlank="1" showInputMessage="1" showErrorMessage="1" sqref="F43 F45 F47 F49:F50 J43 J45 J47 J49:J50 M43 M45 F69 F71 F73 F75:F76 J69 J71 J73 J75:J76 M69 M71" xr:uid="{00000000-0002-0000-0800-000001000000}">
      <formula1>Enable</formula1>
    </dataValidation>
  </dataValidations>
  <pageMargins left="1" right="0.7" top="0.75" bottom="0.75" header="0.3" footer="0.3"/>
  <pageSetup scale="83" orientation="portrait" r:id="rId1"/>
  <headerFooter>
    <oddFooter>&amp;LForm 1
Project Summary&amp;CCFA Forms&amp;REdition 2017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O23"/>
  <sheetViews>
    <sheetView showGridLines="0" topLeftCell="B1" zoomScaleNormal="100" workbookViewId="0">
      <selection activeCell="G26" sqref="G26"/>
    </sheetView>
  </sheetViews>
  <sheetFormatPr defaultColWidth="9.109375" defaultRowHeight="14.4" x14ac:dyDescent="0.3"/>
  <cols>
    <col min="1" max="2" width="1.6640625" style="399" customWidth="1"/>
    <col min="3" max="3" width="11" style="399" customWidth="1"/>
    <col min="4" max="5" width="14" style="399" bestFit="1" customWidth="1"/>
    <col min="6" max="6" width="17.6640625" style="399" customWidth="1"/>
    <col min="7" max="7" width="14.6640625" style="399" bestFit="1" customWidth="1"/>
    <col min="8" max="8" width="11.5546875" style="399" customWidth="1"/>
    <col min="9" max="11" width="10.109375" style="399" customWidth="1"/>
    <col min="12" max="13" width="12.109375" style="399" customWidth="1"/>
    <col min="14" max="14" width="13.44140625" style="399" customWidth="1"/>
    <col min="15" max="16" width="1.6640625" style="399" customWidth="1"/>
    <col min="17" max="16384" width="9.109375" style="399"/>
  </cols>
  <sheetData>
    <row r="1" spans="2:15" ht="9" customHeight="1" thickBot="1" x14ac:dyDescent="0.35"/>
    <row r="2" spans="2:15" ht="9" customHeight="1" x14ac:dyDescent="0.3">
      <c r="B2" s="404"/>
      <c r="C2" s="405"/>
      <c r="D2" s="405"/>
      <c r="E2" s="405"/>
      <c r="F2" s="405"/>
      <c r="G2" s="405"/>
      <c r="H2" s="406"/>
      <c r="I2" s="405"/>
      <c r="J2" s="405"/>
      <c r="K2" s="405"/>
      <c r="L2" s="405"/>
      <c r="M2" s="405"/>
      <c r="N2" s="405"/>
      <c r="O2" s="407"/>
    </row>
    <row r="3" spans="2:15" ht="18" x14ac:dyDescent="0.35">
      <c r="B3" s="408"/>
      <c r="C3" s="2515" t="s">
        <v>41</v>
      </c>
      <c r="D3" s="2515"/>
      <c r="E3" s="2515"/>
      <c r="F3" s="2515"/>
      <c r="G3" s="2515"/>
      <c r="H3" s="2515"/>
      <c r="I3" s="2515"/>
      <c r="J3" s="2515"/>
      <c r="K3" s="2515"/>
      <c r="L3" s="2515"/>
      <c r="M3" s="2515"/>
      <c r="N3" s="2515"/>
      <c r="O3" s="409"/>
    </row>
    <row r="4" spans="2:15" x14ac:dyDescent="0.3">
      <c r="B4" s="408"/>
      <c r="C4" s="410"/>
      <c r="D4" s="410"/>
      <c r="E4" s="410"/>
      <c r="F4" s="410"/>
      <c r="G4" s="410"/>
      <c r="H4" s="144"/>
      <c r="I4" s="410"/>
      <c r="J4" s="410"/>
      <c r="K4" s="410"/>
      <c r="L4" s="410"/>
      <c r="M4" s="410"/>
      <c r="N4" s="410"/>
      <c r="O4" s="409"/>
    </row>
    <row r="5" spans="2:15" ht="15" thickBot="1" x14ac:dyDescent="0.35">
      <c r="B5" s="408"/>
      <c r="C5" s="2527" t="str">
        <f>IF('1'!G5="","Enter Project Name on Form 1",(CONCATENATE("Project Name: ",'1'!G5)))</f>
        <v>Project Name: 6600 Roosevelt Way NE</v>
      </c>
      <c r="D5" s="2527"/>
      <c r="E5" s="2527"/>
      <c r="F5" s="2527"/>
      <c r="G5" s="2527"/>
      <c r="H5" s="2527"/>
      <c r="I5" s="2527"/>
      <c r="J5" s="2527"/>
      <c r="K5" s="1875"/>
      <c r="L5" s="410"/>
      <c r="M5" s="410"/>
      <c r="N5" s="410"/>
      <c r="O5" s="409"/>
    </row>
    <row r="6" spans="2:15" x14ac:dyDescent="0.3">
      <c r="B6" s="408"/>
      <c r="C6" s="410"/>
      <c r="D6" s="410"/>
      <c r="E6" s="410"/>
      <c r="F6" s="410"/>
      <c r="G6" s="410"/>
      <c r="H6" s="144"/>
      <c r="I6" s="410"/>
      <c r="J6" s="410"/>
      <c r="K6" s="410"/>
      <c r="L6" s="410"/>
      <c r="M6" s="410"/>
      <c r="N6" s="410"/>
      <c r="O6" s="409"/>
    </row>
    <row r="7" spans="2:15" ht="69" x14ac:dyDescent="0.3">
      <c r="B7" s="408"/>
      <c r="C7" s="2031" t="s">
        <v>494</v>
      </c>
      <c r="D7" s="2032" t="s">
        <v>583</v>
      </c>
      <c r="E7" s="2032" t="s">
        <v>584</v>
      </c>
      <c r="F7" s="2033" t="s">
        <v>42</v>
      </c>
      <c r="G7" s="2034" t="s">
        <v>43</v>
      </c>
      <c r="H7" s="2035" t="s">
        <v>45</v>
      </c>
      <c r="I7" s="2034" t="s">
        <v>46</v>
      </c>
      <c r="J7" s="2034" t="s">
        <v>47</v>
      </c>
      <c r="K7" s="2036" t="s">
        <v>48</v>
      </c>
      <c r="L7" s="2037" t="s">
        <v>39</v>
      </c>
      <c r="M7" s="2035" t="s">
        <v>44</v>
      </c>
      <c r="N7" s="2038" t="s">
        <v>1837</v>
      </c>
      <c r="O7" s="409"/>
    </row>
    <row r="8" spans="2:15" x14ac:dyDescent="0.3">
      <c r="B8" s="408"/>
      <c r="C8" s="2538" t="str">
        <f>IF('1'!G29="","Enter Site Name/ID Number on Form 1",(CONCATENATE("Site Name/ID: ",'1'!G29)))</f>
        <v>Site Name/ID: Site A - 4% Building</v>
      </c>
      <c r="D8" s="2539"/>
      <c r="E8" s="2539"/>
      <c r="F8" s="2539"/>
      <c r="G8" s="2539"/>
      <c r="H8" s="2539"/>
      <c r="I8" s="2539"/>
      <c r="J8" s="2539"/>
      <c r="K8" s="2539"/>
      <c r="L8" s="2539"/>
      <c r="M8" s="2539"/>
      <c r="N8" s="2540"/>
      <c r="O8" s="409"/>
    </row>
    <row r="9" spans="2:15" ht="24.6" x14ac:dyDescent="0.3">
      <c r="B9" s="408"/>
      <c r="C9" s="2043">
        <v>1</v>
      </c>
      <c r="D9" s="2044" t="s">
        <v>1887</v>
      </c>
      <c r="E9" s="2044" t="s">
        <v>1888</v>
      </c>
      <c r="F9" s="2045" t="s">
        <v>578</v>
      </c>
      <c r="G9" s="2046" t="s">
        <v>27</v>
      </c>
      <c r="H9" s="2047" t="s">
        <v>550</v>
      </c>
      <c r="I9" s="2047">
        <v>166</v>
      </c>
      <c r="J9" s="2047">
        <v>0</v>
      </c>
      <c r="K9" s="2048">
        <v>0</v>
      </c>
      <c r="L9" s="2049">
        <f t="shared" ref="L9:L20" si="0">SUM(I9:K9)</f>
        <v>166</v>
      </c>
      <c r="M9" s="2050"/>
      <c r="N9" s="2051">
        <v>44470</v>
      </c>
      <c r="O9" s="409"/>
    </row>
    <row r="10" spans="2:15" x14ac:dyDescent="0.3">
      <c r="B10" s="408"/>
      <c r="C10" s="2027">
        <v>2</v>
      </c>
      <c r="D10" s="1021"/>
      <c r="E10" s="1021"/>
      <c r="F10" s="797"/>
      <c r="G10" s="798"/>
      <c r="H10" s="799"/>
      <c r="I10" s="799"/>
      <c r="J10" s="799"/>
      <c r="K10" s="800"/>
      <c r="L10" s="801">
        <f>SUM(I10:K10)</f>
        <v>0</v>
      </c>
      <c r="M10" s="1598"/>
      <c r="N10" s="2029"/>
      <c r="O10" s="409"/>
    </row>
    <row r="11" spans="2:15" x14ac:dyDescent="0.3">
      <c r="B11" s="408"/>
      <c r="C11" s="2027">
        <v>3</v>
      </c>
      <c r="D11" s="1021"/>
      <c r="E11" s="1021"/>
      <c r="F11" s="797"/>
      <c r="G11" s="798"/>
      <c r="H11" s="799"/>
      <c r="I11" s="799"/>
      <c r="J11" s="799"/>
      <c r="K11" s="800"/>
      <c r="L11" s="801">
        <f t="shared" si="0"/>
        <v>0</v>
      </c>
      <c r="M11" s="1598"/>
      <c r="N11" s="2029"/>
      <c r="O11" s="409"/>
    </row>
    <row r="12" spans="2:15" x14ac:dyDescent="0.3">
      <c r="B12" s="408"/>
      <c r="C12" s="2027">
        <v>4</v>
      </c>
      <c r="D12" s="1021"/>
      <c r="E12" s="1021"/>
      <c r="F12" s="797"/>
      <c r="G12" s="798"/>
      <c r="H12" s="799"/>
      <c r="I12" s="799"/>
      <c r="J12" s="799"/>
      <c r="K12" s="800"/>
      <c r="L12" s="801">
        <f t="shared" si="0"/>
        <v>0</v>
      </c>
      <c r="M12" s="1598"/>
      <c r="N12" s="2029"/>
      <c r="O12" s="409"/>
    </row>
    <row r="13" spans="2:15" x14ac:dyDescent="0.3">
      <c r="B13" s="408"/>
      <c r="C13" s="2039">
        <v>5</v>
      </c>
      <c r="D13" s="1022"/>
      <c r="E13" s="1022"/>
      <c r="F13" s="805"/>
      <c r="G13" s="2040"/>
      <c r="H13" s="2041"/>
      <c r="I13" s="2041"/>
      <c r="J13" s="2041"/>
      <c r="K13" s="2042"/>
      <c r="L13" s="806">
        <f t="shared" si="0"/>
        <v>0</v>
      </c>
      <c r="M13" s="1599"/>
      <c r="N13" s="2030"/>
      <c r="O13" s="409"/>
    </row>
    <row r="14" spans="2:15" x14ac:dyDescent="0.3">
      <c r="B14" s="408"/>
      <c r="C14" s="2532"/>
      <c r="D14" s="2533"/>
      <c r="E14" s="2533"/>
      <c r="F14" s="2533"/>
      <c r="G14" s="2533"/>
      <c r="H14" s="2534"/>
      <c r="I14" s="2054">
        <f>SUM(I9:I13)</f>
        <v>166</v>
      </c>
      <c r="J14" s="2054">
        <f>SUM(J9:J13)</f>
        <v>0</v>
      </c>
      <c r="K14" s="2055">
        <f>SUM(K9:K13)</f>
        <v>0</v>
      </c>
      <c r="L14" s="2052">
        <f>SUM(L9:L13)</f>
        <v>166</v>
      </c>
      <c r="M14" s="2528"/>
      <c r="N14" s="2529"/>
      <c r="O14" s="409"/>
    </row>
    <row r="15" spans="2:15" x14ac:dyDescent="0.3">
      <c r="B15" s="408"/>
      <c r="C15" s="2538" t="str">
        <f>IF('1'!G55="","Enter Site Name/ID Number on Form 1",(CONCATENATE("Site Name/ID: ",'1'!G55)))</f>
        <v>Site Name/ID: Site B - 9% Building</v>
      </c>
      <c r="D15" s="2539"/>
      <c r="E15" s="2539"/>
      <c r="F15" s="2539"/>
      <c r="G15" s="2539"/>
      <c r="H15" s="2539"/>
      <c r="I15" s="2539"/>
      <c r="J15" s="2539"/>
      <c r="K15" s="2539"/>
      <c r="L15" s="2539"/>
      <c r="M15" s="2539"/>
      <c r="N15" s="2540"/>
      <c r="O15" s="409"/>
    </row>
    <row r="16" spans="2:15" ht="24.6" x14ac:dyDescent="0.3">
      <c r="B16" s="408"/>
      <c r="C16" s="2043">
        <v>1</v>
      </c>
      <c r="D16" s="2044" t="s">
        <v>1887</v>
      </c>
      <c r="E16" s="2044" t="s">
        <v>1888</v>
      </c>
      <c r="F16" s="2045" t="s">
        <v>578</v>
      </c>
      <c r="G16" s="2046" t="s">
        <v>27</v>
      </c>
      <c r="H16" s="2047" t="s">
        <v>533</v>
      </c>
      <c r="I16" s="2047">
        <v>79</v>
      </c>
      <c r="J16" s="2047">
        <v>0</v>
      </c>
      <c r="K16" s="2048">
        <v>0</v>
      </c>
      <c r="L16" s="2049">
        <f t="shared" si="0"/>
        <v>79</v>
      </c>
      <c r="M16" s="2060"/>
      <c r="N16" s="2051">
        <v>44470</v>
      </c>
      <c r="O16" s="409"/>
    </row>
    <row r="17" spans="2:15" x14ac:dyDescent="0.3">
      <c r="B17" s="408"/>
      <c r="C17" s="2027">
        <v>2</v>
      </c>
      <c r="D17" s="1021"/>
      <c r="E17" s="1021"/>
      <c r="F17" s="797"/>
      <c r="G17" s="798"/>
      <c r="H17" s="799"/>
      <c r="I17" s="799"/>
      <c r="J17" s="799"/>
      <c r="K17" s="800"/>
      <c r="L17" s="801">
        <f t="shared" si="0"/>
        <v>0</v>
      </c>
      <c r="M17" s="1598"/>
      <c r="N17" s="2029"/>
      <c r="O17" s="409"/>
    </row>
    <row r="18" spans="2:15" x14ac:dyDescent="0.3">
      <c r="B18" s="408"/>
      <c r="C18" s="2027">
        <v>3</v>
      </c>
      <c r="D18" s="1021"/>
      <c r="E18" s="1021"/>
      <c r="F18" s="797"/>
      <c r="G18" s="798"/>
      <c r="H18" s="799"/>
      <c r="I18" s="799"/>
      <c r="J18" s="799"/>
      <c r="K18" s="800"/>
      <c r="L18" s="801">
        <f t="shared" si="0"/>
        <v>0</v>
      </c>
      <c r="M18" s="1598"/>
      <c r="N18" s="2029"/>
      <c r="O18" s="409"/>
    </row>
    <row r="19" spans="2:15" x14ac:dyDescent="0.3">
      <c r="B19" s="408"/>
      <c r="C19" s="2027">
        <v>4</v>
      </c>
      <c r="D19" s="1021"/>
      <c r="E19" s="1021"/>
      <c r="F19" s="797"/>
      <c r="G19" s="798"/>
      <c r="H19" s="799"/>
      <c r="I19" s="799"/>
      <c r="J19" s="799"/>
      <c r="K19" s="800"/>
      <c r="L19" s="801">
        <f t="shared" si="0"/>
        <v>0</v>
      </c>
      <c r="M19" s="1598"/>
      <c r="N19" s="2029"/>
      <c r="O19" s="409"/>
    </row>
    <row r="20" spans="2:15" x14ac:dyDescent="0.3">
      <c r="B20" s="408"/>
      <c r="C20" s="2028">
        <v>5</v>
      </c>
      <c r="D20" s="1021"/>
      <c r="E20" s="1021"/>
      <c r="F20" s="797"/>
      <c r="G20" s="802"/>
      <c r="H20" s="803"/>
      <c r="I20" s="803"/>
      <c r="J20" s="803"/>
      <c r="K20" s="804"/>
      <c r="L20" s="806">
        <f t="shared" si="0"/>
        <v>0</v>
      </c>
      <c r="M20" s="1598"/>
      <c r="N20" s="2029"/>
      <c r="O20" s="409"/>
    </row>
    <row r="21" spans="2:15" ht="15" thickBot="1" x14ac:dyDescent="0.35">
      <c r="B21" s="408"/>
      <c r="C21" s="2535"/>
      <c r="D21" s="2536"/>
      <c r="E21" s="2536"/>
      <c r="F21" s="2536"/>
      <c r="G21" s="2536"/>
      <c r="H21" s="2537"/>
      <c r="I21" s="2053">
        <f>SUM(I16:I20)</f>
        <v>79</v>
      </c>
      <c r="J21" s="412">
        <f>SUM(J16:J20)</f>
        <v>0</v>
      </c>
      <c r="K21" s="413">
        <f>SUM(K16:K20)</f>
        <v>0</v>
      </c>
      <c r="L21" s="2059">
        <f>SUM(L16:L20)</f>
        <v>79</v>
      </c>
      <c r="M21" s="2530"/>
      <c r="N21" s="2531"/>
      <c r="O21" s="409"/>
    </row>
    <row r="22" spans="2:15" ht="15.6" thickTop="1" thickBot="1" x14ac:dyDescent="0.35">
      <c r="B22" s="1431"/>
      <c r="C22" s="1426" t="s">
        <v>1136</v>
      </c>
      <c r="D22" s="719"/>
      <c r="E22" s="719"/>
      <c r="F22" s="719"/>
      <c r="G22" s="720"/>
      <c r="H22" s="718" t="s">
        <v>37</v>
      </c>
      <c r="I22" s="2056">
        <f>I14+I21</f>
        <v>245</v>
      </c>
      <c r="J22" s="2057">
        <f>J14+J21</f>
        <v>0</v>
      </c>
      <c r="K22" s="2058">
        <f>K14+K21</f>
        <v>0</v>
      </c>
      <c r="L22" s="414">
        <f>L14+L21</f>
        <v>245</v>
      </c>
      <c r="M22" s="716"/>
      <c r="N22" s="717"/>
      <c r="O22" s="1432"/>
    </row>
    <row r="23" spans="2:15" ht="15" thickBot="1" x14ac:dyDescent="0.35">
      <c r="B23" s="1433"/>
      <c r="C23" s="1434"/>
      <c r="D23" s="1434"/>
      <c r="E23" s="1434"/>
      <c r="F23" s="1434"/>
      <c r="G23" s="1434"/>
      <c r="H23" s="1434"/>
      <c r="I23" s="1434"/>
      <c r="J23" s="1434"/>
      <c r="K23" s="1434"/>
      <c r="L23" s="1434"/>
      <c r="M23" s="1434"/>
      <c r="N23" s="1434"/>
      <c r="O23" s="416"/>
    </row>
  </sheetData>
  <sheetProtection algorithmName="SHA-512" hashValue="Ly7kg5fa/atRvZhjtkLOrtBxMmnEIREX2vAyTwYTXwFJSTCrfBEb/pLQf64R943e4it/SCgkjZSNOJxJICv4ZQ==" saltValue="PpSoU1Noi+qEGgIDyBW4mw==" spinCount="100000" sheet="1" formatCells="0" formatColumns="0" formatRows="0"/>
  <mergeCells count="8">
    <mergeCell ref="C3:N3"/>
    <mergeCell ref="C5:J5"/>
    <mergeCell ref="M14:N14"/>
    <mergeCell ref="M21:N21"/>
    <mergeCell ref="C14:H14"/>
    <mergeCell ref="C21:H21"/>
    <mergeCell ref="C8:N8"/>
    <mergeCell ref="C15:N15"/>
  </mergeCells>
  <dataValidations count="3">
    <dataValidation type="list" allowBlank="1" showInputMessage="1" showErrorMessage="1" sqref="F9:F13 F16:F20" xr:uid="{00000000-0002-0000-0900-000000000000}">
      <formula1>Building_Type</formula1>
    </dataValidation>
    <dataValidation type="list" allowBlank="1" showInputMessage="1" showErrorMessage="1" sqref="G9:G13 G16:G20" xr:uid="{00000000-0002-0000-0900-000001000000}">
      <formula1>Activity_Type</formula1>
    </dataValidation>
    <dataValidation type="list" allowBlank="1" showInputMessage="1" showErrorMessage="1" sqref="H9:H13 H16:H20" xr:uid="{00000000-0002-0000-0900-000002000000}">
      <formula1>Yes_or_No</formula1>
    </dataValidation>
  </dataValidations>
  <pageMargins left="0.7" right="0.7" top="1" bottom="0.75" header="0.3" footer="0.3"/>
  <pageSetup scale="79" orientation="landscape" r:id="rId1"/>
  <headerFooter>
    <oddFooter>&amp;LForm 2A
Building Information&amp;CCFA Forms&amp;REdition: 2017
Version: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1:P37"/>
  <sheetViews>
    <sheetView showGridLines="0" topLeftCell="A4" zoomScaleNormal="100" workbookViewId="0">
      <selection activeCell="T34" sqref="T34"/>
    </sheetView>
  </sheetViews>
  <sheetFormatPr defaultColWidth="9.109375" defaultRowHeight="14.4" x14ac:dyDescent="0.3"/>
  <cols>
    <col min="1" max="2" width="1.6640625" style="399" customWidth="1"/>
    <col min="3" max="11" width="11" style="399" customWidth="1"/>
    <col min="12" max="12" width="1.109375" style="399" customWidth="1"/>
    <col min="13" max="15" width="12" style="399" customWidth="1"/>
    <col min="16" max="16" width="1.6640625" style="399" customWidth="1"/>
    <col min="17" max="16384" width="9.109375" style="399"/>
  </cols>
  <sheetData>
    <row r="11" spans="2:16" ht="15" thickBot="1" x14ac:dyDescent="0.35"/>
    <row r="12" spans="2:16" ht="9" customHeight="1" x14ac:dyDescent="0.3">
      <c r="B12" s="200"/>
      <c r="C12" s="418"/>
      <c r="D12" s="418"/>
      <c r="E12" s="418"/>
      <c r="F12" s="418"/>
      <c r="G12" s="418"/>
      <c r="H12" s="418"/>
      <c r="I12" s="418"/>
      <c r="J12" s="418"/>
      <c r="K12" s="418"/>
      <c r="L12" s="418"/>
      <c r="M12" s="418"/>
      <c r="N12" s="418"/>
      <c r="O12" s="418"/>
      <c r="P12" s="419"/>
    </row>
    <row r="13" spans="2:16" ht="18" x14ac:dyDescent="0.3">
      <c r="B13" s="4"/>
      <c r="C13" s="2554" t="s">
        <v>49</v>
      </c>
      <c r="D13" s="2554"/>
      <c r="E13" s="2554"/>
      <c r="F13" s="2554"/>
      <c r="G13" s="2554"/>
      <c r="H13" s="2554"/>
      <c r="I13" s="2554"/>
      <c r="J13" s="2554"/>
      <c r="K13" s="2554"/>
      <c r="L13" s="2554"/>
      <c r="M13" s="2554"/>
      <c r="N13" s="2554"/>
      <c r="O13" s="2554"/>
      <c r="P13" s="3"/>
    </row>
    <row r="14" spans="2:16" ht="15" customHeight="1" x14ac:dyDescent="0.3">
      <c r="B14" s="4"/>
      <c r="C14" s="1"/>
      <c r="D14" s="1"/>
      <c r="E14" s="420"/>
      <c r="F14" s="420"/>
      <c r="G14" s="420"/>
      <c r="H14" s="420"/>
      <c r="I14" s="420"/>
      <c r="J14" s="420"/>
      <c r="K14" s="1"/>
      <c r="L14" s="1"/>
      <c r="M14" s="1"/>
      <c r="N14" s="1"/>
      <c r="O14" s="1"/>
      <c r="P14" s="3"/>
    </row>
    <row r="15" spans="2:16" ht="15" thickBot="1" x14ac:dyDescent="0.35">
      <c r="B15" s="143"/>
      <c r="C15" s="2557" t="str">
        <f>IF('1'!G5="","Enter Project Name on Form 1",(CONCATENATE("Project Name: ",'1'!G5)))</f>
        <v>Project Name: 6600 Roosevelt Way NE</v>
      </c>
      <c r="D15" s="2557"/>
      <c r="E15" s="2557"/>
      <c r="F15" s="2557"/>
      <c r="G15" s="2557"/>
      <c r="H15" s="2557"/>
      <c r="I15" s="2557"/>
      <c r="J15" s="2557"/>
      <c r="K15" s="2557"/>
      <c r="L15" s="147"/>
      <c r="M15" s="144"/>
      <c r="N15" s="144"/>
      <c r="O15" s="144"/>
      <c r="P15" s="145"/>
    </row>
    <row r="16" spans="2:16" s="417" customFormat="1" ht="15" thickBot="1" x14ac:dyDescent="0.35">
      <c r="B16" s="143"/>
      <c r="C16" s="421"/>
      <c r="D16" s="421"/>
      <c r="E16" s="421"/>
      <c r="F16" s="421"/>
      <c r="G16" s="421"/>
      <c r="H16" s="421"/>
      <c r="I16" s="421"/>
      <c r="J16" s="421"/>
      <c r="K16" s="421"/>
      <c r="L16" s="421"/>
      <c r="M16" s="144"/>
      <c r="N16" s="144"/>
      <c r="O16" s="144"/>
      <c r="P16" s="145"/>
    </row>
    <row r="17" spans="2:16" ht="16.2" thickBot="1" x14ac:dyDescent="0.35">
      <c r="B17" s="143"/>
      <c r="C17" s="421"/>
      <c r="D17" s="2558" t="s">
        <v>50</v>
      </c>
      <c r="E17" s="2559"/>
      <c r="F17" s="2559"/>
      <c r="G17" s="2559"/>
      <c r="H17" s="2559"/>
      <c r="I17" s="2559"/>
      <c r="J17" s="2559"/>
      <c r="K17" s="2560"/>
      <c r="L17" s="674"/>
      <c r="M17" s="2555" t="s">
        <v>51</v>
      </c>
      <c r="N17" s="2556"/>
      <c r="O17" s="1014" t="s">
        <v>52</v>
      </c>
      <c r="P17" s="1015"/>
    </row>
    <row r="18" spans="2:16" ht="39" customHeight="1" thickBot="1" x14ac:dyDescent="0.35">
      <c r="B18" s="1435"/>
      <c r="C18" s="1436"/>
      <c r="D18" s="2561" t="s">
        <v>53</v>
      </c>
      <c r="E18" s="2545" t="s">
        <v>58</v>
      </c>
      <c r="F18" s="2545" t="s">
        <v>59</v>
      </c>
      <c r="G18" s="2545" t="s">
        <v>47</v>
      </c>
      <c r="H18" s="2545" t="s">
        <v>60</v>
      </c>
      <c r="I18" s="2545" t="s">
        <v>61</v>
      </c>
      <c r="J18" s="2545" t="s">
        <v>62</v>
      </c>
      <c r="K18" s="2541" t="s">
        <v>63</v>
      </c>
      <c r="L18" s="2543"/>
      <c r="M18" s="2545" t="s">
        <v>54</v>
      </c>
      <c r="N18" s="2563" t="s">
        <v>55</v>
      </c>
      <c r="O18" s="2565" t="s">
        <v>56</v>
      </c>
      <c r="P18" s="1437"/>
    </row>
    <row r="19" spans="2:16" x14ac:dyDescent="0.3">
      <c r="B19" s="1435"/>
      <c r="C19" s="2063" t="s">
        <v>57</v>
      </c>
      <c r="D19" s="2562"/>
      <c r="E19" s="2546"/>
      <c r="F19" s="2546"/>
      <c r="G19" s="2546"/>
      <c r="H19" s="2546"/>
      <c r="I19" s="2546"/>
      <c r="J19" s="2546"/>
      <c r="K19" s="2542"/>
      <c r="L19" s="2544"/>
      <c r="M19" s="2546"/>
      <c r="N19" s="2564"/>
      <c r="O19" s="2566"/>
      <c r="P19" s="1437"/>
    </row>
    <row r="20" spans="2:16" x14ac:dyDescent="0.3">
      <c r="B20" s="422"/>
      <c r="C20" s="2547" t="str">
        <f>IF('1'!G29="","Enter Site Name/ID Number on Form 1",(CONCATENATE("Site Name/ID: ",'1'!G29)))</f>
        <v>Site Name/ID: Site A - 4% Building</v>
      </c>
      <c r="D20" s="2548"/>
      <c r="E20" s="2548"/>
      <c r="F20" s="2548"/>
      <c r="G20" s="2548"/>
      <c r="H20" s="2548"/>
      <c r="I20" s="2548"/>
      <c r="J20" s="2548"/>
      <c r="K20" s="2548"/>
      <c r="L20" s="2548"/>
      <c r="M20" s="2548"/>
      <c r="N20" s="2548"/>
      <c r="O20" s="2549"/>
      <c r="P20" s="3"/>
    </row>
    <row r="21" spans="2:16" x14ac:dyDescent="0.3">
      <c r="B21" s="422"/>
      <c r="C21" s="2262">
        <f>'2A'!C9</f>
        <v>1</v>
      </c>
      <c r="D21" s="2250">
        <v>6</v>
      </c>
      <c r="E21" s="2250">
        <f>104700*1.15</f>
        <v>120404.99999999999</v>
      </c>
      <c r="F21" s="2251">
        <v>0</v>
      </c>
      <c r="G21" s="2251">
        <v>0</v>
      </c>
      <c r="H21" s="2251"/>
      <c r="I21" s="2251">
        <v>6294</v>
      </c>
      <c r="J21" s="2251">
        <f>24483-9000</f>
        <v>15483</v>
      </c>
      <c r="K21" s="2263">
        <f t="shared" ref="K21:K32" si="0">SUM(E21:J21)</f>
        <v>142182</v>
      </c>
      <c r="L21" s="2264"/>
      <c r="M21" s="2252">
        <v>1</v>
      </c>
      <c r="N21" s="2253">
        <v>8700</v>
      </c>
      <c r="O21" s="2265">
        <f t="shared" ref="O21:O32" si="1">K21+N21</f>
        <v>150882</v>
      </c>
      <c r="P21" s="3"/>
    </row>
    <row r="22" spans="2:16" x14ac:dyDescent="0.3">
      <c r="B22" s="422"/>
      <c r="C22" s="2266">
        <f>'2A'!C10</f>
        <v>2</v>
      </c>
      <c r="D22" s="2254"/>
      <c r="E22" s="2254"/>
      <c r="F22" s="2255"/>
      <c r="G22" s="2255"/>
      <c r="H22" s="2255"/>
      <c r="I22" s="2255"/>
      <c r="J22" s="2255"/>
      <c r="K22" s="2267">
        <f t="shared" si="0"/>
        <v>0</v>
      </c>
      <c r="L22" s="2268"/>
      <c r="M22" s="2256"/>
      <c r="N22" s="2257"/>
      <c r="O22" s="2269">
        <f t="shared" si="1"/>
        <v>0</v>
      </c>
      <c r="P22" s="3"/>
    </row>
    <row r="23" spans="2:16" x14ac:dyDescent="0.3">
      <c r="B23" s="422"/>
      <c r="C23" s="2266">
        <f>'2A'!C11</f>
        <v>3</v>
      </c>
      <c r="D23" s="2256"/>
      <c r="E23" s="2256"/>
      <c r="F23" s="2257"/>
      <c r="G23" s="2257"/>
      <c r="H23" s="2257"/>
      <c r="I23" s="2257"/>
      <c r="J23" s="2257"/>
      <c r="K23" s="2267">
        <f t="shared" si="0"/>
        <v>0</v>
      </c>
      <c r="L23" s="2268"/>
      <c r="M23" s="2256"/>
      <c r="N23" s="2257"/>
      <c r="O23" s="2269">
        <f t="shared" si="1"/>
        <v>0</v>
      </c>
      <c r="P23" s="3"/>
    </row>
    <row r="24" spans="2:16" x14ac:dyDescent="0.3">
      <c r="B24" s="422"/>
      <c r="C24" s="2266">
        <f>'2A'!C12</f>
        <v>4</v>
      </c>
      <c r="D24" s="2254"/>
      <c r="E24" s="2254"/>
      <c r="F24" s="2255"/>
      <c r="G24" s="2255"/>
      <c r="H24" s="2255"/>
      <c r="I24" s="2255"/>
      <c r="J24" s="2255"/>
      <c r="K24" s="2267">
        <f t="shared" si="0"/>
        <v>0</v>
      </c>
      <c r="L24" s="2268"/>
      <c r="M24" s="2256"/>
      <c r="N24" s="2257"/>
      <c r="O24" s="2269">
        <f t="shared" si="1"/>
        <v>0</v>
      </c>
      <c r="P24" s="3"/>
    </row>
    <row r="25" spans="2:16" x14ac:dyDescent="0.3">
      <c r="B25" s="422"/>
      <c r="C25" s="2270">
        <f>'2A'!C13</f>
        <v>5</v>
      </c>
      <c r="D25" s="2258"/>
      <c r="E25" s="2258"/>
      <c r="F25" s="2259"/>
      <c r="G25" s="2259"/>
      <c r="H25" s="2259"/>
      <c r="I25" s="2259"/>
      <c r="J25" s="2259"/>
      <c r="K25" s="2271">
        <f t="shared" si="0"/>
        <v>0</v>
      </c>
      <c r="L25" s="2272"/>
      <c r="M25" s="2258"/>
      <c r="N25" s="2259"/>
      <c r="O25" s="2273">
        <f t="shared" si="1"/>
        <v>0</v>
      </c>
      <c r="P25" s="3"/>
    </row>
    <row r="26" spans="2:16" x14ac:dyDescent="0.3">
      <c r="B26" s="422"/>
      <c r="C26" s="2552"/>
      <c r="D26" s="2553"/>
      <c r="E26" s="2274">
        <f>SUM(E21:E25)</f>
        <v>120404.99999999999</v>
      </c>
      <c r="F26" s="2275">
        <f t="shared" ref="F26:K26" si="2">SUM(F21:F25)</f>
        <v>0</v>
      </c>
      <c r="G26" s="2275">
        <f t="shared" si="2"/>
        <v>0</v>
      </c>
      <c r="H26" s="2275">
        <f t="shared" si="2"/>
        <v>0</v>
      </c>
      <c r="I26" s="2275">
        <f t="shared" si="2"/>
        <v>6294</v>
      </c>
      <c r="J26" s="2275">
        <f t="shared" si="2"/>
        <v>15483</v>
      </c>
      <c r="K26" s="2275">
        <f t="shared" si="2"/>
        <v>142182</v>
      </c>
      <c r="L26" s="2264"/>
      <c r="M26" s="2276"/>
      <c r="N26" s="2274">
        <f>SUM(N21:N25)</f>
        <v>8700</v>
      </c>
      <c r="O26" s="2277">
        <f>SUM(O21:O25)</f>
        <v>150882</v>
      </c>
      <c r="P26" s="3"/>
    </row>
    <row r="27" spans="2:16" x14ac:dyDescent="0.3">
      <c r="B27" s="422"/>
      <c r="C27" s="2547" t="str">
        <f>IF('1'!G55="","Enter Site Name/ID Number on Form 1",(CONCATENATE("Site Name/ID: ",'1'!G55)))</f>
        <v>Site Name/ID: Site B - 9% Building</v>
      </c>
      <c r="D27" s="2548"/>
      <c r="E27" s="2548"/>
      <c r="F27" s="2548"/>
      <c r="G27" s="2548"/>
      <c r="H27" s="2548"/>
      <c r="I27" s="2548"/>
      <c r="J27" s="2548"/>
      <c r="K27" s="2548"/>
      <c r="L27" s="2548"/>
      <c r="M27" s="2548"/>
      <c r="N27" s="2548"/>
      <c r="O27" s="2549"/>
      <c r="P27" s="3"/>
    </row>
    <row r="28" spans="2:16" x14ac:dyDescent="0.3">
      <c r="B28" s="422"/>
      <c r="C28" s="2262">
        <f>'2A'!C16</f>
        <v>1</v>
      </c>
      <c r="D28" s="2250">
        <v>6</v>
      </c>
      <c r="E28" s="2250">
        <f>58900*1.15</f>
        <v>67735</v>
      </c>
      <c r="F28" s="2251"/>
      <c r="G28" s="2251"/>
      <c r="H28" s="2251">
        <v>700</v>
      </c>
      <c r="I28" s="2251">
        <v>2700</v>
      </c>
      <c r="J28" s="2251">
        <v>9000</v>
      </c>
      <c r="K28" s="2263">
        <f t="shared" si="0"/>
        <v>80135</v>
      </c>
      <c r="L28" s="2264"/>
      <c r="M28" s="2252">
        <v>1</v>
      </c>
      <c r="N28" s="2253">
        <v>56163</v>
      </c>
      <c r="O28" s="2265">
        <f t="shared" si="1"/>
        <v>136298</v>
      </c>
      <c r="P28" s="3"/>
    </row>
    <row r="29" spans="2:16" x14ac:dyDescent="0.3">
      <c r="B29" s="422"/>
      <c r="C29" s="2266">
        <f>'2A'!C17</f>
        <v>2</v>
      </c>
      <c r="D29" s="2256"/>
      <c r="E29" s="2256"/>
      <c r="F29" s="2257"/>
      <c r="G29" s="2257"/>
      <c r="H29" s="2257"/>
      <c r="I29" s="2257"/>
      <c r="J29" s="2257"/>
      <c r="K29" s="2267">
        <f t="shared" si="0"/>
        <v>0</v>
      </c>
      <c r="L29" s="2268"/>
      <c r="M29" s="2256"/>
      <c r="N29" s="2257"/>
      <c r="O29" s="2269">
        <f t="shared" si="1"/>
        <v>0</v>
      </c>
      <c r="P29" s="3"/>
    </row>
    <row r="30" spans="2:16" x14ac:dyDescent="0.3">
      <c r="B30" s="422"/>
      <c r="C30" s="2266">
        <f>'2A'!C18</f>
        <v>3</v>
      </c>
      <c r="D30" s="2254"/>
      <c r="E30" s="2254"/>
      <c r="F30" s="2255"/>
      <c r="G30" s="2255"/>
      <c r="H30" s="2255"/>
      <c r="I30" s="2255"/>
      <c r="J30" s="2255"/>
      <c r="K30" s="2267">
        <f t="shared" si="0"/>
        <v>0</v>
      </c>
      <c r="L30" s="2268"/>
      <c r="M30" s="2256"/>
      <c r="N30" s="2257"/>
      <c r="O30" s="2269">
        <f t="shared" si="1"/>
        <v>0</v>
      </c>
      <c r="P30" s="3"/>
    </row>
    <row r="31" spans="2:16" x14ac:dyDescent="0.3">
      <c r="B31" s="422"/>
      <c r="C31" s="2266">
        <f>'2A'!C19</f>
        <v>4</v>
      </c>
      <c r="D31" s="2256"/>
      <c r="E31" s="2256"/>
      <c r="F31" s="2257"/>
      <c r="G31" s="2257"/>
      <c r="H31" s="2257"/>
      <c r="I31" s="2257"/>
      <c r="J31" s="2257"/>
      <c r="K31" s="2267">
        <f t="shared" si="0"/>
        <v>0</v>
      </c>
      <c r="L31" s="2268"/>
      <c r="M31" s="2256"/>
      <c r="N31" s="2257"/>
      <c r="O31" s="2269">
        <f t="shared" si="1"/>
        <v>0</v>
      </c>
      <c r="P31" s="3"/>
    </row>
    <row r="32" spans="2:16" x14ac:dyDescent="0.3">
      <c r="B32" s="422"/>
      <c r="C32" s="2278">
        <f>'2A'!C20</f>
        <v>5</v>
      </c>
      <c r="D32" s="2260"/>
      <c r="E32" s="2260"/>
      <c r="F32" s="2261"/>
      <c r="G32" s="2261"/>
      <c r="H32" s="2261"/>
      <c r="I32" s="2261"/>
      <c r="J32" s="2261"/>
      <c r="K32" s="2271">
        <f t="shared" si="0"/>
        <v>0</v>
      </c>
      <c r="L32" s="2272"/>
      <c r="M32" s="2258"/>
      <c r="N32" s="2259"/>
      <c r="O32" s="2273">
        <f t="shared" si="1"/>
        <v>0</v>
      </c>
      <c r="P32" s="3"/>
    </row>
    <row r="33" spans="2:16" ht="15" thickBot="1" x14ac:dyDescent="0.35">
      <c r="B33" s="422"/>
      <c r="C33" s="2550"/>
      <c r="D33" s="2551"/>
      <c r="E33" s="2279">
        <f t="shared" ref="E33:K33" si="3">SUM(E28:E32)</f>
        <v>67735</v>
      </c>
      <c r="F33" s="2280">
        <f t="shared" si="3"/>
        <v>0</v>
      </c>
      <c r="G33" s="2280">
        <f t="shared" si="3"/>
        <v>0</v>
      </c>
      <c r="H33" s="2280">
        <f t="shared" si="3"/>
        <v>700</v>
      </c>
      <c r="I33" s="2280">
        <f t="shared" si="3"/>
        <v>2700</v>
      </c>
      <c r="J33" s="2280">
        <f t="shared" si="3"/>
        <v>9000</v>
      </c>
      <c r="K33" s="2279">
        <f t="shared" si="3"/>
        <v>80135</v>
      </c>
      <c r="L33" s="2281"/>
      <c r="M33" s="2282"/>
      <c r="N33" s="2283">
        <f>SUM(N28:N32)</f>
        <v>56163</v>
      </c>
      <c r="O33" s="2284">
        <f>SUM(O28:O32)</f>
        <v>136298</v>
      </c>
      <c r="P33" s="3"/>
    </row>
    <row r="34" spans="2:16" ht="15.6" thickTop="1" thickBot="1" x14ac:dyDescent="0.35">
      <c r="B34" s="422"/>
      <c r="C34" s="2061" t="s">
        <v>64</v>
      </c>
      <c r="D34" s="2062"/>
      <c r="E34" s="2064">
        <f t="shared" ref="E34:K34" si="4">E26+E33</f>
        <v>188140</v>
      </c>
      <c r="F34" s="2065">
        <f t="shared" si="4"/>
        <v>0</v>
      </c>
      <c r="G34" s="2065">
        <f t="shared" si="4"/>
        <v>0</v>
      </c>
      <c r="H34" s="2065">
        <f t="shared" si="4"/>
        <v>700</v>
      </c>
      <c r="I34" s="2065">
        <f t="shared" si="4"/>
        <v>8994</v>
      </c>
      <c r="J34" s="2066">
        <f t="shared" si="4"/>
        <v>24483</v>
      </c>
      <c r="K34" s="678">
        <f t="shared" si="4"/>
        <v>222317</v>
      </c>
      <c r="L34" s="676"/>
      <c r="M34" s="677"/>
      <c r="N34" s="675">
        <f>N26+N33</f>
        <v>64863</v>
      </c>
      <c r="O34" s="2067">
        <f>O26+O33</f>
        <v>287180</v>
      </c>
      <c r="P34" s="3"/>
    </row>
    <row r="35" spans="2:16" ht="15" thickBot="1" x14ac:dyDescent="0.35">
      <c r="B35" s="1438"/>
      <c r="C35" s="6"/>
      <c r="D35" s="6"/>
      <c r="E35" s="6"/>
      <c r="F35" s="6"/>
      <c r="G35" s="6"/>
      <c r="H35" s="6"/>
      <c r="I35" s="6"/>
      <c r="J35" s="6"/>
      <c r="K35" s="6"/>
      <c r="L35" s="6"/>
      <c r="M35" s="423"/>
      <c r="N35" s="423"/>
      <c r="O35" s="423"/>
      <c r="P35" s="1439"/>
    </row>
    <row r="36" spans="2:16" x14ac:dyDescent="0.3">
      <c r="M36" s="399" t="s">
        <v>2206</v>
      </c>
    </row>
    <row r="37" spans="2:16" x14ac:dyDescent="0.3">
      <c r="M37" s="399" t="s">
        <v>2207</v>
      </c>
    </row>
  </sheetData>
  <sheetProtection algorithmName="SHA-512" hashValue="P/jcZggyf+WiC54AB8X5697mrCEg1wlPep6LRhvMmayHJEjk+7ENtUXbS7egk8/lD4W59H1mX6x46Ts1iba+zg==" saltValue="dHI7hfsMZJJ257oWgwo6xg==" spinCount="100000" sheet="1" formatCells="0" formatColumns="0" formatRows="0"/>
  <mergeCells count="20">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 ref="C20:O20"/>
    <mergeCell ref="C33:D33"/>
    <mergeCell ref="C26:D26"/>
    <mergeCell ref="C27:O27"/>
  </mergeCells>
  <pageMargins left="0.7" right="0.7" top="1" bottom="0.75" header="0.3" footer="0.3"/>
  <pageSetup scale="86" orientation="landscape" r:id="rId1"/>
  <headerFooter>
    <oddFooter>&amp;LForm 2B
Square Footage Details&amp;CCFA Forms&amp;REdition: 2017
Version: 1.0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0:P151"/>
  <sheetViews>
    <sheetView showGridLines="0" topLeftCell="A4" zoomScaleNormal="100" zoomScaleSheetLayoutView="70" zoomScalePageLayoutView="70" workbookViewId="0">
      <selection activeCell="AC28" sqref="AC27:AC28"/>
    </sheetView>
  </sheetViews>
  <sheetFormatPr defaultColWidth="9.109375" defaultRowHeight="14.4" x14ac:dyDescent="0.3"/>
  <cols>
    <col min="1" max="4" width="1.6640625" style="1440" customWidth="1"/>
    <col min="5" max="5" width="14.33203125" style="1440" customWidth="1"/>
    <col min="6" max="6" width="16.33203125" style="1440" customWidth="1"/>
    <col min="7" max="7" width="4" style="1440" customWidth="1"/>
    <col min="8" max="8" width="36" style="1440" customWidth="1"/>
    <col min="9" max="9" width="38.88671875" style="1440" bestFit="1" customWidth="1"/>
    <col min="10" max="10" width="8.44140625" style="1440" bestFit="1" customWidth="1"/>
    <col min="11" max="11" width="3.33203125" style="1440" hidden="1" customWidth="1"/>
    <col min="12" max="13" width="1.6640625" style="1440" customWidth="1"/>
    <col min="14" max="16384" width="9.109375" style="1440"/>
  </cols>
  <sheetData>
    <row r="10" spans="2:12" ht="6.75" customHeight="1" x14ac:dyDescent="0.3"/>
    <row r="11" spans="2:12" ht="6.75" customHeight="1" thickBot="1" x14ac:dyDescent="0.35"/>
    <row r="12" spans="2:12" s="1441" customFormat="1" ht="7.5" customHeight="1" x14ac:dyDescent="0.3">
      <c r="B12" s="1211"/>
      <c r="C12" s="1212"/>
      <c r="D12" s="1212"/>
      <c r="E12" s="1212"/>
      <c r="F12" s="1212"/>
      <c r="G12" s="1212"/>
      <c r="H12" s="1212"/>
      <c r="I12" s="1212"/>
      <c r="J12" s="1212"/>
      <c r="K12" s="1212"/>
      <c r="L12" s="1213"/>
    </row>
    <row r="13" spans="2:12" s="1441" customFormat="1" ht="18" x14ac:dyDescent="0.35">
      <c r="B13" s="1214"/>
      <c r="C13" s="2567" t="s">
        <v>677</v>
      </c>
      <c r="D13" s="2567"/>
      <c r="E13" s="2567"/>
      <c r="F13" s="2567"/>
      <c r="G13" s="2567"/>
      <c r="H13" s="2567"/>
      <c r="I13" s="2567"/>
      <c r="J13" s="2567"/>
      <c r="K13" s="1869"/>
      <c r="L13" s="1215"/>
    </row>
    <row r="14" spans="2:12" s="1441" customFormat="1" ht="7.5" customHeight="1" x14ac:dyDescent="0.35">
      <c r="B14" s="1214"/>
      <c r="C14" s="1869"/>
      <c r="D14" s="1869"/>
      <c r="E14" s="1216"/>
      <c r="F14" s="1216"/>
      <c r="G14" s="1216"/>
      <c r="H14" s="1216"/>
      <c r="I14" s="1216"/>
      <c r="J14" s="1216"/>
      <c r="K14" s="1869"/>
      <c r="L14" s="1215"/>
    </row>
    <row r="15" spans="2:12" s="1441" customFormat="1" x14ac:dyDescent="0.3">
      <c r="B15" s="1214"/>
      <c r="C15" s="1217"/>
      <c r="D15" s="2568"/>
      <c r="E15" s="2568"/>
      <c r="F15" s="2568"/>
      <c r="G15" s="2568"/>
      <c r="H15" s="2568"/>
      <c r="I15" s="2568"/>
      <c r="J15" s="2568"/>
      <c r="K15" s="1869"/>
      <c r="L15" s="1215"/>
    </row>
    <row r="16" spans="2:12" s="1441" customFormat="1" ht="3.75" customHeight="1" x14ac:dyDescent="0.3">
      <c r="B16" s="1214"/>
      <c r="C16" s="1217"/>
      <c r="D16" s="1869"/>
      <c r="E16" s="1869"/>
      <c r="F16" s="1869"/>
      <c r="G16" s="1869"/>
      <c r="H16" s="1869"/>
      <c r="I16" s="1869"/>
      <c r="J16" s="1869"/>
      <c r="K16" s="1869"/>
      <c r="L16" s="1215"/>
    </row>
    <row r="17" spans="2:16" s="1441" customFormat="1" x14ac:dyDescent="0.3">
      <c r="B17" s="1214"/>
      <c r="C17" s="1217"/>
      <c r="D17" s="1869"/>
      <c r="E17" s="1869"/>
      <c r="F17" s="1869"/>
      <c r="G17" s="1869"/>
      <c r="H17" s="1869"/>
      <c r="I17" s="1869"/>
      <c r="J17" s="1869"/>
      <c r="K17" s="493"/>
      <c r="L17" s="561"/>
      <c r="M17" s="1442"/>
      <c r="N17" s="1442"/>
      <c r="O17" s="1442"/>
      <c r="P17" s="1442"/>
    </row>
    <row r="18" spans="2:16" ht="15.6" x14ac:dyDescent="0.3">
      <c r="B18" s="1214"/>
      <c r="C18" s="1217"/>
      <c r="D18" s="1869"/>
      <c r="E18" s="1218"/>
      <c r="F18" s="2569" t="str">
        <f>IF('1'!G5="","Enter Project Name on Form 1",(CONCATENATE("Project Name: ",'1'!G5)))</f>
        <v>Project Name: 6600 Roosevelt Way NE</v>
      </c>
      <c r="G18" s="2569"/>
      <c r="H18" s="2569"/>
      <c r="I18" s="2569"/>
      <c r="J18" s="1210"/>
      <c r="K18" s="424"/>
      <c r="L18" s="201"/>
    </row>
    <row r="19" spans="2:16" ht="7.5" customHeight="1" x14ac:dyDescent="0.3">
      <c r="B19" s="1214"/>
      <c r="C19" s="1217"/>
      <c r="D19" s="1869"/>
      <c r="E19" s="1210"/>
      <c r="F19" s="1210"/>
      <c r="G19" s="1210"/>
      <c r="H19" s="424"/>
      <c r="I19" s="1210"/>
      <c r="J19" s="424"/>
      <c r="K19" s="424"/>
      <c r="L19" s="201"/>
    </row>
    <row r="20" spans="2:16" ht="7.5" customHeight="1" x14ac:dyDescent="0.3">
      <c r="B20" s="1214"/>
      <c r="C20" s="1217"/>
      <c r="D20" s="1869"/>
      <c r="E20" s="1210"/>
      <c r="F20" s="1210"/>
      <c r="G20" s="1210"/>
      <c r="H20" s="1875"/>
      <c r="I20" s="1220"/>
      <c r="J20" s="1219"/>
      <c r="K20" s="424"/>
      <c r="L20" s="201"/>
    </row>
    <row r="21" spans="2:16" x14ac:dyDescent="0.3">
      <c r="B21" s="1214"/>
      <c r="C21" s="1217"/>
      <c r="D21" s="1869"/>
      <c r="E21" s="17" t="s">
        <v>678</v>
      </c>
      <c r="F21" s="2570" t="s">
        <v>828</v>
      </c>
      <c r="G21" s="2571"/>
      <c r="H21" s="1875"/>
      <c r="I21" s="1220"/>
      <c r="J21" s="1219"/>
      <c r="K21" s="424"/>
      <c r="L21" s="201"/>
    </row>
    <row r="22" spans="2:16" ht="3.75" customHeight="1" x14ac:dyDescent="0.3">
      <c r="B22" s="1214"/>
      <c r="C22" s="1217"/>
      <c r="D22" s="1869"/>
      <c r="E22" s="424"/>
      <c r="F22" s="424"/>
      <c r="G22" s="217"/>
      <c r="H22" s="1875"/>
      <c r="I22" s="1875"/>
      <c r="J22" s="1875"/>
      <c r="K22" s="424"/>
      <c r="L22" s="201"/>
    </row>
    <row r="23" spans="2:16" x14ac:dyDescent="0.3">
      <c r="B23" s="1214"/>
      <c r="C23" s="1217"/>
      <c r="D23" s="1869"/>
      <c r="E23" s="17" t="s">
        <v>679</v>
      </c>
      <c r="F23" s="2570" t="s">
        <v>27</v>
      </c>
      <c r="G23" s="2571"/>
      <c r="H23" s="1875"/>
      <c r="I23" s="1220"/>
      <c r="J23" s="1219"/>
      <c r="K23" s="424"/>
      <c r="L23" s="201"/>
    </row>
    <row r="24" spans="2:16" x14ac:dyDescent="0.3">
      <c r="B24" s="1214"/>
      <c r="C24" s="1217"/>
      <c r="D24" s="1869"/>
      <c r="E24" s="424"/>
      <c r="F24" s="424"/>
      <c r="G24" s="217"/>
      <c r="H24" s="424"/>
      <c r="I24" s="1220"/>
      <c r="J24" s="1219"/>
      <c r="K24" s="424"/>
      <c r="L24" s="201"/>
    </row>
    <row r="25" spans="2:16" x14ac:dyDescent="0.3">
      <c r="B25" s="1214"/>
      <c r="C25" s="1217"/>
      <c r="D25" s="1869"/>
      <c r="E25" s="1221" t="s">
        <v>680</v>
      </c>
      <c r="F25" s="1221"/>
      <c r="G25" s="1221"/>
      <c r="H25" s="1221"/>
      <c r="I25" s="1210"/>
      <c r="J25" s="1210"/>
      <c r="K25" s="1869"/>
      <c r="L25" s="1215"/>
    </row>
    <row r="26" spans="2:16" x14ac:dyDescent="0.3">
      <c r="B26" s="1214"/>
      <c r="C26" s="1217"/>
      <c r="D26" s="1869"/>
      <c r="E26" s="1222" t="s">
        <v>681</v>
      </c>
      <c r="F26" s="1223" t="s">
        <v>682</v>
      </c>
      <c r="G26" s="1224"/>
      <c r="H26" s="1224"/>
      <c r="I26" s="1225" t="s">
        <v>683</v>
      </c>
      <c r="J26" s="1226" t="s">
        <v>684</v>
      </c>
      <c r="K26" s="1869"/>
      <c r="L26" s="1215"/>
      <c r="P26" s="1443"/>
    </row>
    <row r="27" spans="2:16" x14ac:dyDescent="0.3">
      <c r="B27" s="1214"/>
      <c r="C27" s="1217"/>
      <c r="D27" s="1869"/>
      <c r="E27" s="1227" t="s">
        <v>685</v>
      </c>
      <c r="F27" s="2575" t="s">
        <v>686</v>
      </c>
      <c r="G27" s="2576"/>
      <c r="H27" s="2577"/>
      <c r="I27" s="1228" t="str">
        <f t="array" ref="I27">IFERROR(INDEX('ESDS-Reference Table'!G1:G493,MATCH(1,('ESDS-Reference Table'!F1:F493=E27)*('ESDS-Reference Table'!H1:H493=F21)*('ESDS-Reference Table'!I1:I493=F23),0)),"Select Region and Activity")</f>
        <v>Mandatory</v>
      </c>
      <c r="J27" s="1229" t="s">
        <v>1949</v>
      </c>
      <c r="K27" s="1869">
        <f>N(J27)</f>
        <v>0</v>
      </c>
      <c r="L27" s="1215"/>
      <c r="N27" s="400"/>
    </row>
    <row r="28" spans="2:16" x14ac:dyDescent="0.3">
      <c r="B28" s="1214"/>
      <c r="C28" s="1217"/>
      <c r="D28" s="1869"/>
      <c r="E28" s="1230" t="s">
        <v>687</v>
      </c>
      <c r="F28" s="2578" t="s">
        <v>688</v>
      </c>
      <c r="G28" s="2579"/>
      <c r="H28" s="2580"/>
      <c r="I28" s="1231" t="str">
        <f t="array" ref="I28">IFERROR(INDEX('ESDS-Reference Table'!G1:G493,MATCH(1,('ESDS-Reference Table'!F1:F493=E28)*('ESDS-Reference Table'!H1:H493=F21)*('ESDS-Reference Table'!I1:I493=F23),0)),"Select Region and Activity")</f>
        <v>0,2,4,6,8 or 10</v>
      </c>
      <c r="J28" s="1229">
        <v>4</v>
      </c>
      <c r="K28" s="1869"/>
      <c r="L28" s="1215"/>
      <c r="N28" s="400"/>
    </row>
    <row r="29" spans="2:16" x14ac:dyDescent="0.3">
      <c r="B29" s="1214"/>
      <c r="C29" s="1217"/>
      <c r="D29" s="1869"/>
      <c r="E29" s="1232">
        <v>1.2</v>
      </c>
      <c r="F29" s="2581" t="s">
        <v>689</v>
      </c>
      <c r="G29" s="2582"/>
      <c r="H29" s="2583"/>
      <c r="I29" s="1233" t="str">
        <f t="array" ref="I29">IFERROR(INDEX('ESDS-Reference Table'!G1:G493,MATCH(1,('ESDS-Reference Table'!F1:F493=E29)*('ESDS-Reference Table'!H1:H493=F21)*('ESDS-Reference Table'!I1:I493=F23),0)),"Select Region and Activity")</f>
        <v>up to 3</v>
      </c>
      <c r="J29" s="1229">
        <v>0</v>
      </c>
      <c r="K29" s="1869">
        <f>N(J29)</f>
        <v>0</v>
      </c>
      <c r="L29" s="1215"/>
    </row>
    <row r="30" spans="2:16" x14ac:dyDescent="0.3">
      <c r="B30" s="1214"/>
      <c r="C30" s="1217"/>
      <c r="D30" s="1869"/>
      <c r="E30" s="1234" t="s">
        <v>690</v>
      </c>
      <c r="F30" s="2578" t="s">
        <v>691</v>
      </c>
      <c r="G30" s="2579"/>
      <c r="H30" s="2580"/>
      <c r="I30" s="1233" t="str">
        <f t="array" ref="I30">IFERROR(INDEX('ESDS-Reference Table'!G1:G493,MATCH(1,('ESDS-Reference Table'!F1:F493=E30)*('ESDS-Reference Table'!H1:H493=F21)*('ESDS-Reference Table'!I1:I493=F23),0)),"Select Region and Activity")</f>
        <v>Mandatory</v>
      </c>
      <c r="J30" s="1229" t="s">
        <v>1949</v>
      </c>
      <c r="K30" s="1869"/>
      <c r="L30" s="1215"/>
    </row>
    <row r="31" spans="2:16" x14ac:dyDescent="0.3">
      <c r="B31" s="1214"/>
      <c r="C31" s="1217"/>
      <c r="D31" s="1869"/>
      <c r="E31" s="1232" t="s">
        <v>692</v>
      </c>
      <c r="F31" s="2584" t="s">
        <v>693</v>
      </c>
      <c r="G31" s="2582"/>
      <c r="H31" s="2583"/>
      <c r="I31" s="1233" t="str">
        <f t="array" ref="I31">IFERROR(INDEX('ESDS-Reference Table'!G1:G493,MATCH(1,('ESDS-Reference Table'!F1:F493=E31)*('ESDS-Reference Table'!H1:H493=F21)*('ESDS-Reference Table'!I1:I493=F23),0)),"Select Region and Activity")</f>
        <v>up to 12 (2 point increments)</v>
      </c>
      <c r="J31" s="1229">
        <v>4</v>
      </c>
      <c r="K31" s="1869"/>
      <c r="L31" s="1215"/>
    </row>
    <row r="32" spans="2:16" x14ac:dyDescent="0.3">
      <c r="B32" s="1214"/>
      <c r="C32" s="1217"/>
      <c r="D32" s="1869"/>
      <c r="E32" s="1232">
        <v>1.4</v>
      </c>
      <c r="F32" s="2585" t="s">
        <v>694</v>
      </c>
      <c r="G32" s="2586"/>
      <c r="H32" s="2587"/>
      <c r="I32" s="1233" t="str">
        <f t="array" ref="I32">IFERROR(INDEX('ESDS-Reference Table'!G1:G493,MATCH(1,('ESDS-Reference Table'!F1:F493=E32)*('ESDS-Reference Table'!H1:H493=F21)*('ESDS-Reference Table'!I1:I493=F23),0)),"Select Region and Activity")</f>
        <v>0,3 or 6</v>
      </c>
      <c r="J32" s="1229">
        <v>3</v>
      </c>
      <c r="K32" s="1869"/>
      <c r="L32" s="1215"/>
    </row>
    <row r="33" spans="2:15" x14ac:dyDescent="0.3">
      <c r="B33" s="1214"/>
      <c r="C33" s="1217"/>
      <c r="D33" s="1869"/>
      <c r="E33" s="1235" t="s">
        <v>31</v>
      </c>
      <c r="F33" s="1236"/>
      <c r="G33" s="1237"/>
      <c r="H33" s="1237"/>
      <c r="I33" s="1238" t="s">
        <v>695</v>
      </c>
      <c r="J33" s="1239">
        <f>SUM(J27:J32)</f>
        <v>11</v>
      </c>
      <c r="K33" s="1869"/>
      <c r="L33" s="1215"/>
    </row>
    <row r="34" spans="2:15" s="1441" customFormat="1" ht="7.5" customHeight="1" x14ac:dyDescent="0.3">
      <c r="B34" s="1214"/>
      <c r="C34" s="1217"/>
      <c r="D34" s="1869"/>
      <c r="E34" s="1240"/>
      <c r="F34" s="1240"/>
      <c r="G34" s="1240"/>
      <c r="H34" s="1240"/>
      <c r="I34" s="1241"/>
      <c r="J34" s="1242"/>
      <c r="K34" s="1869"/>
      <c r="L34" s="1215"/>
      <c r="O34" s="1440"/>
    </row>
    <row r="35" spans="2:15" s="1441" customFormat="1" x14ac:dyDescent="0.3">
      <c r="B35" s="1214"/>
      <c r="C35" s="1217"/>
      <c r="D35" s="1869"/>
      <c r="E35" s="1243" t="s">
        <v>696</v>
      </c>
      <c r="F35" s="1243"/>
      <c r="G35" s="1243"/>
      <c r="H35" s="1243"/>
      <c r="I35" s="1241"/>
      <c r="J35" s="1869"/>
      <c r="K35" s="1869"/>
      <c r="L35" s="1215"/>
      <c r="O35" s="1440"/>
    </row>
    <row r="36" spans="2:15" x14ac:dyDescent="0.3">
      <c r="B36" s="1214"/>
      <c r="C36" s="1217"/>
      <c r="D36" s="1869"/>
      <c r="E36" s="1222" t="s">
        <v>681</v>
      </c>
      <c r="F36" s="1223" t="s">
        <v>682</v>
      </c>
      <c r="G36" s="1224"/>
      <c r="H36" s="1224"/>
      <c r="I36" s="1225" t="s">
        <v>683</v>
      </c>
      <c r="J36" s="1226" t="s">
        <v>684</v>
      </c>
      <c r="K36" s="1869"/>
      <c r="L36" s="1215"/>
    </row>
    <row r="37" spans="2:15" x14ac:dyDescent="0.3">
      <c r="B37" s="1214"/>
      <c r="C37" s="1217"/>
      <c r="D37" s="1869"/>
      <c r="E37" s="1244">
        <v>2.1</v>
      </c>
      <c r="F37" s="2588" t="s">
        <v>697</v>
      </c>
      <c r="G37" s="2589"/>
      <c r="H37" s="2590"/>
      <c r="I37" s="384" t="str">
        <f t="array" ref="I37">IFERROR(INDEX('ESDS-Reference Table'!G1:G493,MATCH(1,('ESDS-Reference Table'!F1:F493=E37)*('ESDS-Reference Table'!H1:H493=F21)*('ESDS-Reference Table'!I1:I493=F23),0)),"Select Region and Activity")</f>
        <v>Mandatory</v>
      </c>
      <c r="J37" s="1229" t="s">
        <v>1949</v>
      </c>
      <c r="K37" s="1869">
        <f t="shared" ref="K37:K47" si="0">N(J37)</f>
        <v>0</v>
      </c>
      <c r="L37" s="1215"/>
    </row>
    <row r="38" spans="2:15" x14ac:dyDescent="0.3">
      <c r="B38" s="1214"/>
      <c r="C38" s="1217"/>
      <c r="D38" s="1869"/>
      <c r="E38" s="1245">
        <v>2.2000000000000002</v>
      </c>
      <c r="F38" s="2572" t="s">
        <v>698</v>
      </c>
      <c r="G38" s="2573"/>
      <c r="H38" s="2574"/>
      <c r="I38" s="1246" t="str">
        <f t="array" ref="I38">IFERROR(INDEX('ESDS-Reference Table'!G1:G493,MATCH(1,('ESDS-Reference Table'!F1:F493=E38)*('ESDS-Reference Table'!H1:H493=F21)*('ESDS-Reference Table'!I1:I493=F23),0)),"Select Region and Activity")</f>
        <v>Mandatory</v>
      </c>
      <c r="J38" s="1229" t="s">
        <v>571</v>
      </c>
      <c r="K38" s="1869">
        <f t="shared" si="0"/>
        <v>0</v>
      </c>
      <c r="L38" s="1247"/>
      <c r="N38" s="400"/>
    </row>
    <row r="39" spans="2:15" x14ac:dyDescent="0.3">
      <c r="B39" s="1214"/>
      <c r="C39" s="1217"/>
      <c r="D39" s="1869"/>
      <c r="E39" s="1245">
        <v>2.2999999999999998</v>
      </c>
      <c r="F39" s="2572" t="s">
        <v>699</v>
      </c>
      <c r="G39" s="2573"/>
      <c r="H39" s="2574"/>
      <c r="I39" s="1246" t="str">
        <f t="array" ref="I39">IFERROR(INDEX('ESDS-Reference Table'!G1:G493,MATCH(1,('ESDS-Reference Table'!F1:F493=E39)*('ESDS-Reference Table'!H1:H493=F21)*('ESDS-Reference Table'!I1:I493=F23),0)),"Select Region and Activity")</f>
        <v>Mandatory</v>
      </c>
      <c r="J39" s="1229" t="s">
        <v>1949</v>
      </c>
      <c r="K39" s="1869">
        <f t="shared" si="0"/>
        <v>0</v>
      </c>
      <c r="L39" s="1215"/>
    </row>
    <row r="40" spans="2:15" x14ac:dyDescent="0.3">
      <c r="B40" s="1214"/>
      <c r="C40" s="1217"/>
      <c r="D40" s="1869"/>
      <c r="E40" s="1245">
        <v>2.4</v>
      </c>
      <c r="F40" s="2572" t="s">
        <v>700</v>
      </c>
      <c r="G40" s="2573"/>
      <c r="H40" s="2574"/>
      <c r="I40" s="1246" t="str">
        <f t="array" ref="I40">IFERROR(INDEX('ESDS-Reference Table'!G1:G493,MATCH(1,('ESDS-Reference Table'!F1:F493=E40)*('ESDS-Reference Table'!H1:H493=F21)*('ESDS-Reference Table'!I1:I493=F23),0)),"Select Region and Activity")</f>
        <v>0 or 5</v>
      </c>
      <c r="J40" s="1229">
        <v>5</v>
      </c>
      <c r="K40" s="1869">
        <f t="shared" si="0"/>
        <v>5</v>
      </c>
      <c r="L40" s="1215"/>
      <c r="N40" s="400"/>
    </row>
    <row r="41" spans="2:15" ht="15" customHeight="1" x14ac:dyDescent="0.3">
      <c r="B41" s="1214"/>
      <c r="C41" s="1217"/>
      <c r="D41" s="1869"/>
      <c r="E41" s="1245">
        <v>2.5</v>
      </c>
      <c r="F41" s="2572" t="s">
        <v>701</v>
      </c>
      <c r="G41" s="2573"/>
      <c r="H41" s="2574"/>
      <c r="I41" s="1246" t="str">
        <f t="array" ref="I41">IFERROR(INDEX('ESDS-Reference Table'!G1:G493,MATCH(1,('ESDS-Reference Table'!F1:F493=E41)*('ESDS-Reference Table'!H1:H493=F21)*('ESDS-Reference Table'!I1:I493=F23),0)),"Select Region and Activity")</f>
        <v xml:space="preserve">Mandatory, +5 </v>
      </c>
      <c r="J41" s="1229">
        <v>5</v>
      </c>
      <c r="K41" s="1869">
        <f t="shared" si="0"/>
        <v>5</v>
      </c>
      <c r="L41" s="1215"/>
    </row>
    <row r="42" spans="2:15" x14ac:dyDescent="0.3">
      <c r="B42" s="1214"/>
      <c r="C42" s="1217"/>
      <c r="D42" s="1869"/>
      <c r="E42" s="1245">
        <v>2.6</v>
      </c>
      <c r="F42" s="2572" t="s">
        <v>702</v>
      </c>
      <c r="G42" s="2573"/>
      <c r="H42" s="2574"/>
      <c r="I42" s="1246" t="str">
        <f t="array" ref="I42">IFERROR(INDEX('ESDS-Reference Table'!G1:G493,MATCH(1,('ESDS-Reference Table'!F1:F493=E42)*('ESDS-Reference Table'!H1:H493=F21)*('ESDS-Reference Table'!I1:I493=F23),0)),"Select Region and Activity")</f>
        <v>Mandatory</v>
      </c>
      <c r="J42" s="1229" t="s">
        <v>1949</v>
      </c>
      <c r="K42" s="1869">
        <f t="shared" si="0"/>
        <v>0</v>
      </c>
      <c r="L42" s="1215"/>
    </row>
    <row r="43" spans="2:15" x14ac:dyDescent="0.3">
      <c r="B43" s="1214"/>
      <c r="C43" s="1217"/>
      <c r="D43" s="1869"/>
      <c r="E43" s="1248" t="s">
        <v>703</v>
      </c>
      <c r="F43" s="2572" t="s">
        <v>704</v>
      </c>
      <c r="G43" s="2573"/>
      <c r="H43" s="2574"/>
      <c r="I43" s="1246" t="str">
        <f t="array" ref="I43">IFERROR(INDEX('ESDS-Reference Table'!G1:G493,MATCH(1,('ESDS-Reference Table'!F1:F493=E43)*('ESDS-Reference Table'!H1:H493=F21)*('ESDS-Reference Table'!I1:I493=F23),0)),"Select Region and Activity")</f>
        <v>Mandatory</v>
      </c>
      <c r="J43" s="1229" t="s">
        <v>1949</v>
      </c>
      <c r="K43" s="1869">
        <f t="shared" si="0"/>
        <v>0</v>
      </c>
      <c r="L43" s="1215"/>
      <c r="N43" s="400"/>
    </row>
    <row r="44" spans="2:15" s="1444" customFormat="1" x14ac:dyDescent="0.3">
      <c r="B44" s="1249"/>
      <c r="C44" s="1217"/>
      <c r="D44" s="431"/>
      <c r="E44" s="1248" t="s">
        <v>705</v>
      </c>
      <c r="F44" s="2592" t="s">
        <v>706</v>
      </c>
      <c r="G44" s="2593"/>
      <c r="H44" s="2594"/>
      <c r="I44" s="1246" t="str">
        <f t="array" ref="I44">IFERROR(INDEX('ESDS-Reference Table'!G1:G493,MATCH(1,('ESDS-Reference Table'!F1:F493=E44)*('ESDS-Reference Table'!H1:H493=F21)*('ESDS-Reference Table'!I1:I493=F23),0)),"Select Region and Activity")</f>
        <v>0,3 or 5 -Tribal Only</v>
      </c>
      <c r="J44" s="1229" t="s">
        <v>539</v>
      </c>
      <c r="K44" s="1869">
        <f t="shared" si="0"/>
        <v>0</v>
      </c>
      <c r="L44" s="1250"/>
      <c r="N44" s="400"/>
    </row>
    <row r="45" spans="2:15" x14ac:dyDescent="0.3">
      <c r="B45" s="1214"/>
      <c r="C45" s="1217"/>
      <c r="D45" s="1869"/>
      <c r="E45" s="1245">
        <v>2.8</v>
      </c>
      <c r="F45" s="2572" t="s">
        <v>707</v>
      </c>
      <c r="G45" s="2573"/>
      <c r="H45" s="2574"/>
      <c r="I45" s="1246" t="str">
        <f t="array" ref="I45">IFERROR(INDEX('ESDS-Reference Table'!G1:G493,MATCH(1,('ESDS-Reference Table'!F1:F493=E45)*('ESDS-Reference Table'!H1:H493=F21)*('ESDS-Reference Table'!I1:I493=F23),0)),"Select Region and Activity")</f>
        <v>0 or 2</v>
      </c>
      <c r="J45" s="1229">
        <v>0</v>
      </c>
      <c r="K45" s="1869">
        <f t="shared" si="0"/>
        <v>0</v>
      </c>
      <c r="L45" s="1215"/>
    </row>
    <row r="46" spans="2:15" x14ac:dyDescent="0.3">
      <c r="B46" s="1214"/>
      <c r="C46" s="1217"/>
      <c r="D46" s="1869"/>
      <c r="E46" s="1245">
        <v>2.9</v>
      </c>
      <c r="F46" s="2572" t="s">
        <v>708</v>
      </c>
      <c r="G46" s="2573"/>
      <c r="H46" s="2574"/>
      <c r="I46" s="1246" t="str">
        <f t="array" ref="I46">IFERROR(INDEX('ESDS-Reference Table'!G1:G493,MATCH(1,('ESDS-Reference Table'!F1:F493=E46)*('ESDS-Reference Table'!H1:H493=F21)*('ESDS-Reference Table'!I1:I493=F23),0)),"Select Region and Activity")</f>
        <v>0 or 5</v>
      </c>
      <c r="J46" s="1229">
        <v>0</v>
      </c>
      <c r="K46" s="1869">
        <f t="shared" si="0"/>
        <v>0</v>
      </c>
      <c r="L46" s="1215"/>
    </row>
    <row r="47" spans="2:15" x14ac:dyDescent="0.3">
      <c r="B47" s="1214"/>
      <c r="C47" s="1217"/>
      <c r="D47" s="1869"/>
      <c r="E47" s="1251" t="s">
        <v>709</v>
      </c>
      <c r="F47" s="2595" t="s">
        <v>710</v>
      </c>
      <c r="G47" s="2596"/>
      <c r="H47" s="2597"/>
      <c r="I47" s="384" t="str">
        <f t="array" ref="I47">IFERROR(INDEX('ESDS-Reference Table'!G1:G493,MATCH(1,('ESDS-Reference Table'!F1:F493=E47)*('ESDS-Reference Table'!H1:H493=F21)*('ESDS-Reference Table'!I1:I493=F23),0)),"Select Region and Activity")</f>
        <v>0 or 3</v>
      </c>
      <c r="J47" s="1229">
        <v>0</v>
      </c>
      <c r="K47" s="1869">
        <f t="shared" si="0"/>
        <v>0</v>
      </c>
      <c r="L47" s="1215"/>
    </row>
    <row r="48" spans="2:15" x14ac:dyDescent="0.3">
      <c r="B48" s="1214"/>
      <c r="C48" s="1217"/>
      <c r="D48" s="1869"/>
      <c r="E48" s="1235" t="s">
        <v>31</v>
      </c>
      <c r="F48" s="1236"/>
      <c r="G48" s="1237"/>
      <c r="H48" s="1237"/>
      <c r="I48" s="1238" t="s">
        <v>711</v>
      </c>
      <c r="J48" s="1239">
        <f>SUM(J37:J47)</f>
        <v>10</v>
      </c>
      <c r="K48" s="1869"/>
      <c r="L48" s="1215"/>
    </row>
    <row r="49" spans="1:15" s="1441" customFormat="1" ht="7.5" customHeight="1" x14ac:dyDescent="0.3">
      <c r="B49" s="1214"/>
      <c r="C49" s="1217"/>
      <c r="D49" s="1869"/>
      <c r="E49" s="1240"/>
      <c r="F49" s="1242"/>
      <c r="G49" s="1240"/>
      <c r="H49" s="1240"/>
      <c r="I49" s="1241"/>
      <c r="J49" s="1242"/>
      <c r="K49" s="1869"/>
      <c r="L49" s="1215"/>
      <c r="O49" s="1440"/>
    </row>
    <row r="50" spans="1:15" s="1441" customFormat="1" x14ac:dyDescent="0.3">
      <c r="B50" s="1214"/>
      <c r="C50" s="1217"/>
      <c r="D50" s="1869"/>
      <c r="E50" s="1243" t="s">
        <v>712</v>
      </c>
      <c r="F50" s="1869"/>
      <c r="G50" s="1243"/>
      <c r="H50" s="1243"/>
      <c r="I50" s="1241"/>
      <c r="J50" s="1869"/>
      <c r="K50" s="1869"/>
      <c r="L50" s="1215"/>
      <c r="O50" s="1440"/>
    </row>
    <row r="51" spans="1:15" x14ac:dyDescent="0.3">
      <c r="B51" s="1214"/>
      <c r="C51" s="1217"/>
      <c r="D51" s="1869"/>
      <c r="E51" s="1222" t="s">
        <v>681</v>
      </c>
      <c r="F51" s="1223" t="s">
        <v>682</v>
      </c>
      <c r="G51" s="1224"/>
      <c r="H51" s="1224"/>
      <c r="I51" s="1225" t="s">
        <v>683</v>
      </c>
      <c r="J51" s="1226" t="s">
        <v>684</v>
      </c>
      <c r="K51" s="1869"/>
      <c r="L51" s="1215"/>
    </row>
    <row r="52" spans="1:15" x14ac:dyDescent="0.3">
      <c r="B52" s="1214"/>
      <c r="C52" s="1217"/>
      <c r="D52" s="1869"/>
      <c r="E52" s="1252">
        <v>3.1</v>
      </c>
      <c r="F52" s="2598" t="s">
        <v>713</v>
      </c>
      <c r="G52" s="2589"/>
      <c r="H52" s="2590"/>
      <c r="I52" s="1253" t="str">
        <f t="array" ref="I52">IFERROR(INDEX('ESDS-Reference Table'!G1:G493,MATCH(1,('ESDS-Reference Table'!F1:F493=E52)*('ESDS-Reference Table'!H1:H493=F21)*('ESDS-Reference Table'!I1:I493=F23),0)),"Select Region and Activity")</f>
        <v>Mandatory</v>
      </c>
      <c r="J52" s="1229" t="s">
        <v>1949</v>
      </c>
      <c r="K52" s="1869">
        <f t="shared" ref="K52:K59" si="1">N(J52)</f>
        <v>0</v>
      </c>
      <c r="L52" s="1215"/>
    </row>
    <row r="53" spans="1:15" x14ac:dyDescent="0.3">
      <c r="B53" s="1214"/>
      <c r="C53" s="1217"/>
      <c r="D53" s="1869"/>
      <c r="E53" s="1254">
        <v>3.2</v>
      </c>
      <c r="F53" s="2591" t="s">
        <v>714</v>
      </c>
      <c r="G53" s="2573"/>
      <c r="H53" s="2574"/>
      <c r="I53" s="1233" t="str">
        <f t="array" ref="I53">IFERROR(INDEX('ESDS-Reference Table'!G1:G493,MATCH(1,('ESDS-Reference Table'!F1:F493=E53)*('ESDS-Reference Table'!H1:H493=F21)*('ESDS-Reference Table'!I1:I493=F23),0)),"Select Region and Activity")</f>
        <v>Mandatory</v>
      </c>
      <c r="J53" s="1229" t="s">
        <v>1949</v>
      </c>
      <c r="K53" s="1869">
        <f t="shared" si="1"/>
        <v>0</v>
      </c>
      <c r="L53" s="1215"/>
    </row>
    <row r="54" spans="1:15" ht="15" customHeight="1" x14ac:dyDescent="0.3">
      <c r="B54" s="1214"/>
      <c r="C54" s="1217"/>
      <c r="D54" s="1869"/>
      <c r="E54" s="1245" t="s">
        <v>715</v>
      </c>
      <c r="F54" s="2591" t="s">
        <v>387</v>
      </c>
      <c r="G54" s="2573"/>
      <c r="H54" s="2574"/>
      <c r="I54" s="1233" t="str">
        <f t="array" ref="I54">IFERROR(INDEX('ESDS-Reference Table'!G1:G493,MATCH(1,('ESDS-Reference Table'!F1:F493=E54)*('ESDS-Reference Table'!H1:H493=F21)*('ESDS-Reference Table'!I1:I493=F23),0)),"Select Region and Activity")</f>
        <v>Mandatory, if providing Landscaping</v>
      </c>
      <c r="J54" s="1229" t="s">
        <v>1949</v>
      </c>
      <c r="K54" s="1869">
        <f t="shared" si="1"/>
        <v>0</v>
      </c>
      <c r="L54" s="1215"/>
    </row>
    <row r="55" spans="1:15" x14ac:dyDescent="0.3">
      <c r="B55" s="1214"/>
      <c r="C55" s="1217"/>
      <c r="D55" s="1869"/>
      <c r="E55" s="1245" t="s">
        <v>716</v>
      </c>
      <c r="F55" s="2591" t="s">
        <v>387</v>
      </c>
      <c r="G55" s="2573"/>
      <c r="H55" s="2574"/>
      <c r="I55" s="1233" t="str">
        <f t="array" ref="I55">IFERROR(INDEX('ESDS-Reference Table'!G1:G493,MATCH(1,('ESDS-Reference Table'!F1:F493=E55)*('ESDS-Reference Table'!H1:H493=F21)*('ESDS-Reference Table'!I1:I493=F23),0)),"Select Region and Activity")</f>
        <v>0 or 5</v>
      </c>
      <c r="J55" s="1229">
        <v>5</v>
      </c>
      <c r="K55" s="1869">
        <f t="shared" si="1"/>
        <v>5</v>
      </c>
      <c r="L55" s="1215"/>
    </row>
    <row r="56" spans="1:15" x14ac:dyDescent="0.3">
      <c r="B56" s="1214"/>
      <c r="C56" s="1217"/>
      <c r="D56" s="1869"/>
      <c r="E56" s="1245" t="s">
        <v>717</v>
      </c>
      <c r="F56" s="2591" t="s">
        <v>718</v>
      </c>
      <c r="G56" s="2573"/>
      <c r="H56" s="2574"/>
      <c r="I56" s="1233" t="str">
        <f t="array" ref="I56">IFERROR(INDEX('ESDS-Reference Table'!G1:G493,MATCH(1,('ESDS-Reference Table'!F1:F493=E56)*('ESDS-Reference Table'!H1:H493=F21)*('ESDS-Reference Table'!I1:I493=F23),0)),"Select Region and Activity")</f>
        <v>up to 5</v>
      </c>
      <c r="J56" s="1229">
        <v>0</v>
      </c>
      <c r="K56" s="1869">
        <f t="shared" si="1"/>
        <v>0</v>
      </c>
      <c r="L56" s="1215"/>
    </row>
    <row r="57" spans="1:15" ht="15" customHeight="1" x14ac:dyDescent="0.3">
      <c r="B57" s="1214"/>
      <c r="C57" s="1217"/>
      <c r="D57" s="1869"/>
      <c r="E57" s="1254">
        <v>3.4</v>
      </c>
      <c r="F57" s="2591" t="s">
        <v>719</v>
      </c>
      <c r="G57" s="2573"/>
      <c r="H57" s="2574"/>
      <c r="I57" s="1233" t="str">
        <f t="array" ref="I57">IFERROR(INDEX('ESDS-Reference Table'!G1:G493,MATCH(1,('ESDS-Reference Table'!F1:F493=E57)*('ESDS-Reference Table'!H1:H493=F21)*('ESDS-Reference Table'!I1:I493=F23),0)),"Select Region and Activity")</f>
        <v>Mandatory, if installing irrigation</v>
      </c>
      <c r="J57" s="1229" t="s">
        <v>1949</v>
      </c>
      <c r="K57" s="1869">
        <f t="shared" si="1"/>
        <v>0</v>
      </c>
      <c r="L57" s="1215"/>
    </row>
    <row r="58" spans="1:15" x14ac:dyDescent="0.3">
      <c r="B58" s="1214"/>
      <c r="C58" s="1217"/>
      <c r="D58" s="1869"/>
      <c r="E58" s="1254">
        <v>3.5</v>
      </c>
      <c r="F58" s="2591" t="s">
        <v>720</v>
      </c>
      <c r="G58" s="2573"/>
      <c r="H58" s="2574"/>
      <c r="I58" s="1233" t="str">
        <f t="array" ref="I58">IFERROR(INDEX('ESDS-Reference Table'!G1:G493,MATCH(1,('ESDS-Reference Table'!F1:F493=E58)*('ESDS-Reference Table'!H1:H493=F21)*('ESDS-Reference Table'!I1:I493=F23),0)),"Select Region and Activity")</f>
        <v>0,2,4 or 6</v>
      </c>
      <c r="J58" s="1229">
        <v>0</v>
      </c>
      <c r="K58" s="1869">
        <f t="shared" si="1"/>
        <v>0</v>
      </c>
      <c r="L58" s="1215"/>
    </row>
    <row r="59" spans="1:15" x14ac:dyDescent="0.3">
      <c r="B59" s="1214"/>
      <c r="C59" s="1217"/>
      <c r="D59" s="1869"/>
      <c r="E59" s="1254">
        <v>3.6</v>
      </c>
      <c r="F59" s="2595" t="s">
        <v>721</v>
      </c>
      <c r="G59" s="2596"/>
      <c r="H59" s="2597"/>
      <c r="I59" s="1255" t="str">
        <f t="array" ref="I59">IFERROR(INDEX('ESDS-Reference Table'!G1:G493,MATCH(1,('ESDS-Reference Table'!F1:F493=E59)*('ESDS-Reference Table'!H1:H493=F21)*('ESDS-Reference Table'!I1:I493=F23),0)),"Select Region and Activity")</f>
        <v>Mandatory</v>
      </c>
      <c r="J59" s="1229" t="s">
        <v>1949</v>
      </c>
      <c r="K59" s="1869">
        <f t="shared" si="1"/>
        <v>0</v>
      </c>
      <c r="L59" s="1215"/>
    </row>
    <row r="60" spans="1:15" x14ac:dyDescent="0.3">
      <c r="A60" s="1441"/>
      <c r="B60" s="1214"/>
      <c r="C60" s="1217"/>
      <c r="D60" s="1869"/>
      <c r="E60" s="1235" t="s">
        <v>31</v>
      </c>
      <c r="F60" s="1236"/>
      <c r="G60" s="1237"/>
      <c r="H60" s="1237"/>
      <c r="I60" s="1238" t="s">
        <v>722</v>
      </c>
      <c r="J60" s="1239">
        <f>SUM(J52:J59)</f>
        <v>5</v>
      </c>
      <c r="K60" s="1869"/>
      <c r="L60" s="1215"/>
    </row>
    <row r="61" spans="1:15" ht="7.5" customHeight="1" x14ac:dyDescent="0.3">
      <c r="A61" s="1441"/>
      <c r="B61" s="1214"/>
      <c r="C61" s="1217"/>
      <c r="D61" s="1869"/>
      <c r="E61" s="1240"/>
      <c r="F61" s="1242"/>
      <c r="G61" s="1240"/>
      <c r="H61" s="1240"/>
      <c r="I61" s="1241"/>
      <c r="J61" s="1242"/>
      <c r="K61" s="1869"/>
      <c r="L61" s="1215"/>
    </row>
    <row r="62" spans="1:15" x14ac:dyDescent="0.3">
      <c r="A62" s="1441"/>
      <c r="B62" s="1214"/>
      <c r="C62" s="1217"/>
      <c r="D62" s="1869"/>
      <c r="E62" s="1243" t="s">
        <v>723</v>
      </c>
      <c r="F62" s="1869"/>
      <c r="G62" s="1243"/>
      <c r="H62" s="1243"/>
      <c r="I62" s="1241"/>
      <c r="J62" s="1869"/>
      <c r="K62" s="1869"/>
      <c r="L62" s="1215"/>
    </row>
    <row r="63" spans="1:15" x14ac:dyDescent="0.3">
      <c r="A63" s="1441"/>
      <c r="B63" s="1214"/>
      <c r="C63" s="1217"/>
      <c r="D63" s="1869"/>
      <c r="E63" s="1256" t="s">
        <v>681</v>
      </c>
      <c r="F63" s="1257" t="s">
        <v>682</v>
      </c>
      <c r="G63" s="1258"/>
      <c r="H63" s="1258"/>
      <c r="I63" s="1259" t="s">
        <v>683</v>
      </c>
      <c r="J63" s="1260" t="s">
        <v>684</v>
      </c>
      <c r="K63" s="1869"/>
      <c r="L63" s="1215"/>
    </row>
    <row r="64" spans="1:15" x14ac:dyDescent="0.3">
      <c r="A64" s="1441"/>
      <c r="B64" s="1214"/>
      <c r="C64" s="1217"/>
      <c r="D64" s="1869"/>
      <c r="E64" s="1261" t="s">
        <v>724</v>
      </c>
      <c r="F64" s="2601" t="s">
        <v>725</v>
      </c>
      <c r="G64" s="2576"/>
      <c r="H64" s="2577"/>
      <c r="I64" s="1262" t="str">
        <f t="array" ref="I64">IFERROR(INDEX('ESDS-Reference Table'!G1:G493,MATCH(1,('ESDS-Reference Table'!F1:F493=E64)*('ESDS-Reference Table'!H1:H493=F21)*('ESDS-Reference Table'!I1:I493=F23),0)),"Select Region and Activity")</f>
        <v>Mandatory</v>
      </c>
      <c r="J64" s="1229" t="s">
        <v>1949</v>
      </c>
      <c r="K64" s="1869">
        <f>N(J64)</f>
        <v>0</v>
      </c>
      <c r="L64" s="1215"/>
    </row>
    <row r="65" spans="1:14" x14ac:dyDescent="0.3">
      <c r="A65" s="1441"/>
      <c r="B65" s="1214"/>
      <c r="C65" s="1217"/>
      <c r="D65" s="1869"/>
      <c r="E65" s="1263" t="s">
        <v>726</v>
      </c>
      <c r="F65" s="1264" t="s">
        <v>727</v>
      </c>
      <c r="G65" s="1871"/>
      <c r="H65" s="1872"/>
      <c r="I65" s="1265" t="str">
        <f t="array" ref="I65">IFERROR(INDEX('ESDS-Reference Table'!G1:G493,MATCH(1,('ESDS-Reference Table'!F1:F493=E65)*('ESDS-Reference Table'!H1:H493=F21)*('ESDS-Reference Table'!I1:I493=F23),0)),"Select Region and Activity")</f>
        <v>up to 6, must also achieve 4.4</v>
      </c>
      <c r="J65" s="1229">
        <v>6</v>
      </c>
      <c r="K65" s="1869"/>
      <c r="L65" s="1215"/>
      <c r="N65" s="400"/>
    </row>
    <row r="66" spans="1:14" x14ac:dyDescent="0.3">
      <c r="A66" s="1441"/>
      <c r="B66" s="1214"/>
      <c r="C66" s="1217"/>
      <c r="D66" s="1869"/>
      <c r="E66" s="1266">
        <v>4.2</v>
      </c>
      <c r="F66" s="2602" t="s">
        <v>728</v>
      </c>
      <c r="G66" s="2573"/>
      <c r="H66" s="2574"/>
      <c r="I66" s="1246" t="str">
        <f t="array" ref="I66">IFERROR(INDEX('ESDS-Reference Table'!G1:G493,MATCH(1,('ESDS-Reference Table'!F1:F493=E66)*('ESDS-Reference Table'!H1:H493=F21)*('ESDS-Reference Table'!I1:I493=F23),0)),"Select Region and Activity")</f>
        <v>0 or 2</v>
      </c>
      <c r="J66" s="1229">
        <v>2</v>
      </c>
      <c r="K66" s="1869">
        <f>N(J66)</f>
        <v>2</v>
      </c>
      <c r="L66" s="1215"/>
      <c r="N66" s="400"/>
    </row>
    <row r="67" spans="1:14" x14ac:dyDescent="0.3">
      <c r="A67" s="1441"/>
      <c r="B67" s="1214"/>
      <c r="C67" s="1217"/>
      <c r="D67" s="1869"/>
      <c r="E67" s="1266">
        <v>4.3</v>
      </c>
      <c r="F67" s="2603" t="s">
        <v>729</v>
      </c>
      <c r="G67" s="2604"/>
      <c r="H67" s="2605"/>
      <c r="I67" s="1267" t="str">
        <f t="array" ref="I67">IFERROR(INDEX('ESDS-Reference Table'!G1:G493,MATCH(1,('ESDS-Reference Table'!F1:F493=E67)*('ESDS-Reference Table'!H1:H493=F21)*('ESDS-Reference Table'!I1:I493=F23),0)),"Select Region and Activity")</f>
        <v>0,1,2,4,6,8,10 or 12</v>
      </c>
      <c r="J67" s="1229">
        <v>0</v>
      </c>
      <c r="K67" s="1869">
        <f>N(J67)</f>
        <v>0</v>
      </c>
      <c r="L67" s="1215"/>
      <c r="N67" s="400"/>
    </row>
    <row r="68" spans="1:14" x14ac:dyDescent="0.3">
      <c r="A68" s="1441"/>
      <c r="B68" s="1214"/>
      <c r="C68" s="1217"/>
      <c r="D68" s="1869"/>
      <c r="E68" s="1268">
        <v>4.4000000000000004</v>
      </c>
      <c r="F68" s="1269" t="s">
        <v>730</v>
      </c>
      <c r="G68" s="1270"/>
      <c r="H68" s="1270"/>
      <c r="I68" s="1271" t="str">
        <f t="array" ref="I68">IFERROR(INDEX('ESDS-Reference Table'!G1:G493,MATCH(1,('ESDS-Reference Table'!F1:F493=E68)*('ESDS-Reference Table'!H1:H493=F21)*('ESDS-Reference Table'!I1:I493=F23),0)),"Select Region and Activity")</f>
        <v>0 or 7</v>
      </c>
      <c r="J68" s="1229">
        <v>7</v>
      </c>
      <c r="K68" s="1869"/>
      <c r="L68" s="1215"/>
    </row>
    <row r="69" spans="1:14" x14ac:dyDescent="0.3">
      <c r="A69" s="1441"/>
      <c r="B69" s="1272"/>
      <c r="C69" s="1217"/>
      <c r="D69" s="421"/>
      <c r="E69" s="1235" t="s">
        <v>31</v>
      </c>
      <c r="F69" s="1236"/>
      <c r="G69" s="1237"/>
      <c r="H69" s="1237"/>
      <c r="I69" s="1238" t="s">
        <v>731</v>
      </c>
      <c r="J69" s="1239">
        <f>SUM(J64:J68)</f>
        <v>15</v>
      </c>
      <c r="K69" s="1869"/>
      <c r="L69" s="1215"/>
    </row>
    <row r="70" spans="1:14" ht="7.5" customHeight="1" thickBot="1" x14ac:dyDescent="0.35">
      <c r="A70" s="1441"/>
      <c r="B70" s="1273"/>
      <c r="C70" s="1274"/>
      <c r="D70" s="1274"/>
      <c r="E70" s="1275"/>
      <c r="F70" s="1276"/>
      <c r="G70" s="1275"/>
      <c r="H70" s="1275"/>
      <c r="I70" s="1277"/>
      <c r="J70" s="1276"/>
      <c r="K70" s="1278"/>
      <c r="L70" s="1279"/>
    </row>
    <row r="71" spans="1:14" ht="7.5" customHeight="1" x14ac:dyDescent="0.3">
      <c r="A71" s="1441"/>
      <c r="B71" s="1280"/>
      <c r="C71" s="1281"/>
      <c r="D71" s="1281"/>
      <c r="E71" s="1282"/>
      <c r="F71" s="1212"/>
      <c r="G71" s="1282"/>
      <c r="H71" s="1282"/>
      <c r="I71" s="1283"/>
      <c r="J71" s="1212"/>
      <c r="K71" s="1212"/>
      <c r="L71" s="1213"/>
      <c r="M71" s="1441"/>
    </row>
    <row r="72" spans="1:14" x14ac:dyDescent="0.3">
      <c r="A72" s="1441"/>
      <c r="B72" s="1272"/>
      <c r="C72" s="1217"/>
      <c r="D72" s="421"/>
      <c r="E72" s="1284" t="s">
        <v>732</v>
      </c>
      <c r="F72" s="1869"/>
      <c r="G72" s="1284"/>
      <c r="H72" s="1284"/>
      <c r="I72" s="1241"/>
      <c r="J72" s="1869"/>
      <c r="K72" s="1869"/>
      <c r="L72" s="1215"/>
    </row>
    <row r="73" spans="1:14" x14ac:dyDescent="0.3">
      <c r="A73" s="1441"/>
      <c r="B73" s="1214"/>
      <c r="C73" s="1217"/>
      <c r="D73" s="1869"/>
      <c r="E73" s="1222" t="s">
        <v>681</v>
      </c>
      <c r="F73" s="1223" t="s">
        <v>682</v>
      </c>
      <c r="G73" s="1224"/>
      <c r="H73" s="1224"/>
      <c r="I73" s="1225" t="s">
        <v>683</v>
      </c>
      <c r="J73" s="1226" t="s">
        <v>684</v>
      </c>
      <c r="K73" s="1869"/>
      <c r="L73" s="1215"/>
    </row>
    <row r="74" spans="1:14" x14ac:dyDescent="0.3">
      <c r="A74" s="1441"/>
      <c r="B74" s="1214"/>
      <c r="C74" s="1217"/>
      <c r="D74" s="1869"/>
      <c r="E74" s="1285" t="s">
        <v>733</v>
      </c>
      <c r="F74" s="2606" t="s">
        <v>734</v>
      </c>
      <c r="G74" s="2607"/>
      <c r="H74" s="2608"/>
      <c r="I74" s="384" t="str">
        <f t="array" ref="I74">IFERROR(INDEX('ESDS-Reference Table'!G1:G493,MATCH(1,('ESDS-Reference Table'!F1:F493=E74)*('ESDS-Reference Table'!H1:H493=F21)*('ESDS-Reference Table'!I1:I493=F23),0)),"Select Region and Activity")</f>
        <v>Mandatory</v>
      </c>
      <c r="J74" s="1229" t="s">
        <v>1949</v>
      </c>
      <c r="K74" s="1869">
        <f t="shared" ref="K74:K91" si="2">N(J74)</f>
        <v>0</v>
      </c>
      <c r="L74" s="1215"/>
      <c r="N74" s="400"/>
    </row>
    <row r="75" spans="1:14" x14ac:dyDescent="0.3">
      <c r="A75" s="1441"/>
      <c r="B75" s="1214"/>
      <c r="C75" s="1217"/>
      <c r="D75" s="1869"/>
      <c r="E75" s="1286" t="s">
        <v>735</v>
      </c>
      <c r="F75" s="2602" t="s">
        <v>736</v>
      </c>
      <c r="G75" s="2609"/>
      <c r="H75" s="2610"/>
      <c r="I75" s="1287" t="str">
        <f t="array" ref="I75">IFERROR(INDEX('ESDS-Reference Table'!G1:G493,MATCH(1,('ESDS-Reference Table'!F1:F493=E75)*('ESDS-Reference Table'!H1:H493=F21)*('ESDS-Reference Table'!I1:I493=F23),0)),"Select Region and Activity")</f>
        <v>n/a</v>
      </c>
      <c r="J75" s="1229"/>
      <c r="K75" s="1869">
        <f t="shared" si="2"/>
        <v>0</v>
      </c>
      <c r="L75" s="1247"/>
      <c r="N75" s="400"/>
    </row>
    <row r="76" spans="1:14" ht="15" customHeight="1" x14ac:dyDescent="0.3">
      <c r="B76" s="1214"/>
      <c r="C76" s="1217"/>
      <c r="D76" s="1869"/>
      <c r="E76" s="1286" t="s">
        <v>737</v>
      </c>
      <c r="F76" s="2602" t="s">
        <v>738</v>
      </c>
      <c r="G76" s="2609"/>
      <c r="H76" s="2610"/>
      <c r="I76" s="1287" t="str">
        <f t="array" ref="I76">IFERROR(INDEX('ESDS-Reference Table'!G1:G493,MATCH(1,('ESDS-Reference Table'!F1:F493=E76)*('ESDS-Reference Table'!H1:H493=F21)*('ESDS-Reference Table'!I1:I493=F23),0)),"Select Region and Activity")</f>
        <v>5 to 25 (5 point increments)</v>
      </c>
      <c r="J76" s="1229">
        <v>5</v>
      </c>
      <c r="K76" s="1869">
        <f t="shared" si="2"/>
        <v>5</v>
      </c>
      <c r="L76" s="1215"/>
      <c r="N76" s="400"/>
    </row>
    <row r="77" spans="1:14" ht="15" customHeight="1" x14ac:dyDescent="0.3">
      <c r="B77" s="1214"/>
      <c r="C77" s="1217"/>
      <c r="D77" s="1869"/>
      <c r="E77" s="1286" t="s">
        <v>739</v>
      </c>
      <c r="F77" s="2602" t="s">
        <v>740</v>
      </c>
      <c r="G77" s="2609"/>
      <c r="H77" s="2610"/>
      <c r="I77" s="1287" t="str">
        <f t="array" ref="I77">IFERROR(INDEX('ESDS-Reference Table'!G1:G493,MATCH(1,('ESDS-Reference Table'!F1:F493=E77)*('ESDS-Reference Table'!H1:H493=F21)*('ESDS-Reference Table'!I1:I493=F23),0)),"Select Region and Activity")</f>
        <v>n/a</v>
      </c>
      <c r="J77" s="1229"/>
      <c r="K77" s="1869">
        <f t="shared" si="2"/>
        <v>0</v>
      </c>
      <c r="L77" s="1215"/>
      <c r="N77" s="400"/>
    </row>
    <row r="78" spans="1:14" x14ac:dyDescent="0.3">
      <c r="B78" s="1214"/>
      <c r="C78" s="1217"/>
      <c r="D78" s="1869"/>
      <c r="E78" s="1288">
        <v>5.3</v>
      </c>
      <c r="F78" s="2602" t="s">
        <v>741</v>
      </c>
      <c r="G78" s="2573"/>
      <c r="H78" s="2600"/>
      <c r="I78" s="1287" t="str">
        <f t="array" ref="I78">IFERROR(INDEX('ESDS-Reference Table'!G1:G493,MATCH(1,('ESDS-Reference Table'!F1:F493=E78)*('ESDS-Reference Table'!H1:H493=F21)*('ESDS-Reference Table'!I1:I493=F23),0)),"Select Region and Activity")</f>
        <v>0,1,2,3 or 4</v>
      </c>
      <c r="J78" s="1229">
        <v>0</v>
      </c>
      <c r="K78" s="1869">
        <f t="shared" si="2"/>
        <v>0</v>
      </c>
      <c r="L78" s="1215"/>
    </row>
    <row r="79" spans="1:14" ht="15" customHeight="1" x14ac:dyDescent="0.3">
      <c r="B79" s="1214"/>
      <c r="C79" s="1217"/>
      <c r="D79" s="1869"/>
      <c r="E79" s="1288">
        <v>5.4</v>
      </c>
      <c r="F79" s="2599" t="s">
        <v>742</v>
      </c>
      <c r="G79" s="2573"/>
      <c r="H79" s="2600"/>
      <c r="I79" s="1287" t="str">
        <f t="array" ref="I79">IFERROR(INDEX('ESDS-Reference Table'!G1:G493,MATCH(1,('ESDS-Reference Table'!F1:F493=E79)*('ESDS-Reference Table'!H1:H493=F21)*('ESDS-Reference Table'!I1:I493=F23),0)),"Select Region and Activity")</f>
        <v>Mandatory, if providing appliances</v>
      </c>
      <c r="J79" s="1229" t="s">
        <v>1949</v>
      </c>
      <c r="K79" s="1869">
        <f t="shared" si="2"/>
        <v>0</v>
      </c>
      <c r="L79" s="1215"/>
    </row>
    <row r="80" spans="1:14" x14ac:dyDescent="0.3">
      <c r="B80" s="1214"/>
      <c r="C80" s="1217"/>
      <c r="D80" s="1869"/>
      <c r="E80" s="1288">
        <v>5.5</v>
      </c>
      <c r="F80" s="2599" t="s">
        <v>743</v>
      </c>
      <c r="G80" s="2573"/>
      <c r="H80" s="2600"/>
      <c r="I80" s="1287" t="str">
        <f t="array" ref="I80">IFERROR(INDEX('ESDS-Reference Table'!G1:G493,MATCH(1,('ESDS-Reference Table'!F1:F493=E80)*('ESDS-Reference Table'!H1:H493=F21)*('ESDS-Reference Table'!I1:I493=F23),0)),"Select Region and Activity")</f>
        <v>0 or 3</v>
      </c>
      <c r="J80" s="1229">
        <v>3</v>
      </c>
      <c r="K80" s="1869">
        <f t="shared" si="2"/>
        <v>3</v>
      </c>
      <c r="L80" s="1215"/>
    </row>
    <row r="81" spans="2:15" x14ac:dyDescent="0.3">
      <c r="B81" s="1214"/>
      <c r="C81" s="1217"/>
      <c r="D81" s="1869"/>
      <c r="E81" s="1288">
        <v>5.6</v>
      </c>
      <c r="F81" s="2599" t="s">
        <v>744</v>
      </c>
      <c r="G81" s="2573"/>
      <c r="H81" s="2600"/>
      <c r="I81" s="1287" t="str">
        <f t="array" ref="I81">IFERROR(INDEX('ESDS-Reference Table'!G1:G493,MATCH(1,('ESDS-Reference Table'!F1:F493=E81)*('ESDS-Reference Table'!H1:H493=F21)*('ESDS-Reference Table'!I1:I493=F23),0)),"Select Region and Activity")</f>
        <v>Mandatory</v>
      </c>
      <c r="J81" s="1229" t="s">
        <v>1949</v>
      </c>
      <c r="K81" s="1869">
        <f t="shared" si="2"/>
        <v>0</v>
      </c>
      <c r="L81" s="1215"/>
    </row>
    <row r="82" spans="2:15" x14ac:dyDescent="0.3">
      <c r="B82" s="1214"/>
      <c r="C82" s="1217"/>
      <c r="D82" s="1869"/>
      <c r="E82" s="1286" t="s">
        <v>745</v>
      </c>
      <c r="F82" s="2602" t="s">
        <v>746</v>
      </c>
      <c r="G82" s="2609"/>
      <c r="H82" s="2610"/>
      <c r="I82" s="1287" t="str">
        <f t="array" ref="I82">IFERROR(INDEX('ESDS-Reference Table'!G1:G493,MATCH(1,('ESDS-Reference Table'!F1:F493=E82)*('ESDS-Reference Table'!H1:H493=F21)*('ESDS-Reference Table'!I1:I493=F23),0)),"Select Region and Activity")</f>
        <v>Mandatory</v>
      </c>
      <c r="J82" s="1229" t="s">
        <v>1949</v>
      </c>
      <c r="K82" s="1869">
        <f t="shared" si="2"/>
        <v>0</v>
      </c>
      <c r="L82" s="1215"/>
      <c r="N82" s="400"/>
    </row>
    <row r="83" spans="2:15" x14ac:dyDescent="0.3">
      <c r="B83" s="1214"/>
      <c r="C83" s="1217"/>
      <c r="D83" s="1869"/>
      <c r="E83" s="1286" t="s">
        <v>747</v>
      </c>
      <c r="F83" s="2611" t="s">
        <v>748</v>
      </c>
      <c r="G83" s="2612"/>
      <c r="H83" s="2613"/>
      <c r="I83" s="1287" t="str">
        <f t="array" ref="I83">IFERROR(INDEX('ESDS-Reference Table'!G1:G493,MATCH(1,('ESDS-Reference Table'!F1:F493=E83)*('ESDS-Reference Table'!H1:H493=F21)*('ESDS-Reference Table'!I1:I493=F23),0)),"Select Region and Activity")</f>
        <v>n/a</v>
      </c>
      <c r="J83" s="1229"/>
      <c r="K83" s="1869">
        <f t="shared" si="2"/>
        <v>0</v>
      </c>
      <c r="L83" s="1215"/>
      <c r="N83" s="400"/>
    </row>
    <row r="84" spans="2:15" x14ac:dyDescent="0.3">
      <c r="B84" s="1214"/>
      <c r="C84" s="1217"/>
      <c r="D84" s="1869"/>
      <c r="E84" s="1286" t="s">
        <v>749</v>
      </c>
      <c r="F84" s="2602" t="s">
        <v>750</v>
      </c>
      <c r="G84" s="2573"/>
      <c r="H84" s="2600"/>
      <c r="I84" s="1287" t="str">
        <f t="array" ref="I84">IFERROR(INDEX('ESDS-Reference Table'!G1:G493,MATCH(1,('ESDS-Reference Table'!F1:F493=E84)*('ESDS-Reference Table'!H1:H493=F21)*('ESDS-Reference Table'!I1:I493=F23),0)),"Select Region and Activity")</f>
        <v>n/a</v>
      </c>
      <c r="J84" s="1229"/>
      <c r="K84" s="1869">
        <f t="shared" si="2"/>
        <v>0</v>
      </c>
      <c r="L84" s="1215"/>
      <c r="N84" s="400"/>
    </row>
    <row r="85" spans="2:15" x14ac:dyDescent="0.3">
      <c r="B85" s="1214"/>
      <c r="C85" s="1217"/>
      <c r="D85" s="1869"/>
      <c r="E85" s="1286" t="s">
        <v>751</v>
      </c>
      <c r="F85" s="2599" t="s">
        <v>752</v>
      </c>
      <c r="G85" s="2573"/>
      <c r="H85" s="2600"/>
      <c r="I85" s="1287" t="str">
        <f t="array" ref="I85">IFERROR(INDEX('ESDS-Reference Table'!G1:G493,MATCH(1,('ESDS-Reference Table'!F1:F493=E85)*('ESDS-Reference Table'!H1:H493=F21)*('ESDS-Reference Table'!I1:I493=F23),0)),"Select Region and Activity")</f>
        <v>0 or 1</v>
      </c>
      <c r="J85" s="1229">
        <v>0</v>
      </c>
      <c r="K85" s="1869">
        <f t="shared" si="2"/>
        <v>0</v>
      </c>
      <c r="L85" s="1215"/>
    </row>
    <row r="86" spans="2:15" x14ac:dyDescent="0.3">
      <c r="B86" s="1214"/>
      <c r="C86" s="1217"/>
      <c r="D86" s="1869"/>
      <c r="E86" s="1286" t="s">
        <v>753</v>
      </c>
      <c r="F86" s="2602" t="s">
        <v>754</v>
      </c>
      <c r="G86" s="2573"/>
      <c r="H86" s="2600"/>
      <c r="I86" s="1287" t="str">
        <f t="array" ref="I86">IFERROR(INDEX('ESDS-Reference Table'!G1:G493,MATCH(1,('ESDS-Reference Table'!F1:F493=E86)*('ESDS-Reference Table'!H1:H493=F21)*('ESDS-Reference Table'!I1:I493=F23),0)),"Select Region and Activity")</f>
        <v>n/a</v>
      </c>
      <c r="J86" s="1229"/>
      <c r="K86" s="1869">
        <f t="shared" si="2"/>
        <v>0</v>
      </c>
      <c r="L86" s="1215"/>
      <c r="N86" s="400"/>
    </row>
    <row r="87" spans="2:15" x14ac:dyDescent="0.3">
      <c r="B87" s="1214"/>
      <c r="C87" s="1217"/>
      <c r="D87" s="1869"/>
      <c r="E87" s="1288">
        <v>5.9</v>
      </c>
      <c r="F87" s="2599" t="s">
        <v>755</v>
      </c>
      <c r="G87" s="2573"/>
      <c r="H87" s="2600"/>
      <c r="I87" s="1287" t="str">
        <f t="array" ref="I87">IFERROR(INDEX('ESDS-Reference Table'!G1:G493,MATCH(1,('ESDS-Reference Table'!F1:F493=E87)*('ESDS-Reference Table'!H1:H493=F21)*('ESDS-Reference Table'!I1:I493=F23),0)),"Select Region and Activity")</f>
        <v>Mandatory</v>
      </c>
      <c r="J87" s="1229" t="s">
        <v>539</v>
      </c>
      <c r="K87" s="1869">
        <f t="shared" si="2"/>
        <v>0</v>
      </c>
      <c r="L87" s="1215"/>
    </row>
    <row r="88" spans="2:15" x14ac:dyDescent="0.3">
      <c r="B88" s="1214"/>
      <c r="C88" s="1217"/>
      <c r="D88" s="1869"/>
      <c r="E88" s="1289" t="s">
        <v>756</v>
      </c>
      <c r="F88" s="2602" t="s">
        <v>755</v>
      </c>
      <c r="G88" s="2573"/>
      <c r="H88" s="2600"/>
      <c r="I88" s="1287" t="str">
        <f t="array" ref="I88">IFERROR(INDEX('ESDS-Reference Table'!G1:G493,MATCH(1,('ESDS-Reference Table'!F1:F493=E88)*('ESDS-Reference Table'!H1:H493=F21)*('ESDS-Reference Table'!I1:I493=F23),0)),"Select Region and Activity")</f>
        <v>n/a</v>
      </c>
      <c r="J88" s="1229"/>
      <c r="K88" s="1869">
        <f t="shared" si="2"/>
        <v>0</v>
      </c>
      <c r="L88" s="1215"/>
      <c r="N88" s="400"/>
    </row>
    <row r="89" spans="2:15" x14ac:dyDescent="0.3">
      <c r="B89" s="1214"/>
      <c r="C89" s="1217"/>
      <c r="D89" s="1869"/>
      <c r="E89" s="1290">
        <v>5.1100000000000003</v>
      </c>
      <c r="F89" s="2614" t="s">
        <v>757</v>
      </c>
      <c r="G89" s="2615"/>
      <c r="H89" s="2616"/>
      <c r="I89" s="1287" t="str">
        <f t="array" ref="I89">IFERROR(INDEX('ESDS-Reference Table'!G1:G493,MATCH(1,('ESDS-Reference Table'!F1:F493=E89)*('ESDS-Reference Table'!H1:H493=F21)*('ESDS-Reference Table'!I1:I493=F23),0)),"Select Region and Activity")</f>
        <v>n/a</v>
      </c>
      <c r="J89" s="1229"/>
      <c r="K89" s="1869">
        <f t="shared" si="2"/>
        <v>0</v>
      </c>
      <c r="L89" s="1215"/>
      <c r="N89" s="400"/>
    </row>
    <row r="90" spans="2:15" x14ac:dyDescent="0.3">
      <c r="B90" s="1214"/>
      <c r="C90" s="1217"/>
      <c r="D90" s="1869"/>
      <c r="E90" s="1290">
        <v>5.12</v>
      </c>
      <c r="F90" s="2617" t="s">
        <v>758</v>
      </c>
      <c r="G90" s="2618"/>
      <c r="H90" s="2619"/>
      <c r="I90" s="1287" t="str">
        <f t="array" ref="I90">IFERROR(INDEX('ESDS-Reference Table'!G1:G493,MATCH(1,('ESDS-Reference Table'!F1:F493=E90)*('ESDS-Reference Table'!H1:H493=F21)*('ESDS-Reference Table'!I1:I493=F23),0)),"Select Region and Activity")</f>
        <v>n/a</v>
      </c>
      <c r="J90" s="1229"/>
      <c r="K90" s="1869">
        <f t="shared" si="2"/>
        <v>0</v>
      </c>
      <c r="L90" s="1215"/>
      <c r="N90" s="400"/>
    </row>
    <row r="91" spans="2:15" x14ac:dyDescent="0.3">
      <c r="B91" s="1214"/>
      <c r="C91" s="1217"/>
      <c r="D91" s="1869"/>
      <c r="E91" s="1291">
        <v>5.13</v>
      </c>
      <c r="F91" s="2620" t="s">
        <v>759</v>
      </c>
      <c r="G91" s="2621"/>
      <c r="H91" s="2622"/>
      <c r="I91" s="1287" t="str">
        <f t="array" ref="I91">IFERROR(INDEX('ESDS-Reference Table'!G1:G493,MATCH(1,('ESDS-Reference Table'!F1:F493=E91)*('ESDS-Reference Table'!H1:H493=F21)*('ESDS-Reference Table'!I1:I493=F23),0)),"Select Region and Activity")</f>
        <v>n/a</v>
      </c>
      <c r="J91" s="1229"/>
      <c r="K91" s="1869">
        <f t="shared" si="2"/>
        <v>0</v>
      </c>
      <c r="L91" s="1215"/>
      <c r="N91" s="400"/>
    </row>
    <row r="92" spans="2:15" x14ac:dyDescent="0.3">
      <c r="B92" s="1214"/>
      <c r="C92" s="1217"/>
      <c r="D92" s="1869"/>
      <c r="E92" s="1235" t="s">
        <v>31</v>
      </c>
      <c r="F92" s="1236"/>
      <c r="G92" s="1237"/>
      <c r="H92" s="1237"/>
      <c r="I92" s="1238" t="s">
        <v>760</v>
      </c>
      <c r="J92" s="1239">
        <f>SUM(J74:J91)</f>
        <v>8</v>
      </c>
      <c r="K92" s="1869"/>
      <c r="L92" s="1215"/>
    </row>
    <row r="93" spans="2:15" s="1441" customFormat="1" ht="7.5" customHeight="1" x14ac:dyDescent="0.3">
      <c r="B93" s="1214"/>
      <c r="C93" s="1217"/>
      <c r="D93" s="1869"/>
      <c r="E93" s="1217"/>
      <c r="F93" s="1869"/>
      <c r="G93" s="1217"/>
      <c r="H93" s="1217"/>
      <c r="I93" s="1241"/>
      <c r="J93" s="1869"/>
      <c r="K93" s="1869"/>
      <c r="L93" s="1215"/>
      <c r="O93" s="1440"/>
    </row>
    <row r="94" spans="2:15" s="1441" customFormat="1" x14ac:dyDescent="0.3">
      <c r="B94" s="1214"/>
      <c r="C94" s="1217"/>
      <c r="D94" s="1869"/>
      <c r="E94" s="1284" t="s">
        <v>761</v>
      </c>
      <c r="F94" s="1869"/>
      <c r="G94" s="1284"/>
      <c r="H94" s="1284"/>
      <c r="I94" s="1241"/>
      <c r="J94" s="1869"/>
      <c r="K94" s="1869"/>
      <c r="L94" s="1215"/>
      <c r="O94" s="1440"/>
    </row>
    <row r="95" spans="2:15" x14ac:dyDescent="0.3">
      <c r="B95" s="1214"/>
      <c r="C95" s="1217"/>
      <c r="D95" s="1869"/>
      <c r="E95" s="1222" t="s">
        <v>681</v>
      </c>
      <c r="F95" s="1223" t="s">
        <v>682</v>
      </c>
      <c r="G95" s="1224"/>
      <c r="H95" s="1224"/>
      <c r="I95" s="1225" t="s">
        <v>683</v>
      </c>
      <c r="J95" s="1226" t="s">
        <v>684</v>
      </c>
      <c r="K95" s="1869"/>
      <c r="L95" s="1215"/>
      <c r="O95" s="400"/>
    </row>
    <row r="96" spans="2:15" x14ac:dyDescent="0.3">
      <c r="B96" s="1214"/>
      <c r="C96" s="1217"/>
      <c r="D96" s="1869"/>
      <c r="E96" s="1292">
        <v>6.1</v>
      </c>
      <c r="F96" s="2623" t="s">
        <v>762</v>
      </c>
      <c r="G96" s="2589"/>
      <c r="H96" s="2624"/>
      <c r="I96" s="384" t="str">
        <f t="array" ref="I96">IFERROR(INDEX('ESDS-Reference Table'!G1:G493,MATCH(1,('ESDS-Reference Table'!F1:F493=E96)*('ESDS-Reference Table'!H1:H493=F21)*('ESDS-Reference Table'!I1:I493=F23),0)),"Select Region and Activity")</f>
        <v>Mandatory</v>
      </c>
      <c r="J96" s="1229" t="s">
        <v>1949</v>
      </c>
      <c r="K96" s="1869">
        <f>N(J96)</f>
        <v>0</v>
      </c>
      <c r="L96" s="1215"/>
    </row>
    <row r="97" spans="2:16" x14ac:dyDescent="0.3">
      <c r="B97" s="1214"/>
      <c r="C97" s="1217"/>
      <c r="D97" s="1869"/>
      <c r="E97" s="1288">
        <v>6.2</v>
      </c>
      <c r="F97" s="2599" t="s">
        <v>763</v>
      </c>
      <c r="G97" s="2573"/>
      <c r="H97" s="2600"/>
      <c r="I97" s="1287" t="str">
        <f t="array" ref="I97">IFERROR(INDEX('ESDS-Reference Table'!G1:G493,MATCH(1,('ESDS-Reference Table'!F1:F493=E97)*('ESDS-Reference Table'!H1:H493=F21)*('ESDS-Reference Table'!I1:I493=F23),0)),"Select Region and Activity")</f>
        <v>Mandatory</v>
      </c>
      <c r="J97" s="1229" t="s">
        <v>1949</v>
      </c>
      <c r="K97" s="1869">
        <f>N(J97)</f>
        <v>0</v>
      </c>
      <c r="L97" s="1215"/>
    </row>
    <row r="98" spans="2:16" x14ac:dyDescent="0.3">
      <c r="B98" s="1214"/>
      <c r="C98" s="1217"/>
      <c r="D98" s="1869"/>
      <c r="E98" s="1288">
        <v>6.3</v>
      </c>
      <c r="F98" s="2599" t="s">
        <v>764</v>
      </c>
      <c r="G98" s="2573"/>
      <c r="H98" s="2600"/>
      <c r="I98" s="1287" t="str">
        <f t="array" ref="I98">IFERROR(INDEX('ESDS-Reference Table'!G1:G493,MATCH(1,('ESDS-Reference Table'!F1:F493=E98)*('ESDS-Reference Table'!H1:H493=F21)*('ESDS-Reference Table'!I1:I493=F23),0)),"Select Region and Activity")</f>
        <v>up to 5</v>
      </c>
      <c r="J98" s="1229">
        <v>2</v>
      </c>
      <c r="K98" s="1869">
        <f>N(J98)</f>
        <v>2</v>
      </c>
      <c r="L98" s="1215"/>
    </row>
    <row r="99" spans="2:16" x14ac:dyDescent="0.3">
      <c r="B99" s="1214"/>
      <c r="C99" s="1217"/>
      <c r="D99" s="1869"/>
      <c r="E99" s="1288">
        <v>6.4</v>
      </c>
      <c r="F99" s="2599" t="s">
        <v>765</v>
      </c>
      <c r="G99" s="2573"/>
      <c r="H99" s="2600"/>
      <c r="I99" s="1287" t="str">
        <f t="array" ref="I99">IFERROR(INDEX('ESDS-Reference Table'!G1:G493,MATCH(1,('ESDS-Reference Table'!F1:F493=E99)*('ESDS-Reference Table'!H1:H493=F21)*('ESDS-Reference Table'!I1:I493=F23),0)),"Select Region and Activity")</f>
        <v>up to 10 (0.5 increments)</v>
      </c>
      <c r="J99" s="1229">
        <v>1</v>
      </c>
      <c r="K99" s="1869">
        <f>N(J99)</f>
        <v>1</v>
      </c>
      <c r="L99" s="1215"/>
    </row>
    <row r="100" spans="2:16" x14ac:dyDescent="0.3">
      <c r="B100" s="1214"/>
      <c r="C100" s="1217"/>
      <c r="D100" s="1869"/>
      <c r="E100" s="1286" t="s">
        <v>766</v>
      </c>
      <c r="F100" s="2602" t="s">
        <v>767</v>
      </c>
      <c r="G100" s="2573"/>
      <c r="H100" s="2600"/>
      <c r="I100" s="1287" t="str">
        <f t="array" ref="I100">IFERROR(INDEX('ESDS-Reference Table'!G1:G493,MATCH(1,('ESDS-Reference Table'!F1:F493=E100)*('ESDS-Reference Table'!H1:H493=F21)*('ESDS-Reference Table'!I1:I493=F23),0)),"Select Region and Activity")</f>
        <v>0 or 2</v>
      </c>
      <c r="J100" s="1229">
        <v>2</v>
      </c>
      <c r="K100" s="1869">
        <f>N(J100)</f>
        <v>2</v>
      </c>
      <c r="L100" s="1215"/>
    </row>
    <row r="101" spans="2:16" x14ac:dyDescent="0.3">
      <c r="B101" s="1214"/>
      <c r="C101" s="1217"/>
      <c r="D101" s="1869"/>
      <c r="E101" s="1286" t="s">
        <v>768</v>
      </c>
      <c r="F101" s="1874" t="s">
        <v>769</v>
      </c>
      <c r="G101" s="1870"/>
      <c r="H101" s="1873"/>
      <c r="I101" s="1287" t="str">
        <f t="array" ref="I101">IFERROR(INDEX('ESDS-Reference Table'!G1:G493,MATCH(1,('ESDS-Reference Table'!F1:F493=E101)*('ESDS-Reference Table'!H1:H493=F21)*('ESDS-Reference Table'!I1:I493=F23),0)),"Select Region and Activity")</f>
        <v>0 or 2, if paving</v>
      </c>
      <c r="J101" s="1229">
        <v>0</v>
      </c>
      <c r="K101" s="1869"/>
      <c r="L101" s="1215"/>
    </row>
    <row r="102" spans="2:16" x14ac:dyDescent="0.3">
      <c r="B102" s="1214"/>
      <c r="C102" s="1217"/>
      <c r="D102" s="1869"/>
      <c r="E102" s="1290">
        <v>6.6</v>
      </c>
      <c r="F102" s="1874" t="s">
        <v>770</v>
      </c>
      <c r="G102" s="1870"/>
      <c r="H102" s="1873"/>
      <c r="I102" s="1287" t="str">
        <f t="array" ref="I102">IFERROR(INDEX('ESDS-Reference Table'!G1:G493,MATCH(1,('ESDS-Reference Table'!F1:F493=E102)*('ESDS-Reference Table'!H1:H493=F21)*('ESDS-Reference Table'!I1:I493=F23),0)),"Select Region and Activity")</f>
        <v>up to 3</v>
      </c>
      <c r="J102" s="1229">
        <v>0</v>
      </c>
      <c r="K102" s="1869"/>
      <c r="L102" s="1215"/>
    </row>
    <row r="103" spans="2:16" x14ac:dyDescent="0.3">
      <c r="B103" s="1214"/>
      <c r="C103" s="1217"/>
      <c r="D103" s="1869"/>
      <c r="E103" s="1235" t="s">
        <v>31</v>
      </c>
      <c r="F103" s="1236"/>
      <c r="G103" s="1237"/>
      <c r="H103" s="1237"/>
      <c r="I103" s="1238" t="s">
        <v>771</v>
      </c>
      <c r="J103" s="1239">
        <f>SUM(J96:J102)</f>
        <v>5</v>
      </c>
      <c r="K103" s="1869"/>
      <c r="L103" s="1215"/>
      <c r="P103" s="1441"/>
    </row>
    <row r="104" spans="2:16" s="1441" customFormat="1" ht="7.5" customHeight="1" x14ac:dyDescent="0.3">
      <c r="B104" s="1214"/>
      <c r="C104" s="1217"/>
      <c r="D104" s="1869"/>
      <c r="E104" s="1240"/>
      <c r="F104" s="1242"/>
      <c r="G104" s="1240"/>
      <c r="H104" s="1240"/>
      <c r="I104" s="1241"/>
      <c r="J104" s="1242"/>
      <c r="K104" s="1869"/>
      <c r="L104" s="1215"/>
      <c r="O104" s="1440"/>
    </row>
    <row r="105" spans="2:16" s="1441" customFormat="1" ht="7.5" customHeight="1" x14ac:dyDescent="0.3">
      <c r="B105" s="1214"/>
      <c r="C105" s="1217"/>
      <c r="D105" s="1869"/>
      <c r="E105" s="1217"/>
      <c r="F105" s="1869"/>
      <c r="G105" s="1217"/>
      <c r="H105" s="1217"/>
      <c r="I105" s="1241"/>
      <c r="J105" s="1869"/>
      <c r="K105" s="1869"/>
      <c r="L105" s="1215"/>
      <c r="O105" s="1440"/>
    </row>
    <row r="106" spans="2:16" s="1441" customFormat="1" x14ac:dyDescent="0.3">
      <c r="B106" s="1214"/>
      <c r="C106" s="1217"/>
      <c r="D106" s="1869"/>
      <c r="E106" s="1284" t="s">
        <v>772</v>
      </c>
      <c r="F106" s="1869"/>
      <c r="G106" s="1284"/>
      <c r="H106" s="1284"/>
      <c r="I106" s="1241"/>
      <c r="J106" s="1869"/>
      <c r="K106" s="1869"/>
      <c r="L106" s="1215"/>
      <c r="O106" s="1440"/>
    </row>
    <row r="107" spans="2:16" x14ac:dyDescent="0.3">
      <c r="B107" s="1214"/>
      <c r="C107" s="1217"/>
      <c r="D107" s="1869"/>
      <c r="E107" s="1222" t="s">
        <v>681</v>
      </c>
      <c r="F107" s="1223" t="s">
        <v>682</v>
      </c>
      <c r="G107" s="1224"/>
      <c r="H107" s="1224"/>
      <c r="I107" s="1225" t="s">
        <v>683</v>
      </c>
      <c r="J107" s="1226" t="s">
        <v>684</v>
      </c>
      <c r="K107" s="1869"/>
      <c r="L107" s="1215"/>
    </row>
    <row r="108" spans="2:16" x14ac:dyDescent="0.3">
      <c r="B108" s="1214"/>
      <c r="C108" s="1217"/>
      <c r="D108" s="1869"/>
      <c r="E108" s="1292">
        <v>7.1</v>
      </c>
      <c r="F108" s="2625" t="s">
        <v>773</v>
      </c>
      <c r="G108" s="2626"/>
      <c r="H108" s="2627"/>
      <c r="I108" s="1293" t="str">
        <f t="array" ref="I108">IFERROR(INDEX('ESDS-Reference Table'!$G$1:$G$493,MATCH(1,('ESDS-Reference Table'!$F$1:$F$493=E108)*('ESDS-Reference Table'!$H$1:$H$493=$F$21)*('ESDS-Reference Table'!$I$1:$I$493=$F$23),0)),"Select Region and Activity")</f>
        <v>Mandatory</v>
      </c>
      <c r="J108" s="1229" t="s">
        <v>1949</v>
      </c>
      <c r="K108" s="1869">
        <f t="shared" ref="K108:K128" si="3">N(J108)</f>
        <v>0</v>
      </c>
      <c r="L108" s="1215"/>
    </row>
    <row r="109" spans="2:16" ht="15" customHeight="1" x14ac:dyDescent="0.3">
      <c r="B109" s="1214"/>
      <c r="C109" s="1217"/>
      <c r="D109" s="1869"/>
      <c r="E109" s="1286" t="s">
        <v>774</v>
      </c>
      <c r="F109" s="2599" t="s">
        <v>775</v>
      </c>
      <c r="G109" s="2573"/>
      <c r="H109" s="2600"/>
      <c r="I109" s="1294" t="str">
        <f t="array" ref="I109">IFERROR(INDEX('ESDS-Reference Table'!$G$1:$G$493,MATCH(1,('ESDS-Reference Table'!$F$1:$F$493=E109)*('ESDS-Reference Table'!$H$1:$H$493=$F$21)*('ESDS-Reference Table'!$I$1:$I$493=$F$23),0)),"Select Region and Activity")</f>
        <v>Mandatory, if providing flooring materials</v>
      </c>
      <c r="J109" s="1229" t="s">
        <v>1949</v>
      </c>
      <c r="K109" s="1869">
        <f t="shared" si="3"/>
        <v>0</v>
      </c>
      <c r="L109" s="1215"/>
    </row>
    <row r="110" spans="2:16" x14ac:dyDescent="0.3">
      <c r="B110" s="1214"/>
      <c r="C110" s="1217"/>
      <c r="D110" s="1869"/>
      <c r="E110" s="1286" t="s">
        <v>776</v>
      </c>
      <c r="F110" s="2599" t="s">
        <v>775</v>
      </c>
      <c r="G110" s="2573"/>
      <c r="H110" s="2600"/>
      <c r="I110" s="1294" t="str">
        <f t="array" ref="I110">IFERROR(INDEX('ESDS-Reference Table'!$G$1:$G$493,MATCH(1,('ESDS-Reference Table'!$F$1:$F$493=E110)*('ESDS-Reference Table'!$H$1:$H$493=$F$21)*('ESDS-Reference Table'!$I$1:$I$493=$F$23),0)),"Select Region and Activity")</f>
        <v>0 or 6</v>
      </c>
      <c r="J110" s="1229">
        <v>0</v>
      </c>
      <c r="K110" s="1869">
        <f t="shared" si="3"/>
        <v>0</v>
      </c>
      <c r="L110" s="1215"/>
    </row>
    <row r="111" spans="2:16" x14ac:dyDescent="0.3">
      <c r="B111" s="1214"/>
      <c r="C111" s="1217"/>
      <c r="D111" s="1869"/>
      <c r="E111" s="1286" t="s">
        <v>777</v>
      </c>
      <c r="F111" s="2602" t="s">
        <v>778</v>
      </c>
      <c r="G111" s="2609"/>
      <c r="H111" s="2610"/>
      <c r="I111" s="1294" t="str">
        <f t="array" ref="I111">IFERROR(INDEX('ESDS-Reference Table'!$G$1:$G$493,MATCH(1,('ESDS-Reference Table'!$F$1:$F$493=E111)*('ESDS-Reference Table'!$H$1:$H$493=$F$21)*('ESDS-Reference Table'!$I$1:$I$493=$F$23),0)),"Select Region and Activity")</f>
        <v>Mandatory</v>
      </c>
      <c r="J111" s="1229" t="s">
        <v>1949</v>
      </c>
      <c r="K111" s="1869">
        <f t="shared" si="3"/>
        <v>0</v>
      </c>
      <c r="L111" s="1215"/>
      <c r="N111" s="400"/>
      <c r="P111" s="399"/>
    </row>
    <row r="112" spans="2:16" x14ac:dyDescent="0.3">
      <c r="B112" s="1214"/>
      <c r="C112" s="1217"/>
      <c r="D112" s="1869"/>
      <c r="E112" s="1286" t="s">
        <v>779</v>
      </c>
      <c r="F112" s="2611" t="s">
        <v>778</v>
      </c>
      <c r="G112" s="2612"/>
      <c r="H112" s="2613"/>
      <c r="I112" s="1294" t="str">
        <f t="array" ref="I112">IFERROR(INDEX('ESDS-Reference Table'!$G$1:$G$493,MATCH(1,('ESDS-Reference Table'!$F$1:$F$493=E112)*('ESDS-Reference Table'!$H$1:$H$493=$F$21)*('ESDS-Reference Table'!$I$1:$I$493=$F$23),0)),"Select Region and Activity")</f>
        <v>n/a</v>
      </c>
      <c r="J112" s="1229"/>
      <c r="K112" s="1869">
        <f t="shared" si="3"/>
        <v>0</v>
      </c>
      <c r="L112" s="1215"/>
      <c r="N112" s="400"/>
      <c r="P112" s="399"/>
    </row>
    <row r="113" spans="2:16" x14ac:dyDescent="0.3">
      <c r="B113" s="1214"/>
      <c r="C113" s="1217"/>
      <c r="D113" s="1869"/>
      <c r="E113" s="1286" t="s">
        <v>780</v>
      </c>
      <c r="F113" s="2602" t="s">
        <v>781</v>
      </c>
      <c r="G113" s="2609"/>
      <c r="H113" s="2610"/>
      <c r="I113" s="1294" t="str">
        <f t="array" ref="I113">IFERROR(INDEX('ESDS-Reference Table'!$G$1:$G$493,MATCH(1,('ESDS-Reference Table'!$F$1:$F$493=E113)*('ESDS-Reference Table'!$H$1:$H$493=$F$21)*('ESDS-Reference Table'!$I$1:$I$493=$F$23),0)),"Select Region and Activity")</f>
        <v>Mandatory</v>
      </c>
      <c r="J113" s="1229" t="s">
        <v>1949</v>
      </c>
      <c r="K113" s="1869">
        <f t="shared" si="3"/>
        <v>0</v>
      </c>
      <c r="L113" s="1215"/>
      <c r="N113" s="400"/>
      <c r="P113" s="399"/>
    </row>
    <row r="114" spans="2:16" x14ac:dyDescent="0.3">
      <c r="B114" s="1214"/>
      <c r="C114" s="1217"/>
      <c r="D114" s="1869"/>
      <c r="E114" s="1286" t="s">
        <v>782</v>
      </c>
      <c r="F114" s="2602" t="s">
        <v>781</v>
      </c>
      <c r="G114" s="2609"/>
      <c r="H114" s="2610"/>
      <c r="I114" s="1294" t="str">
        <f t="array" ref="I114">IFERROR(INDEX('ESDS-Reference Table'!$G$1:$G$493,MATCH(1,('ESDS-Reference Table'!$F$1:$F$493=E114)*('ESDS-Reference Table'!$H$1:$H$493=$F$21)*('ESDS-Reference Table'!$I$1:$I$493=$F$23),0)),"Select Region and Activity")</f>
        <v>n/a</v>
      </c>
      <c r="J114" s="1229"/>
      <c r="K114" s="1869">
        <f t="shared" si="3"/>
        <v>0</v>
      </c>
      <c r="L114" s="1215"/>
      <c r="N114" s="400"/>
      <c r="P114" s="399"/>
    </row>
    <row r="115" spans="2:16" x14ac:dyDescent="0.3">
      <c r="B115" s="1214"/>
      <c r="C115" s="1217"/>
      <c r="D115" s="1869"/>
      <c r="E115" s="1290">
        <v>7.5</v>
      </c>
      <c r="F115" s="2599" t="s">
        <v>783</v>
      </c>
      <c r="G115" s="2573"/>
      <c r="H115" s="2600"/>
      <c r="I115" s="1294" t="str">
        <f t="array" ref="I115">IFERROR(INDEX('ESDS-Reference Table'!$G$1:$G$493,MATCH(1,('ESDS-Reference Table'!$F$1:$F$493=E115)*('ESDS-Reference Table'!$H$1:$H$493=$F$21)*('ESDS-Reference Table'!$I$1:$I$493=$F$23),0)),"Select Region and Activity")</f>
        <v>Mandatory</v>
      </c>
      <c r="J115" s="1229" t="s">
        <v>1949</v>
      </c>
      <c r="K115" s="1869">
        <f t="shared" si="3"/>
        <v>0</v>
      </c>
      <c r="L115" s="1215"/>
    </row>
    <row r="116" spans="2:16" x14ac:dyDescent="0.3">
      <c r="B116" s="1214"/>
      <c r="C116" s="1217"/>
      <c r="D116" s="1869"/>
      <c r="E116" s="1290">
        <v>7.6</v>
      </c>
      <c r="F116" s="2599" t="s">
        <v>784</v>
      </c>
      <c r="G116" s="2573"/>
      <c r="H116" s="2600"/>
      <c r="I116" s="1294" t="str">
        <f t="array" ref="I116">IFERROR(INDEX('ESDS-Reference Table'!$G$1:$G$493,MATCH(1,('ESDS-Reference Table'!$F$1:$F$493=E116)*('ESDS-Reference Table'!$H$1:$H$493=$F$21)*('ESDS-Reference Table'!$I$1:$I$493=$F$23),0)),"Select Region and Activity")</f>
        <v>Mandatory</v>
      </c>
      <c r="J116" s="1229" t="s">
        <v>1949</v>
      </c>
      <c r="K116" s="1869">
        <f t="shared" si="3"/>
        <v>0</v>
      </c>
      <c r="L116" s="1215"/>
    </row>
    <row r="117" spans="2:16" x14ac:dyDescent="0.3">
      <c r="B117" s="1214"/>
      <c r="C117" s="1217"/>
      <c r="D117" s="1869"/>
      <c r="E117" s="1290">
        <v>7.7</v>
      </c>
      <c r="F117" s="2599" t="s">
        <v>785</v>
      </c>
      <c r="G117" s="2573"/>
      <c r="H117" s="2600"/>
      <c r="I117" s="1294" t="str">
        <f t="array" ref="I117">IFERROR(INDEX('ESDS-Reference Table'!$G$1:$G$493,MATCH(1,('ESDS-Reference Table'!$F$1:$F$493=E117)*('ESDS-Reference Table'!$H$1:$H$493=$F$21)*('ESDS-Reference Table'!$I$1:$I$493=$F$23),0)),"Select Region and Activity")</f>
        <v>Mandatory</v>
      </c>
      <c r="J117" s="1229" t="s">
        <v>1949</v>
      </c>
      <c r="K117" s="1869">
        <f t="shared" si="3"/>
        <v>0</v>
      </c>
      <c r="L117" s="1215"/>
    </row>
    <row r="118" spans="2:16" x14ac:dyDescent="0.3">
      <c r="B118" s="1214"/>
      <c r="C118" s="1217"/>
      <c r="D118" s="1869"/>
      <c r="E118" s="1290">
        <v>7.8</v>
      </c>
      <c r="F118" s="2599" t="s">
        <v>786</v>
      </c>
      <c r="G118" s="2573"/>
      <c r="H118" s="2600"/>
      <c r="I118" s="1294" t="str">
        <f t="array" ref="I118">IFERROR(INDEX('ESDS-Reference Table'!$G$1:$G$493,MATCH(1,('ESDS-Reference Table'!$F$1:$F$493=E118)*('ESDS-Reference Table'!$H$1:$H$493=$F$21)*('ESDS-Reference Table'!$I$1:$I$493=$F$23),0)),"Select Region and Activity")</f>
        <v>Mandatory</v>
      </c>
      <c r="J118" s="1229" t="s">
        <v>1949</v>
      </c>
      <c r="K118" s="1869">
        <f t="shared" si="3"/>
        <v>0</v>
      </c>
      <c r="L118" s="1215"/>
    </row>
    <row r="119" spans="2:16" s="1445" customFormat="1" x14ac:dyDescent="0.3">
      <c r="B119" s="1295"/>
      <c r="C119" s="1217"/>
      <c r="D119" s="1296"/>
      <c r="E119" s="1297">
        <v>7.9</v>
      </c>
      <c r="F119" s="2599" t="s">
        <v>787</v>
      </c>
      <c r="G119" s="2573"/>
      <c r="H119" s="2600"/>
      <c r="I119" s="1294" t="str">
        <f t="array" ref="I119">IFERROR(INDEX('ESDS-Reference Table'!$G$1:$G$493,MATCH(1,('ESDS-Reference Table'!$F$1:$F$493=E119)*('ESDS-Reference Table'!$H$1:$H$493=$F$21)*('ESDS-Reference Table'!$I$1:$I$493=$F$23),0)),"Select Region and Activity")</f>
        <v>Mandatory</v>
      </c>
      <c r="J119" s="1229" t="s">
        <v>1949</v>
      </c>
      <c r="K119" s="1869">
        <f t="shared" si="3"/>
        <v>0</v>
      </c>
      <c r="L119" s="1298"/>
      <c r="N119" s="1440"/>
    </row>
    <row r="120" spans="2:16" x14ac:dyDescent="0.3">
      <c r="B120" s="1214"/>
      <c r="C120" s="1217"/>
      <c r="D120" s="1869"/>
      <c r="E120" s="1299" t="s">
        <v>788</v>
      </c>
      <c r="F120" s="2599" t="s">
        <v>789</v>
      </c>
      <c r="G120" s="2573"/>
      <c r="H120" s="2600"/>
      <c r="I120" s="1294" t="str">
        <f t="array" ref="I120">IFERROR(INDEX('ESDS-Reference Table'!$G$1:$G$493,MATCH(1,('ESDS-Reference Table'!$F$1:$F$493=E120)*('ESDS-Reference Table'!$H$1:$H$493=$F$21)*('ESDS-Reference Table'!$I$1:$I$493=$F$23),0)),"Select Region and Activity")</f>
        <v>Mandatory</v>
      </c>
      <c r="J120" s="1229" t="s">
        <v>1949</v>
      </c>
      <c r="K120" s="1869">
        <f t="shared" si="3"/>
        <v>0</v>
      </c>
      <c r="L120" s="1215"/>
      <c r="N120" s="400"/>
    </row>
    <row r="121" spans="2:16" x14ac:dyDescent="0.3">
      <c r="B121" s="1214"/>
      <c r="C121" s="1217"/>
      <c r="D121" s="1869"/>
      <c r="E121" s="1290">
        <v>7.11</v>
      </c>
      <c r="F121" s="2599" t="s">
        <v>790</v>
      </c>
      <c r="G121" s="2573"/>
      <c r="H121" s="2600"/>
      <c r="I121" s="1294" t="str">
        <f t="array" ref="I121">IFERROR(INDEX('ESDS-Reference Table'!$G$1:$G$493,MATCH(1,('ESDS-Reference Table'!$F$1:$F$493=E121)*('ESDS-Reference Table'!$H$1:$H$493=$F$21)*('ESDS-Reference Table'!$I$1:$I$493=$F$23),0)),"Select Region and Activity")</f>
        <v>Mandatory</v>
      </c>
      <c r="J121" s="1229" t="s">
        <v>1949</v>
      </c>
      <c r="K121" s="1869">
        <f t="shared" si="3"/>
        <v>0</v>
      </c>
      <c r="L121" s="1215"/>
    </row>
    <row r="122" spans="2:16" x14ac:dyDescent="0.3">
      <c r="B122" s="1214"/>
      <c r="C122" s="1217"/>
      <c r="D122" s="1869"/>
      <c r="E122" s="1290">
        <v>7.12</v>
      </c>
      <c r="F122" s="2599" t="s">
        <v>791</v>
      </c>
      <c r="G122" s="2573"/>
      <c r="H122" s="2600"/>
      <c r="I122" s="1294" t="str">
        <f t="array" ref="I122">IFERROR(INDEX('ESDS-Reference Table'!$G$1:$G$493,MATCH(1,('ESDS-Reference Table'!$F$1:$F$493=E122)*('ESDS-Reference Table'!$H$1:$H$493=$F$21)*('ESDS-Reference Table'!$I$1:$I$493=$F$23),0)),"Select Region and Activity")</f>
        <v>Mandatory</v>
      </c>
      <c r="J122" s="1229" t="s">
        <v>1949</v>
      </c>
      <c r="K122" s="1869">
        <f t="shared" si="3"/>
        <v>0</v>
      </c>
      <c r="L122" s="1215"/>
    </row>
    <row r="123" spans="2:16" x14ac:dyDescent="0.3">
      <c r="B123" s="1214"/>
      <c r="C123" s="1217"/>
      <c r="D123" s="1869"/>
      <c r="E123" s="1286" t="s">
        <v>792</v>
      </c>
      <c r="F123" s="2599" t="s">
        <v>793</v>
      </c>
      <c r="G123" s="2573"/>
      <c r="H123" s="2600"/>
      <c r="I123" s="1294" t="str">
        <f t="array" ref="I123">IFERROR(INDEX('ESDS-Reference Table'!$G$1:$G$493,MATCH(1,('ESDS-Reference Table'!$F$1:$F$493=E123)*('ESDS-Reference Table'!$H$1:$H$493=$F$21)*('ESDS-Reference Table'!$I$1:$I$493=$F$23),0)),"Select Region and Activity")</f>
        <v>Mandatory</v>
      </c>
      <c r="J123" s="1229" t="s">
        <v>1949</v>
      </c>
      <c r="K123" s="1869">
        <f t="shared" si="3"/>
        <v>0</v>
      </c>
      <c r="L123" s="1215"/>
      <c r="N123" s="400"/>
    </row>
    <row r="124" spans="2:16" x14ac:dyDescent="0.3">
      <c r="B124" s="1214"/>
      <c r="C124" s="1217"/>
      <c r="D124" s="1869"/>
      <c r="E124" s="1286" t="s">
        <v>794</v>
      </c>
      <c r="F124" s="2599" t="s">
        <v>793</v>
      </c>
      <c r="G124" s="2573"/>
      <c r="H124" s="2600"/>
      <c r="I124" s="1294" t="str">
        <f t="array" ref="I124">IFERROR(INDEX('ESDS-Reference Table'!$G$1:$G$493,MATCH(1,('ESDS-Reference Table'!$F$1:$F$493=E124)*('ESDS-Reference Table'!$H$1:$H$493=$F$21)*('ESDS-Reference Table'!$I$1:$I$493=$F$23),0)),"Select Region and Activity")</f>
        <v>0,2,3,4,5,6,7 or 8</v>
      </c>
      <c r="J124" s="1229">
        <v>8</v>
      </c>
      <c r="K124" s="1869">
        <f t="shared" si="3"/>
        <v>8</v>
      </c>
      <c r="L124" s="1215"/>
      <c r="N124" s="400"/>
    </row>
    <row r="125" spans="2:16" x14ac:dyDescent="0.3">
      <c r="B125" s="1214"/>
      <c r="C125" s="1217"/>
      <c r="D125" s="1869"/>
      <c r="E125" s="1290">
        <v>7.14</v>
      </c>
      <c r="F125" s="2599" t="s">
        <v>795</v>
      </c>
      <c r="G125" s="2573"/>
      <c r="H125" s="2600"/>
      <c r="I125" s="1294" t="str">
        <f t="array" ref="I125">IFERROR(INDEX('ESDS-Reference Table'!$G$1:$G$493,MATCH(1,('ESDS-Reference Table'!$F$1:$F$493=E125)*('ESDS-Reference Table'!$H$1:$H$493=$F$21)*('ESDS-Reference Table'!$I$1:$I$493=$F$23),0)),"Select Region and Activity")</f>
        <v>Mandatory</v>
      </c>
      <c r="J125" s="1229" t="s">
        <v>1949</v>
      </c>
      <c r="K125" s="1869">
        <f t="shared" si="3"/>
        <v>0</v>
      </c>
      <c r="L125" s="1215"/>
    </row>
    <row r="126" spans="2:16" x14ac:dyDescent="0.3">
      <c r="B126" s="1214"/>
      <c r="C126" s="1217"/>
      <c r="D126" s="1869"/>
      <c r="E126" s="1290">
        <v>7.15</v>
      </c>
      <c r="F126" s="2599" t="s">
        <v>796</v>
      </c>
      <c r="G126" s="2573"/>
      <c r="H126" s="2600"/>
      <c r="I126" s="1294" t="str">
        <f t="array" ref="I126">IFERROR(INDEX('ESDS-Reference Table'!$G$1:$G$493,MATCH(1,('ESDS-Reference Table'!$F$1:$F$493=E126)*('ESDS-Reference Table'!$H$1:$H$493=$F$21)*('ESDS-Reference Table'!$I$1:$I$493=$F$23),0)),"Select Region and Activity")</f>
        <v>Mandatory</v>
      </c>
      <c r="J126" s="1229" t="s">
        <v>1949</v>
      </c>
      <c r="K126" s="1869">
        <f t="shared" si="3"/>
        <v>0</v>
      </c>
      <c r="L126" s="1215"/>
    </row>
    <row r="127" spans="2:16" x14ac:dyDescent="0.3">
      <c r="B127" s="1214"/>
      <c r="C127" s="1217"/>
      <c r="D127" s="1869"/>
      <c r="E127" s="1290">
        <v>7.16</v>
      </c>
      <c r="F127" s="2599" t="s">
        <v>797</v>
      </c>
      <c r="G127" s="2573"/>
      <c r="H127" s="2600"/>
      <c r="I127" s="1294" t="str">
        <f t="array" ref="I127">IFERROR(INDEX('ESDS-Reference Table'!$G$1:$G$493,MATCH(1,('ESDS-Reference Table'!$F$1:$F$493=E127)*('ESDS-Reference Table'!$H$1:$H$493=$F$21)*('ESDS-Reference Table'!$I$1:$I$493=$F$23),0)),"Select Region and Activity")</f>
        <v>Mandatory</v>
      </c>
      <c r="J127" s="1229" t="s">
        <v>1949</v>
      </c>
      <c r="K127" s="1869">
        <f t="shared" si="3"/>
        <v>0</v>
      </c>
      <c r="L127" s="1215"/>
    </row>
    <row r="128" spans="2:16" x14ac:dyDescent="0.3">
      <c r="B128" s="1214"/>
      <c r="C128" s="1217"/>
      <c r="D128" s="1869"/>
      <c r="E128" s="1291">
        <v>7.17</v>
      </c>
      <c r="F128" s="2628" t="s">
        <v>798</v>
      </c>
      <c r="G128" s="2596"/>
      <c r="H128" s="2629"/>
      <c r="I128" s="1271" t="str">
        <f t="array" ref="I128">IFERROR(INDEX('ESDS-Reference Table'!$G$1:$G$493,MATCH(1,('ESDS-Reference Table'!$F$1:$F$493=E128)*('ESDS-Reference Table'!$H$1:$H$493=$F$21)*('ESDS-Reference Table'!$I$1:$I$493=$F$23),0)),"Select Region and Activity")</f>
        <v>Mandatory</v>
      </c>
      <c r="J128" s="1229" t="s">
        <v>1949</v>
      </c>
      <c r="K128" s="1869">
        <f t="shared" si="3"/>
        <v>0</v>
      </c>
      <c r="L128" s="1215"/>
    </row>
    <row r="129" spans="2:12" x14ac:dyDescent="0.3">
      <c r="B129" s="1214"/>
      <c r="C129" s="1217"/>
      <c r="D129" s="1869"/>
      <c r="E129" s="1235"/>
      <c r="F129" s="1236"/>
      <c r="G129" s="1237"/>
      <c r="H129" s="1237"/>
      <c r="I129" s="1238" t="s">
        <v>799</v>
      </c>
      <c r="J129" s="1239">
        <f>SUM(J108:J128)</f>
        <v>8</v>
      </c>
      <c r="K129" s="1869"/>
      <c r="L129" s="1215"/>
    </row>
    <row r="130" spans="2:12" ht="7.5" customHeight="1" thickBot="1" x14ac:dyDescent="0.35">
      <c r="B130" s="1300"/>
      <c r="C130" s="1278"/>
      <c r="D130" s="1278"/>
      <c r="E130" s="1275"/>
      <c r="F130" s="1276"/>
      <c r="G130" s="1275"/>
      <c r="H130" s="1275"/>
      <c r="I130" s="1277"/>
      <c r="J130" s="1276"/>
      <c r="K130" s="1278"/>
      <c r="L130" s="1279"/>
    </row>
    <row r="131" spans="2:12" ht="7.5" customHeight="1" x14ac:dyDescent="0.3">
      <c r="B131" s="1211"/>
      <c r="C131" s="1212"/>
      <c r="D131" s="1212"/>
      <c r="E131" s="1282"/>
      <c r="F131" s="1212"/>
      <c r="G131" s="1282"/>
      <c r="H131" s="1282"/>
      <c r="I131" s="1283"/>
      <c r="J131" s="1212"/>
      <c r="K131" s="1212"/>
      <c r="L131" s="1213"/>
    </row>
    <row r="132" spans="2:12" x14ac:dyDescent="0.3">
      <c r="B132" s="1214"/>
      <c r="C132" s="1217"/>
      <c r="D132" s="1869"/>
      <c r="E132" s="1284" t="s">
        <v>800</v>
      </c>
      <c r="F132" s="1869"/>
      <c r="G132" s="1284"/>
      <c r="H132" s="1284"/>
      <c r="I132" s="1241"/>
      <c r="J132" s="1869"/>
      <c r="K132" s="1869"/>
      <c r="L132" s="1215"/>
    </row>
    <row r="133" spans="2:12" x14ac:dyDescent="0.3">
      <c r="B133" s="1214"/>
      <c r="C133" s="1217"/>
      <c r="D133" s="1869"/>
      <c r="E133" s="1222" t="s">
        <v>681</v>
      </c>
      <c r="F133" s="1223" t="s">
        <v>682</v>
      </c>
      <c r="G133" s="1224"/>
      <c r="H133" s="1224"/>
      <c r="I133" s="1225" t="s">
        <v>683</v>
      </c>
      <c r="J133" s="1226" t="s">
        <v>684</v>
      </c>
      <c r="K133" s="1869"/>
      <c r="L133" s="1215"/>
    </row>
    <row r="134" spans="2:12" x14ac:dyDescent="0.3">
      <c r="B134" s="1214"/>
      <c r="C134" s="1217"/>
      <c r="D134" s="1869"/>
      <c r="E134" s="1285" t="s">
        <v>801</v>
      </c>
      <c r="F134" s="2606" t="s">
        <v>802</v>
      </c>
      <c r="G134" s="2589"/>
      <c r="H134" s="2624"/>
      <c r="I134" s="1293" t="str">
        <f t="array" ref="I134">IFERROR(INDEX('ESDS-Reference Table'!$G$1:$G$493,MATCH(1,('ESDS-Reference Table'!$F$1:$F$493=E134)*('ESDS-Reference Table'!$H$1:$H$493=$F$21)*('ESDS-Reference Table'!$I$1:$I$493=$F$23),0)),"Select Region and Activity")</f>
        <v>Mandatory</v>
      </c>
      <c r="J134" s="1229" t="s">
        <v>1949</v>
      </c>
      <c r="K134" s="1869">
        <f>N(J134)</f>
        <v>0</v>
      </c>
      <c r="L134" s="1215"/>
    </row>
    <row r="135" spans="2:12" x14ac:dyDescent="0.3">
      <c r="B135" s="1214"/>
      <c r="C135" s="1217"/>
      <c r="D135" s="1869"/>
      <c r="E135" s="1301" t="s">
        <v>803</v>
      </c>
      <c r="F135" s="1302" t="s">
        <v>804</v>
      </c>
      <c r="G135" s="1303"/>
      <c r="H135" s="1304"/>
      <c r="I135" s="1294" t="str">
        <f t="array" ref="I135">IFERROR(INDEX('ESDS-Reference Table'!$G$1:$G$493,MATCH(1,('ESDS-Reference Table'!$F$1:$F$493=E135)*('ESDS-Reference Table'!$H$1:$H$493=$F$21)*('ESDS-Reference Table'!$I$1:$I$493=$F$23),0)),"Select Region and Activity")</f>
        <v>0 or 7</v>
      </c>
      <c r="J135" s="1229">
        <v>7</v>
      </c>
      <c r="K135" s="1869"/>
      <c r="L135" s="1215"/>
    </row>
    <row r="136" spans="2:12" x14ac:dyDescent="0.3">
      <c r="B136" s="1214"/>
      <c r="C136" s="1217"/>
      <c r="D136" s="1869"/>
      <c r="E136" s="1288">
        <v>8.1999999999999993</v>
      </c>
      <c r="F136" s="2602" t="s">
        <v>805</v>
      </c>
      <c r="G136" s="2573"/>
      <c r="H136" s="2600"/>
      <c r="I136" s="1294" t="str">
        <f t="array" ref="I136">IFERROR(INDEX('ESDS-Reference Table'!$G$1:$G$493,MATCH(1,('ESDS-Reference Table'!$F$1:$F$493=E136)*('ESDS-Reference Table'!$H$1:$H$493=$F$21)*('ESDS-Reference Table'!$I$1:$I$493=$F$23),0)),"Select Region and Activity")</f>
        <v>Mandatory for Multifamily Projects</v>
      </c>
      <c r="J136" s="1229" t="s">
        <v>1949</v>
      </c>
      <c r="K136" s="1869">
        <f>N(J136)</f>
        <v>0</v>
      </c>
      <c r="L136" s="1215"/>
    </row>
    <row r="137" spans="2:12" x14ac:dyDescent="0.3">
      <c r="B137" s="1214"/>
      <c r="C137" s="1217"/>
      <c r="D137" s="1869"/>
      <c r="E137" s="1288">
        <v>8.3000000000000007</v>
      </c>
      <c r="F137" s="2602" t="s">
        <v>806</v>
      </c>
      <c r="G137" s="2573"/>
      <c r="H137" s="2600"/>
      <c r="I137" s="1294" t="str">
        <f t="array" ref="I137">IFERROR(INDEX('ESDS-Reference Table'!$G$1:$G$493,MATCH(1,('ESDS-Reference Table'!$F$1:$F$493=E137)*('ESDS-Reference Table'!$H$1:$H$493=$F$21)*('ESDS-Reference Table'!$I$1:$I$493=$F$23),0)),"Select Region and Activity")</f>
        <v>Mandatory</v>
      </c>
      <c r="J137" s="1229" t="s">
        <v>1949</v>
      </c>
      <c r="K137" s="1869">
        <f>N(J137)</f>
        <v>0</v>
      </c>
      <c r="L137" s="1215"/>
    </row>
    <row r="138" spans="2:12" x14ac:dyDescent="0.3">
      <c r="B138" s="1214"/>
      <c r="C138" s="1217"/>
      <c r="D138" s="1869"/>
      <c r="E138" s="1288">
        <v>8.4</v>
      </c>
      <c r="F138" s="2599" t="s">
        <v>807</v>
      </c>
      <c r="G138" s="2573"/>
      <c r="H138" s="2600"/>
      <c r="I138" s="1294" t="str">
        <f t="array" ref="I138">IFERROR(INDEX('ESDS-Reference Table'!$G$1:$G$493,MATCH(1,('ESDS-Reference Table'!$F$1:$F$493=E138)*('ESDS-Reference Table'!$H$1:$H$493=$F$21)*('ESDS-Reference Table'!$I$1:$I$493=$F$23),0)),"Select Region and Activity")</f>
        <v>0,3,5 or 8</v>
      </c>
      <c r="J138" s="1229">
        <v>0</v>
      </c>
      <c r="K138" s="1869">
        <f>N(J138)</f>
        <v>0</v>
      </c>
      <c r="L138" s="1215"/>
    </row>
    <row r="139" spans="2:12" x14ac:dyDescent="0.3">
      <c r="B139" s="1214"/>
      <c r="C139" s="1217"/>
      <c r="D139" s="1869"/>
      <c r="E139" s="1305">
        <v>8.5</v>
      </c>
      <c r="F139" s="2628" t="s">
        <v>808</v>
      </c>
      <c r="G139" s="2596"/>
      <c r="H139" s="2629"/>
      <c r="I139" s="1271" t="str">
        <f t="array" ref="I139">IFERROR(INDEX('ESDS-Reference Table'!$G$1:$G$493,MATCH(1,('ESDS-Reference Table'!$F$1:$F$493=E139)*('ESDS-Reference Table'!$H$1:$H$493=$F$21)*('ESDS-Reference Table'!$I$1:$I$493=$F$23),0)),"Select Region and Activity")</f>
        <v>Mandatory</v>
      </c>
      <c r="J139" s="1229" t="s">
        <v>1949</v>
      </c>
      <c r="K139" s="1869">
        <f>N(J139)</f>
        <v>0</v>
      </c>
      <c r="L139" s="1215"/>
    </row>
    <row r="140" spans="2:12" x14ac:dyDescent="0.3">
      <c r="B140" s="1214"/>
      <c r="C140" s="1217"/>
      <c r="D140" s="1869"/>
      <c r="E140" s="1235"/>
      <c r="F140" s="1236"/>
      <c r="G140" s="1237"/>
      <c r="H140" s="1237"/>
      <c r="I140" s="1238" t="s">
        <v>809</v>
      </c>
      <c r="J140" s="1239">
        <f>SUM(J134:J139)</f>
        <v>7</v>
      </c>
      <c r="K140" s="1869"/>
      <c r="L140" s="1215"/>
    </row>
    <row r="141" spans="2:12" ht="15" thickBot="1" x14ac:dyDescent="0.35">
      <c r="B141" s="1214"/>
      <c r="C141" s="1217"/>
      <c r="D141" s="1869"/>
      <c r="E141" s="1869"/>
      <c r="F141" s="1869"/>
      <c r="G141" s="1869"/>
      <c r="H141" s="1869"/>
      <c r="I141" s="1869"/>
      <c r="J141" s="1869"/>
      <c r="K141" s="1869"/>
      <c r="L141" s="1215"/>
    </row>
    <row r="142" spans="2:12" x14ac:dyDescent="0.3">
      <c r="B142" s="1214"/>
      <c r="C142" s="1217"/>
      <c r="D142" s="1869"/>
      <c r="E142" s="1869"/>
      <c r="F142" s="1869"/>
      <c r="G142" s="1869"/>
      <c r="H142" s="1869"/>
      <c r="I142" s="1306" t="s">
        <v>810</v>
      </c>
      <c r="J142" s="1307">
        <f>J33</f>
        <v>11</v>
      </c>
      <c r="K142" s="1869"/>
      <c r="L142" s="1215"/>
    </row>
    <row r="143" spans="2:12" x14ac:dyDescent="0.3">
      <c r="B143" s="1214"/>
      <c r="C143" s="1217"/>
      <c r="D143" s="1869"/>
      <c r="E143" s="1869"/>
      <c r="F143" s="1869"/>
      <c r="G143" s="1869"/>
      <c r="H143" s="1869"/>
      <c r="I143" s="1308" t="s">
        <v>811</v>
      </c>
      <c r="J143" s="1309">
        <f>J48</f>
        <v>10</v>
      </c>
      <c r="K143" s="1869"/>
      <c r="L143" s="1215"/>
    </row>
    <row r="144" spans="2:12" x14ac:dyDescent="0.3">
      <c r="B144" s="1214"/>
      <c r="C144" s="1217"/>
      <c r="D144" s="1869"/>
      <c r="E144" s="1869"/>
      <c r="F144" s="1869"/>
      <c r="G144" s="1869"/>
      <c r="H144" s="1869"/>
      <c r="I144" s="1308" t="s">
        <v>812</v>
      </c>
      <c r="J144" s="1309">
        <f>J60</f>
        <v>5</v>
      </c>
      <c r="K144" s="1869"/>
      <c r="L144" s="1215"/>
    </row>
    <row r="145" spans="2:12" x14ac:dyDescent="0.3">
      <c r="B145" s="1214"/>
      <c r="C145" s="1217"/>
      <c r="D145" s="1869"/>
      <c r="E145" s="1869"/>
      <c r="F145" s="1869"/>
      <c r="G145" s="1869"/>
      <c r="H145" s="1869"/>
      <c r="I145" s="1308" t="s">
        <v>813</v>
      </c>
      <c r="J145" s="1309">
        <f>J69</f>
        <v>15</v>
      </c>
      <c r="K145" s="1869"/>
      <c r="L145" s="1215"/>
    </row>
    <row r="146" spans="2:12" x14ac:dyDescent="0.3">
      <c r="B146" s="1214"/>
      <c r="C146" s="1217"/>
      <c r="D146" s="1869"/>
      <c r="E146" s="1869"/>
      <c r="F146" s="1869"/>
      <c r="G146" s="1869"/>
      <c r="H146" s="1869"/>
      <c r="I146" s="1308" t="s">
        <v>814</v>
      </c>
      <c r="J146" s="1309">
        <f>J92</f>
        <v>8</v>
      </c>
      <c r="K146" s="1869"/>
      <c r="L146" s="1215"/>
    </row>
    <row r="147" spans="2:12" x14ac:dyDescent="0.3">
      <c r="B147" s="1214"/>
      <c r="C147" s="1217"/>
      <c r="D147" s="1869"/>
      <c r="E147" s="1869"/>
      <c r="F147" s="1869"/>
      <c r="G147" s="1869"/>
      <c r="H147" s="1869"/>
      <c r="I147" s="1308" t="s">
        <v>815</v>
      </c>
      <c r="J147" s="1309">
        <f>J103</f>
        <v>5</v>
      </c>
      <c r="K147" s="1869"/>
      <c r="L147" s="1215"/>
    </row>
    <row r="148" spans="2:12" x14ac:dyDescent="0.3">
      <c r="B148" s="1214"/>
      <c r="C148" s="1217"/>
      <c r="D148" s="1869"/>
      <c r="E148" s="1869"/>
      <c r="F148" s="1869"/>
      <c r="G148" s="1869"/>
      <c r="H148" s="1869"/>
      <c r="I148" s="1308" t="s">
        <v>816</v>
      </c>
      <c r="J148" s="1309">
        <f>J129</f>
        <v>8</v>
      </c>
      <c r="K148" s="1869"/>
      <c r="L148" s="1215"/>
    </row>
    <row r="149" spans="2:12" ht="15" thickBot="1" x14ac:dyDescent="0.35">
      <c r="B149" s="1214"/>
      <c r="C149" s="1217"/>
      <c r="D149" s="1869"/>
      <c r="E149" s="1869"/>
      <c r="F149" s="1869"/>
      <c r="G149" s="1869"/>
      <c r="H149" s="1869"/>
      <c r="I149" s="1310" t="s">
        <v>817</v>
      </c>
      <c r="J149" s="1311">
        <f>J140</f>
        <v>7</v>
      </c>
      <c r="K149" s="1869"/>
      <c r="L149" s="1215"/>
    </row>
    <row r="150" spans="2:12" ht="15.6" thickTop="1" thickBot="1" x14ac:dyDescent="0.35">
      <c r="B150" s="1214"/>
      <c r="C150" s="1217"/>
      <c r="D150" s="1869"/>
      <c r="E150" s="1869"/>
      <c r="F150" s="1869"/>
      <c r="G150" s="1869"/>
      <c r="H150" s="1869"/>
      <c r="I150" s="1312" t="s">
        <v>818</v>
      </c>
      <c r="J150" s="1313">
        <f>SUM(J142:J149)</f>
        <v>69</v>
      </c>
      <c r="K150" s="1869"/>
      <c r="L150" s="1215"/>
    </row>
    <row r="151" spans="2:12" ht="9" customHeight="1" thickBot="1" x14ac:dyDescent="0.35">
      <c r="B151" s="1300"/>
      <c r="C151" s="1278"/>
      <c r="D151" s="1278"/>
      <c r="E151" s="1278"/>
      <c r="F151" s="1278"/>
      <c r="G151" s="1278"/>
      <c r="H151" s="1278"/>
      <c r="I151" s="1278"/>
      <c r="J151" s="1278"/>
      <c r="K151" s="1278"/>
      <c r="L151" s="1279"/>
    </row>
  </sheetData>
  <sheetProtection algorithmName="SHA-512" hashValue="Sg2jp4rvaUcJHayRzUsvzR8RWeR/bwHo9hUvCI7EVIdo5nIRGDVt4B7y4J0F5KVZGlfPWr04cCJNTQkdCVYWwg==" saltValue="81mHp0ETDUKF82GNqPwhxA==" spinCount="100000" sheet="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134" priority="10">
      <formula>I74="n/a"</formula>
    </cfRule>
  </conditionalFormatting>
  <conditionalFormatting sqref="J27">
    <cfRule type="expression" dxfId="133" priority="17">
      <formula>I27="n/a"</formula>
    </cfRule>
  </conditionalFormatting>
  <conditionalFormatting sqref="J28">
    <cfRule type="expression" dxfId="132" priority="16">
      <formula>I28="n/a"</formula>
    </cfRule>
  </conditionalFormatting>
  <conditionalFormatting sqref="J29">
    <cfRule type="expression" dxfId="131" priority="15">
      <formula>I29="n/a"</formula>
    </cfRule>
  </conditionalFormatting>
  <conditionalFormatting sqref="J30:J32">
    <cfRule type="expression" dxfId="130" priority="14">
      <formula>I30="n/a"</formula>
    </cfRule>
  </conditionalFormatting>
  <conditionalFormatting sqref="J37:J47">
    <cfRule type="expression" dxfId="129" priority="13">
      <formula>I37="n/a"</formula>
    </cfRule>
  </conditionalFormatting>
  <conditionalFormatting sqref="J52:J59">
    <cfRule type="expression" dxfId="128" priority="12">
      <formula>I52="n/a"</formula>
    </cfRule>
  </conditionalFormatting>
  <conditionalFormatting sqref="J64:J68">
    <cfRule type="expression" dxfId="127" priority="11">
      <formula>I64="n/a"</formula>
    </cfRule>
  </conditionalFormatting>
  <conditionalFormatting sqref="J96:J102">
    <cfRule type="expression" dxfId="126" priority="9">
      <formula>I96="n/a"</formula>
    </cfRule>
  </conditionalFormatting>
  <conditionalFormatting sqref="J108:J128">
    <cfRule type="expression" dxfId="125" priority="8">
      <formula>I108="n/a"</formula>
    </cfRule>
  </conditionalFormatting>
  <conditionalFormatting sqref="J134:J139">
    <cfRule type="expression" dxfId="124" priority="7">
      <formula>I134="n/a"</formula>
    </cfRule>
  </conditionalFormatting>
  <conditionalFormatting sqref="G22 G24">
    <cfRule type="expression" dxfId="123" priority="19">
      <formula>$F$23&lt;&gt;"Rehab"</formula>
    </cfRule>
  </conditionalFormatting>
  <conditionalFormatting sqref="H24">
    <cfRule type="expression" dxfId="122" priority="22">
      <formula>$F$23&lt;&gt;"Rehab"</formula>
    </cfRule>
  </conditionalFormatting>
  <conditionalFormatting sqref="D15 C15:C69">
    <cfRule type="expression" dxfId="121" priority="20">
      <formula>$F$21="Rural"</formula>
    </cfRule>
    <cfRule type="expression" dxfId="120" priority="21">
      <formula>$F$21="Urban"</formula>
    </cfRule>
  </conditionalFormatting>
  <conditionalFormatting sqref="C72:C129">
    <cfRule type="expression" dxfId="119" priority="3">
      <formula>$F$21="Rural"</formula>
    </cfRule>
    <cfRule type="expression" dxfId="118" priority="4">
      <formula>$F$21="Urban"</formula>
    </cfRule>
  </conditionalFormatting>
  <conditionalFormatting sqref="C132:C150">
    <cfRule type="expression" dxfId="117" priority="1">
      <formula>$F$21="Rural"</formula>
    </cfRule>
    <cfRule type="expression" dxfId="116" priority="2">
      <formula>$F$21="Urban"</formula>
    </cfRule>
  </conditionalFormatting>
  <dataValidations count="37">
    <dataValidation type="list" allowBlank="1" showInputMessage="1" showErrorMessage="1" sqref="J124" xr:uid="{00000000-0002-0000-0B00-000000000000}">
      <formula1>INDIRECT($F$21&amp;(SUBSTITUTE(F23," ",""))&amp;$E$124)</formula1>
    </dataValidation>
    <dataValidation type="list" allowBlank="1" showInputMessage="1" showErrorMessage="1" sqref="J114" xr:uid="{00000000-0002-0000-0B00-000001000000}">
      <formula1>INDIRECT($F$21&amp;(SUBSTITUTE(F23," ",""))&amp;$E$114)</formula1>
    </dataValidation>
    <dataValidation type="list" allowBlank="1" showInputMessage="1" showErrorMessage="1" sqref="J112" xr:uid="{00000000-0002-0000-0B00-000002000000}">
      <formula1>INDIRECT($F$21&amp;(SUBSTITUTE(F23," ",""))&amp;$E$112)</formula1>
    </dataValidation>
    <dataValidation type="list" allowBlank="1" showInputMessage="1" showErrorMessage="1" sqref="J91" xr:uid="{00000000-0002-0000-0B00-000003000000}">
      <formula1>INDIRECT($F$21&amp;(SUBSTITUTE(F23," ",""))&amp;$E$91)</formula1>
    </dataValidation>
    <dataValidation type="list" allowBlank="1" showInputMessage="1" showErrorMessage="1" sqref="J90" xr:uid="{00000000-0002-0000-0B00-000004000000}">
      <formula1>INDIRECT($F$21&amp;(SUBSTITUTE(F23," ",""))&amp;$E$90)</formula1>
    </dataValidation>
    <dataValidation type="list" allowBlank="1" showInputMessage="1" showErrorMessage="1" sqref="J89" xr:uid="{00000000-0002-0000-0B00-000005000000}">
      <formula1>INDIRECT($F$21&amp;(SUBSTITUTE(F23," ",""))&amp;$E$89)</formula1>
    </dataValidation>
    <dataValidation type="list" allowBlank="1" showInputMessage="1" showErrorMessage="1" sqref="J88" xr:uid="{00000000-0002-0000-0B00-000006000000}">
      <formula1>INDIRECT($F$21&amp;(SUBSTITUTE(F23," ",""))&amp;$E$88)</formula1>
    </dataValidation>
    <dataValidation type="list" allowBlank="1" showInputMessage="1" showErrorMessage="1" sqref="J86" xr:uid="{00000000-0002-0000-0B00-000007000000}">
      <formula1>INDIRECT($F$21&amp;(SUBSTITUTE(F23," ",""))&amp;$E$86)</formula1>
    </dataValidation>
    <dataValidation type="list" allowBlank="1" showInputMessage="1" showErrorMessage="1" sqref="J84" xr:uid="{00000000-0002-0000-0B00-000008000000}">
      <formula1>INDIRECT($F$21&amp;(SUBSTITUTE(F23," ",""))&amp;$E$84)</formula1>
    </dataValidation>
    <dataValidation type="list" allowBlank="1" showInputMessage="1" showErrorMessage="1" sqref="J83" xr:uid="{00000000-0002-0000-0B00-000009000000}">
      <formula1>INDIRECT($F$21&amp;(SUBSTITUTE(F23," ",""))&amp;$E$83)</formula1>
    </dataValidation>
    <dataValidation type="list" allowBlank="1" showInputMessage="1" showErrorMessage="1" sqref="J77" xr:uid="{00000000-0002-0000-0B00-00000A000000}">
      <formula1>INDIRECT($F$21&amp;(SUBSTITUTE(F23," ",""))&amp;$E$77)</formula1>
    </dataValidation>
    <dataValidation type="list" allowBlank="1" showInputMessage="1" showErrorMessage="1" sqref="J75" xr:uid="{00000000-0002-0000-0B00-00000B000000}">
      <formula1>INDIRECT($F$21&amp;(SUBSTITUTE(F23," ",""))&amp;$E$75)</formula1>
    </dataValidation>
    <dataValidation type="list" allowBlank="1" showInputMessage="1" showErrorMessage="1" sqref="J76" xr:uid="{00000000-0002-0000-0B00-00000C000000}">
      <formula1>INDIRECT($F$21&amp;(SUBSTITUTE(F23," ",""))&amp;$E$76)</formula1>
    </dataValidation>
    <dataValidation type="list" allowBlank="1" showInputMessage="1" showErrorMessage="1" sqref="J66" xr:uid="{00000000-0002-0000-0B00-00000D000000}">
      <formula1>INDIRECT($F$21&amp;(SUBSTITUTE(F23," ",""))&amp;$E$66)</formula1>
    </dataValidation>
    <dataValidation type="list" allowBlank="1" showInputMessage="1" showErrorMessage="1" sqref="J44" xr:uid="{00000000-0002-0000-0B00-00000E000000}">
      <formula1>INDIRECT($F$21&amp;(SUBSTITUTE(F23," ",""))&amp;$E$44)</formula1>
    </dataValidation>
    <dataValidation type="list" allowBlank="1" showInputMessage="1" showErrorMessage="1" sqref="J38" xr:uid="{00000000-0002-0000-0B00-00000F000000}">
      <formula1>INDIRECT($F$21&amp;(SUBSTITUTE(F23," ",""))&amp;$E$38)</formula1>
    </dataValidation>
    <dataValidation type="list" allowBlank="1" showInputMessage="1" showErrorMessage="1" sqref="F21:G21" xr:uid="{00000000-0002-0000-0B00-000010000000}">
      <formula1>Region</formula1>
    </dataValidation>
    <dataValidation type="list" allowBlank="1" showInputMessage="1" showErrorMessage="1" sqref="F23:G23" xr:uid="{00000000-0002-0000-0B00-000011000000}">
      <formula1>Type</formula1>
    </dataValidation>
    <dataValidation type="list" allowBlank="1" showInputMessage="1" showErrorMessage="1" sqref="J27 J30 J37 J39 J42:J43 J52:J54 J57 J59 J64 J74 J79 J81:J82 J87 J96:J97 J108:J109 J111 J113 J115:J123 J125:J128 J134 J136:J137 J139" xr:uid="{00000000-0002-0000-0B00-000012000000}">
      <formula1>"x,n/a"</formula1>
    </dataValidation>
    <dataValidation type="list" allowBlank="1" showInputMessage="1" showErrorMessage="1" sqref="J138" xr:uid="{00000000-0002-0000-0B00-000013000000}">
      <formula1>"0,3,5,8"</formula1>
    </dataValidation>
    <dataValidation type="list" allowBlank="1" showInputMessage="1" showErrorMessage="1" sqref="J110" xr:uid="{00000000-0002-0000-0B00-000014000000}">
      <formula1>"0,6"</formula1>
    </dataValidation>
    <dataValidation type="list" allowBlank="1" showInputMessage="1" showErrorMessage="1" sqref="J99" xr:uid="{00000000-0002-0000-0B00-000015000000}">
      <formula1>"0,0.5,1,1.5,2,2.5,3,3.5,4,4.5,5,5.5,6,6.5,7,7.5,8,8.5,9,9.5,10"</formula1>
    </dataValidation>
    <dataValidation type="list" allowBlank="1" showInputMessage="1" showErrorMessage="1" sqref="J85" xr:uid="{00000000-0002-0000-0B00-000016000000}">
      <formula1>"0,1"</formula1>
    </dataValidation>
    <dataValidation type="list" allowBlank="1" showInputMessage="1" showErrorMessage="1" sqref="J78" xr:uid="{00000000-0002-0000-0B00-000017000000}">
      <formula1>"0,1,2,3,4"</formula1>
    </dataValidation>
    <dataValidation type="list" allowBlank="1" showInputMessage="1" showErrorMessage="1" sqref="J68 J135" xr:uid="{00000000-0002-0000-0B00-000018000000}">
      <formula1>"0,7"</formula1>
    </dataValidation>
    <dataValidation type="list" allowBlank="1" showInputMessage="1" showErrorMessage="1" sqref="J67" xr:uid="{00000000-0002-0000-0B00-000019000000}">
      <formula1>"0,1,2,4,6,8,10,12"</formula1>
    </dataValidation>
    <dataValidation type="list" allowBlank="1" showInputMessage="1" showErrorMessage="1" sqref="J65" xr:uid="{00000000-0002-0000-0B00-00001A000000}">
      <formula1>"0,1,2,3,4,5,6"</formula1>
    </dataValidation>
    <dataValidation type="list" allowBlank="1" showInputMessage="1" showErrorMessage="1" sqref="J58" xr:uid="{00000000-0002-0000-0B00-00001B000000}">
      <formula1>"0,2,4,6"</formula1>
    </dataValidation>
    <dataValidation type="list" allowBlank="1" showInputMessage="1" showErrorMessage="1" sqref="J56 J98" xr:uid="{00000000-0002-0000-0B00-00001C000000}">
      <formula1>"0,1,2,3,4,5"</formula1>
    </dataValidation>
    <dataValidation type="list" allowBlank="1" showInputMessage="1" showErrorMessage="1" sqref="J47 J80" xr:uid="{00000000-0002-0000-0B00-00001D000000}">
      <formula1>"0,3"</formula1>
    </dataValidation>
    <dataValidation type="list" allowBlank="1" showInputMessage="1" showErrorMessage="1" sqref="J45 J100:J101" xr:uid="{00000000-0002-0000-0B00-00001E000000}">
      <formula1>"0,2"</formula1>
    </dataValidation>
    <dataValidation type="list" allowBlank="1" showInputMessage="1" showErrorMessage="1" sqref="J41" xr:uid="{00000000-0002-0000-0B00-00001F000000}">
      <formula1>"X,n/a,5"</formula1>
    </dataValidation>
    <dataValidation type="list" allowBlank="1" showInputMessage="1" showErrorMessage="1" sqref="J40 J46 J55" xr:uid="{00000000-0002-0000-0B00-000020000000}">
      <formula1>"0,5"</formula1>
    </dataValidation>
    <dataValidation type="list" allowBlank="1" showInputMessage="1" showErrorMessage="1" sqref="J32" xr:uid="{00000000-0002-0000-0B00-000021000000}">
      <formula1>"0,3,6"</formula1>
    </dataValidation>
    <dataValidation type="list" allowBlank="1" showInputMessage="1" showErrorMessage="1" sqref="J31" xr:uid="{00000000-0002-0000-0B00-000022000000}">
      <formula1>"0,2,4,6,8,10,12"</formula1>
    </dataValidation>
    <dataValidation type="list" allowBlank="1" showInputMessage="1" showErrorMessage="1" sqref="J29 J102" xr:uid="{00000000-0002-0000-0B00-000023000000}">
      <formula1>"0,1,2,3"</formula1>
    </dataValidation>
    <dataValidation type="list" allowBlank="1" showInputMessage="1" showErrorMessage="1" sqref="J28" xr:uid="{00000000-0002-0000-0B00-000024000000}">
      <formula1>"0,2,4,6,8,10"</formula1>
    </dataValidation>
  </dataValidations>
  <printOptions horizontalCentered="1"/>
  <pageMargins left="1" right="1" top="0.75" bottom="0.75" header="0.3" footer="0.3"/>
  <pageSetup scale="66" fitToHeight="0" orientation="portrait" r:id="rId1"/>
  <headerFooter>
    <oddFooter>&amp;L
Form 2C
Evergreen Standard Checklist (ESDS v3.0)&amp;CCFA Forms&amp;R
Edition 2017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4:H52"/>
  <sheetViews>
    <sheetView showGridLines="0" topLeftCell="A15" zoomScaleNormal="100" workbookViewId="0">
      <selection activeCell="L42" sqref="L42"/>
    </sheetView>
  </sheetViews>
  <sheetFormatPr defaultColWidth="9.109375" defaultRowHeight="14.4" x14ac:dyDescent="0.3"/>
  <cols>
    <col min="1" max="2" width="1.6640625" style="399" customWidth="1"/>
    <col min="3" max="3" width="42.5546875" style="399" customWidth="1"/>
    <col min="4" max="4" width="11" style="399" customWidth="1"/>
    <col min="5" max="5" width="19.44140625" style="399" bestFit="1" customWidth="1"/>
    <col min="6" max="6" width="10.109375" style="399" customWidth="1"/>
    <col min="7" max="7" width="11" style="399" customWidth="1"/>
    <col min="8" max="8" width="1.6640625" style="399" customWidth="1"/>
    <col min="9" max="16384" width="9.109375" style="399"/>
  </cols>
  <sheetData>
    <row r="14" spans="2:8" ht="9" customHeight="1" thickBot="1" x14ac:dyDescent="0.35"/>
    <row r="15" spans="2:8" ht="9" customHeight="1" x14ac:dyDescent="0.3">
      <c r="B15" s="425"/>
      <c r="C15" s="426"/>
      <c r="D15" s="426"/>
      <c r="E15" s="426"/>
      <c r="F15" s="426"/>
      <c r="G15" s="426"/>
      <c r="H15" s="427"/>
    </row>
    <row r="16" spans="2:8" ht="18" x14ac:dyDescent="0.35">
      <c r="B16" s="428"/>
      <c r="C16" s="2515" t="s">
        <v>65</v>
      </c>
      <c r="D16" s="2515"/>
      <c r="E16" s="2515"/>
      <c r="F16" s="2515"/>
      <c r="G16" s="2515"/>
      <c r="H16" s="429"/>
    </row>
    <row r="17" spans="2:8" x14ac:dyDescent="0.3">
      <c r="B17" s="428"/>
      <c r="C17" s="430"/>
      <c r="D17" s="410"/>
      <c r="E17" s="410"/>
      <c r="F17" s="410"/>
      <c r="G17" s="410"/>
      <c r="H17" s="429"/>
    </row>
    <row r="18" spans="2:8" ht="15" thickBot="1" x14ac:dyDescent="0.35">
      <c r="B18" s="428"/>
      <c r="C18" s="2639" t="str">
        <f>IF('1'!G5="","Enter Project Name on Form 1",(CONCATENATE("Project Name: ",'1'!G5)))</f>
        <v>Project Name: 6600 Roosevelt Way NE</v>
      </c>
      <c r="D18" s="2639"/>
      <c r="E18" s="2639"/>
      <c r="F18" s="2639"/>
      <c r="G18" s="411"/>
      <c r="H18" s="429"/>
    </row>
    <row r="19" spans="2:8" ht="15" thickBot="1" x14ac:dyDescent="0.35">
      <c r="B19" s="428"/>
      <c r="C19" s="430"/>
      <c r="D19" s="410"/>
      <c r="E19" s="410"/>
      <c r="F19" s="410"/>
      <c r="G19" s="410"/>
      <c r="H19" s="429"/>
    </row>
    <row r="20" spans="2:8" ht="28.8" x14ac:dyDescent="0.3">
      <c r="B20" s="428"/>
      <c r="C20" s="2294" t="s">
        <v>66</v>
      </c>
      <c r="D20" s="2295" t="s">
        <v>67</v>
      </c>
      <c r="E20" s="2296" t="s">
        <v>68</v>
      </c>
      <c r="F20" s="2295" t="s">
        <v>69</v>
      </c>
      <c r="G20" s="2297" t="s">
        <v>585</v>
      </c>
      <c r="H20" s="429"/>
    </row>
    <row r="21" spans="2:8" x14ac:dyDescent="0.3">
      <c r="B21" s="428"/>
      <c r="C21" s="2640" t="str">
        <f>IF('1'!G29="","Enter Site Name/ID Number on Form 1",(CONCATENATE("Site Name/ID: ",'1'!G29)))</f>
        <v>Site Name/ID: Site A - 4% Building</v>
      </c>
      <c r="D21" s="2641"/>
      <c r="E21" s="2641"/>
      <c r="F21" s="2641"/>
      <c r="G21" s="2642"/>
      <c r="H21" s="429"/>
    </row>
    <row r="22" spans="2:8" x14ac:dyDescent="0.3">
      <c r="B22" s="428"/>
      <c r="C22" s="2285" t="s">
        <v>511</v>
      </c>
      <c r="D22" s="2286" t="s">
        <v>550</v>
      </c>
      <c r="E22" s="2287" t="s">
        <v>555</v>
      </c>
      <c r="F22" s="2286" t="s">
        <v>557</v>
      </c>
      <c r="G22" s="2288">
        <v>166</v>
      </c>
      <c r="H22" s="429"/>
    </row>
    <row r="23" spans="2:8" x14ac:dyDescent="0.3">
      <c r="B23" s="428"/>
      <c r="C23" s="2289"/>
      <c r="D23" s="2290"/>
      <c r="E23" s="2291"/>
      <c r="F23" s="2290"/>
      <c r="G23" s="2292"/>
      <c r="H23" s="429"/>
    </row>
    <row r="24" spans="2:8" x14ac:dyDescent="0.3">
      <c r="B24" s="428"/>
      <c r="C24" s="2289"/>
      <c r="D24" s="2290"/>
      <c r="E24" s="2291"/>
      <c r="F24" s="2290"/>
      <c r="G24" s="2292"/>
      <c r="H24" s="429"/>
    </row>
    <row r="25" spans="2:8" x14ac:dyDescent="0.3">
      <c r="B25" s="428"/>
      <c r="C25" s="2289"/>
      <c r="D25" s="2290"/>
      <c r="E25" s="2291"/>
      <c r="F25" s="2290"/>
      <c r="G25" s="2292"/>
      <c r="H25" s="429"/>
    </row>
    <row r="26" spans="2:8" x14ac:dyDescent="0.3">
      <c r="B26" s="428"/>
      <c r="C26" s="2289"/>
      <c r="D26" s="2290"/>
      <c r="E26" s="2291"/>
      <c r="F26" s="2290"/>
      <c r="G26" s="2292"/>
      <c r="H26" s="429"/>
    </row>
    <row r="27" spans="2:8" x14ac:dyDescent="0.3">
      <c r="B27" s="428"/>
      <c r="C27" s="2074"/>
      <c r="D27" s="2293"/>
      <c r="E27" s="2069"/>
      <c r="F27" s="2293"/>
      <c r="G27" s="2075"/>
      <c r="H27" s="429"/>
    </row>
    <row r="28" spans="2:8" x14ac:dyDescent="0.3">
      <c r="B28" s="428"/>
      <c r="C28" s="2077"/>
      <c r="D28" s="2078"/>
      <c r="E28" s="2079"/>
      <c r="F28" s="2080"/>
      <c r="G28" s="2081">
        <f>SUM(G22:G27)</f>
        <v>166</v>
      </c>
      <c r="H28" s="429"/>
    </row>
    <row r="29" spans="2:8" x14ac:dyDescent="0.3">
      <c r="B29" s="428"/>
      <c r="C29" s="2643" t="str">
        <f>IF('1'!G55="","Enter Site Name/ID Number on Form 1",(CONCATENATE("Site Name/ID: ",'1'!G55)))</f>
        <v>Site Name/ID: Site B - 9% Building</v>
      </c>
      <c r="D29" s="2644"/>
      <c r="E29" s="2644"/>
      <c r="F29" s="2644"/>
      <c r="G29" s="2645"/>
      <c r="H29" s="429"/>
    </row>
    <row r="30" spans="2:8" x14ac:dyDescent="0.3">
      <c r="B30" s="428"/>
      <c r="C30" s="2070" t="s">
        <v>533</v>
      </c>
      <c r="D30" s="807" t="s">
        <v>533</v>
      </c>
      <c r="E30" s="808" t="s">
        <v>533</v>
      </c>
      <c r="F30" s="807" t="s">
        <v>533</v>
      </c>
      <c r="G30" s="2071"/>
      <c r="H30" s="429"/>
    </row>
    <row r="31" spans="2:8" x14ac:dyDescent="0.3">
      <c r="B31" s="428"/>
      <c r="C31" s="2072" t="s">
        <v>511</v>
      </c>
      <c r="D31" s="985" t="s">
        <v>549</v>
      </c>
      <c r="E31" s="986" t="s">
        <v>555</v>
      </c>
      <c r="F31" s="985" t="s">
        <v>557</v>
      </c>
      <c r="G31" s="2073">
        <v>16</v>
      </c>
      <c r="H31" s="429"/>
    </row>
    <row r="32" spans="2:8" x14ac:dyDescent="0.3">
      <c r="B32" s="428"/>
      <c r="C32" s="2072" t="s">
        <v>545</v>
      </c>
      <c r="D32" s="985" t="s">
        <v>550</v>
      </c>
      <c r="E32" s="986" t="s">
        <v>555</v>
      </c>
      <c r="F32" s="985" t="s">
        <v>557</v>
      </c>
      <c r="G32" s="2073">
        <v>16</v>
      </c>
      <c r="H32" s="429"/>
    </row>
    <row r="33" spans="2:8" x14ac:dyDescent="0.3">
      <c r="B33" s="428"/>
      <c r="C33" s="2072" t="s">
        <v>511</v>
      </c>
      <c r="D33" s="985" t="s">
        <v>550</v>
      </c>
      <c r="E33" s="986" t="s">
        <v>555</v>
      </c>
      <c r="F33" s="985" t="s">
        <v>557</v>
      </c>
      <c r="G33" s="2073">
        <v>47</v>
      </c>
      <c r="H33" s="429"/>
    </row>
    <row r="34" spans="2:8" x14ac:dyDescent="0.3">
      <c r="B34" s="428"/>
      <c r="C34" s="2072"/>
      <c r="D34" s="985"/>
      <c r="E34" s="986"/>
      <c r="F34" s="985"/>
      <c r="G34" s="2073"/>
      <c r="H34" s="429"/>
    </row>
    <row r="35" spans="2:8" x14ac:dyDescent="0.3">
      <c r="B35" s="428"/>
      <c r="C35" s="2074"/>
      <c r="D35" s="2068"/>
      <c r="E35" s="2069"/>
      <c r="F35" s="2068"/>
      <c r="G35" s="2075"/>
      <c r="H35" s="429"/>
    </row>
    <row r="36" spans="2:8" ht="15" thickBot="1" x14ac:dyDescent="0.35">
      <c r="B36" s="428"/>
      <c r="C36" s="1446"/>
      <c r="D36" s="1447"/>
      <c r="E36" s="1448"/>
      <c r="F36" s="2026"/>
      <c r="G36" s="2076">
        <f>SUM(G30:G35)</f>
        <v>79</v>
      </c>
      <c r="H36" s="429"/>
    </row>
    <row r="37" spans="2:8" ht="15.6" thickTop="1" thickBot="1" x14ac:dyDescent="0.35">
      <c r="B37" s="428"/>
      <c r="C37" s="2082"/>
      <c r="D37" s="2083"/>
      <c r="E37" s="2083"/>
      <c r="F37" s="2084" t="s">
        <v>37</v>
      </c>
      <c r="G37" s="2298">
        <f>G28+G36</f>
        <v>245</v>
      </c>
      <c r="H37" s="429"/>
    </row>
    <row r="38" spans="2:8" x14ac:dyDescent="0.3">
      <c r="B38" s="428"/>
      <c r="C38" s="431" t="s">
        <v>70</v>
      </c>
      <c r="D38" s="410"/>
      <c r="E38" s="410"/>
      <c r="F38" s="410"/>
      <c r="G38" s="410"/>
      <c r="H38" s="429"/>
    </row>
    <row r="39" spans="2:8" x14ac:dyDescent="0.3">
      <c r="B39" s="428"/>
      <c r="C39" s="2630" t="s">
        <v>2139</v>
      </c>
      <c r="D39" s="2631"/>
      <c r="E39" s="2631"/>
      <c r="F39" s="2631"/>
      <c r="G39" s="2632"/>
      <c r="H39" s="429"/>
    </row>
    <row r="40" spans="2:8" x14ac:dyDescent="0.3">
      <c r="B40" s="428"/>
      <c r="C40" s="2633"/>
      <c r="D40" s="2634"/>
      <c r="E40" s="2634"/>
      <c r="F40" s="2634"/>
      <c r="G40" s="2635"/>
      <c r="H40" s="429"/>
    </row>
    <row r="41" spans="2:8" x14ac:dyDescent="0.3">
      <c r="B41" s="428"/>
      <c r="C41" s="2633"/>
      <c r="D41" s="2634"/>
      <c r="E41" s="2634"/>
      <c r="F41" s="2634"/>
      <c r="G41" s="2635"/>
      <c r="H41" s="429"/>
    </row>
    <row r="42" spans="2:8" x14ac:dyDescent="0.3">
      <c r="B42" s="428"/>
      <c r="C42" s="2633"/>
      <c r="D42" s="2634"/>
      <c r="E42" s="2634"/>
      <c r="F42" s="2634"/>
      <c r="G42" s="2635"/>
      <c r="H42" s="429"/>
    </row>
    <row r="43" spans="2:8" x14ac:dyDescent="0.3">
      <c r="B43" s="428"/>
      <c r="C43" s="2633"/>
      <c r="D43" s="2634"/>
      <c r="E43" s="2634"/>
      <c r="F43" s="2634"/>
      <c r="G43" s="2635"/>
      <c r="H43" s="429"/>
    </row>
    <row r="44" spans="2:8" x14ac:dyDescent="0.3">
      <c r="B44" s="428"/>
      <c r="C44" s="2633"/>
      <c r="D44" s="2634"/>
      <c r="E44" s="2634"/>
      <c r="F44" s="2634"/>
      <c r="G44" s="2635"/>
      <c r="H44" s="429"/>
    </row>
    <row r="45" spans="2:8" x14ac:dyDescent="0.3">
      <c r="B45" s="428"/>
      <c r="C45" s="2633"/>
      <c r="D45" s="2634"/>
      <c r="E45" s="2634"/>
      <c r="F45" s="2634"/>
      <c r="G45" s="2635"/>
      <c r="H45" s="429"/>
    </row>
    <row r="46" spans="2:8" x14ac:dyDescent="0.3">
      <c r="B46" s="428"/>
      <c r="C46" s="2633"/>
      <c r="D46" s="2634"/>
      <c r="E46" s="2634"/>
      <c r="F46" s="2634"/>
      <c r="G46" s="2635"/>
      <c r="H46" s="429"/>
    </row>
    <row r="47" spans="2:8" x14ac:dyDescent="0.3">
      <c r="B47" s="428"/>
      <c r="C47" s="2633"/>
      <c r="D47" s="2634"/>
      <c r="E47" s="2634"/>
      <c r="F47" s="2634"/>
      <c r="G47" s="2635"/>
      <c r="H47" s="429"/>
    </row>
    <row r="48" spans="2:8" x14ac:dyDescent="0.3">
      <c r="B48" s="428"/>
      <c r="C48" s="2633"/>
      <c r="D48" s="2634"/>
      <c r="E48" s="2634"/>
      <c r="F48" s="2634"/>
      <c r="G48" s="2635"/>
      <c r="H48" s="429"/>
    </row>
    <row r="49" spans="2:8" x14ac:dyDescent="0.3">
      <c r="B49" s="428"/>
      <c r="C49" s="2633"/>
      <c r="D49" s="2634"/>
      <c r="E49" s="2634"/>
      <c r="F49" s="2634"/>
      <c r="G49" s="2635"/>
      <c r="H49" s="429"/>
    </row>
    <row r="50" spans="2:8" x14ac:dyDescent="0.3">
      <c r="B50" s="428"/>
      <c r="C50" s="2633"/>
      <c r="D50" s="2634"/>
      <c r="E50" s="2634"/>
      <c r="F50" s="2634"/>
      <c r="G50" s="2635"/>
      <c r="H50" s="429"/>
    </row>
    <row r="51" spans="2:8" ht="9" customHeight="1" x14ac:dyDescent="0.3">
      <c r="B51" s="428"/>
      <c r="C51" s="2636"/>
      <c r="D51" s="2637"/>
      <c r="E51" s="2637"/>
      <c r="F51" s="2637"/>
      <c r="G51" s="2638"/>
      <c r="H51" s="429"/>
    </row>
    <row r="52" spans="2:8" ht="15" thickBot="1" x14ac:dyDescent="0.35">
      <c r="B52" s="432"/>
      <c r="C52" s="433"/>
      <c r="D52" s="433"/>
      <c r="E52" s="433"/>
      <c r="F52" s="433"/>
      <c r="G52" s="433"/>
      <c r="H52" s="434"/>
    </row>
  </sheetData>
  <sheetProtection algorithmName="SHA-512" hashValue="HqHCpqM3KdCAfXEmojn1TXHADiskQu8/cDAcc+2x0hzZepgoOepSVlqqJoQHdAlgzAoB3mNc8N0sm5P7ft74dw==" saltValue="KSi5Ad9oFoI6ER/9aX+r4Q==" spinCount="100000" sheet="1" formatCells="0" formatColumns="0" formatRows="0"/>
  <mergeCells count="5">
    <mergeCell ref="C16:G16"/>
    <mergeCell ref="C39:G51"/>
    <mergeCell ref="C18:F18"/>
    <mergeCell ref="C21:G21"/>
    <mergeCell ref="C29:G29"/>
  </mergeCells>
  <dataValidations count="5">
    <dataValidation type="list" allowBlank="1" showInputMessage="1" showErrorMessage="1" sqref="E22:E28 E30:E36" xr:uid="{00000000-0002-0000-0C00-000000000000}">
      <formula1>Res_Type</formula1>
    </dataValidation>
    <dataValidation type="list" allowBlank="1" showInputMessage="1" showErrorMessage="1" sqref="C22:C28 C30:C36" xr:uid="{00000000-0002-0000-0C00-000001000000}">
      <formula1>Population_Types</formula1>
    </dataValidation>
    <dataValidation type="list" allowBlank="1" showInputMessage="1" showErrorMessage="1" sqref="F22:F28 F30:F36" xr:uid="{00000000-0002-0000-0C00-000002000000}">
      <formula1>Units_or_Beds</formula1>
    </dataValidation>
    <dataValidation type="list" allowBlank="1" showInputMessage="1" showErrorMessage="1" sqref="D28 D36" xr:uid="{00000000-0002-0000-0C00-000003000000}">
      <formula1>Yes_or_No</formula1>
    </dataValidation>
    <dataValidation type="list" allowBlank="1" showInputMessage="1" showErrorMessage="1" sqref="D30:D35 D22:D27" xr:uid="{00000000-0002-0000-0C00-000004000000}">
      <formula1>Yes_No_Either</formula1>
    </dataValidation>
  </dataValidations>
  <pageMargins left="0.95" right="0.7" top="0.75" bottom="0.75" header="0.3" footer="0.3"/>
  <pageSetup scale="89" orientation="portrait" r:id="rId1"/>
  <headerFooter>
    <oddFooter>&amp;LForm 3
Populations to be Served&amp;CCFA Forms&amp;REdition: 2017
Version: 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34"/>
  <sheetViews>
    <sheetView showGridLines="0" topLeftCell="A3" zoomScaleNormal="100" workbookViewId="0">
      <selection activeCell="D18" sqref="D18"/>
    </sheetView>
  </sheetViews>
  <sheetFormatPr defaultColWidth="9.109375" defaultRowHeight="14.4" x14ac:dyDescent="0.3"/>
  <cols>
    <col min="1" max="1" width="1.6640625" style="399" customWidth="1"/>
    <col min="2" max="2" width="1.6640625" style="417" customWidth="1"/>
    <col min="3" max="3" width="32" style="399" customWidth="1"/>
    <col min="4" max="4" width="20" style="399" customWidth="1"/>
    <col min="5" max="5" width="11.44140625" style="399" customWidth="1"/>
    <col min="6" max="7" width="21.44140625" style="399" customWidth="1"/>
    <col min="8" max="8" width="1.6640625" style="417" customWidth="1"/>
    <col min="9" max="16384" width="9.109375" style="399"/>
  </cols>
  <sheetData>
    <row r="1" spans="2:8" ht="9" customHeight="1" thickBot="1" x14ac:dyDescent="0.35"/>
    <row r="2" spans="2:8" ht="9" customHeight="1" x14ac:dyDescent="0.3">
      <c r="B2" s="435"/>
      <c r="C2" s="436"/>
      <c r="D2" s="436"/>
      <c r="E2" s="436"/>
      <c r="F2" s="436"/>
      <c r="G2" s="1480"/>
      <c r="H2" s="437"/>
    </row>
    <row r="3" spans="2:8" ht="18" x14ac:dyDescent="0.35">
      <c r="B3" s="438"/>
      <c r="C3" s="2647" t="s">
        <v>71</v>
      </c>
      <c r="D3" s="2647"/>
      <c r="E3" s="2647"/>
      <c r="F3" s="2647"/>
      <c r="G3" s="2647"/>
      <c r="H3" s="439"/>
    </row>
    <row r="4" spans="2:8" x14ac:dyDescent="0.3">
      <c r="B4" s="438"/>
      <c r="C4" s="411"/>
      <c r="D4" s="411"/>
      <c r="E4" s="411"/>
      <c r="F4" s="411"/>
      <c r="G4" s="1875"/>
      <c r="H4" s="439"/>
    </row>
    <row r="5" spans="2:8" ht="15" thickBot="1" x14ac:dyDescent="0.35">
      <c r="B5" s="438"/>
      <c r="C5" s="2646" t="str">
        <f>IF('1'!G5="","Enter Project Name on Form 1",(CONCATENATE("Project Name: ",'1'!G5)))</f>
        <v>Project Name: 6600 Roosevelt Way NE</v>
      </c>
      <c r="D5" s="2646"/>
      <c r="E5" s="2646"/>
      <c r="F5" s="2646"/>
      <c r="G5" s="1875"/>
      <c r="H5" s="439"/>
    </row>
    <row r="6" spans="2:8" ht="15" thickBot="1" x14ac:dyDescent="0.35">
      <c r="B6" s="438"/>
      <c r="C6" s="411"/>
      <c r="D6" s="411"/>
      <c r="E6" s="411"/>
      <c r="F6" s="411"/>
      <c r="G6" s="1875"/>
      <c r="H6" s="439"/>
    </row>
    <row r="7" spans="2:8" ht="27" thickBot="1" x14ac:dyDescent="0.35">
      <c r="B7" s="438"/>
      <c r="C7" s="440" t="s">
        <v>72</v>
      </c>
      <c r="D7" s="1655" t="s">
        <v>73</v>
      </c>
      <c r="E7" s="1656" t="s">
        <v>74</v>
      </c>
      <c r="F7" s="1656" t="s">
        <v>75</v>
      </c>
      <c r="G7" s="1657" t="s">
        <v>505</v>
      </c>
      <c r="H7" s="439"/>
    </row>
    <row r="8" spans="2:8" ht="27.6" x14ac:dyDescent="0.3">
      <c r="B8" s="438"/>
      <c r="C8" s="1650" t="s">
        <v>76</v>
      </c>
      <c r="D8" s="1659"/>
      <c r="E8" s="1658"/>
      <c r="F8" s="1658"/>
      <c r="G8" s="1660"/>
      <c r="H8" s="439"/>
    </row>
    <row r="9" spans="2:8" x14ac:dyDescent="0.3">
      <c r="B9" s="438"/>
      <c r="C9" s="1653" t="s">
        <v>533</v>
      </c>
      <c r="D9" s="809"/>
      <c r="E9" s="810"/>
      <c r="F9" s="811">
        <f>D9*E9</f>
        <v>0</v>
      </c>
      <c r="G9" s="1661"/>
      <c r="H9" s="439"/>
    </row>
    <row r="10" spans="2:8" x14ac:dyDescent="0.3">
      <c r="B10" s="438"/>
      <c r="C10" s="1654"/>
      <c r="D10" s="813"/>
      <c r="E10" s="814"/>
      <c r="F10" s="815">
        <f t="shared" ref="F10:F24" si="0">D10*E10</f>
        <v>0</v>
      </c>
      <c r="G10" s="1661"/>
      <c r="H10" s="439"/>
    </row>
    <row r="11" spans="2:8" x14ac:dyDescent="0.3">
      <c r="B11" s="438"/>
      <c r="C11" s="1654"/>
      <c r="D11" s="813"/>
      <c r="E11" s="814"/>
      <c r="F11" s="815">
        <f t="shared" si="0"/>
        <v>0</v>
      </c>
      <c r="G11" s="1661"/>
      <c r="H11" s="439"/>
    </row>
    <row r="12" spans="2:8" x14ac:dyDescent="0.3">
      <c r="B12" s="438"/>
      <c r="C12" s="1654"/>
      <c r="D12" s="813"/>
      <c r="E12" s="814"/>
      <c r="F12" s="815">
        <f t="shared" si="0"/>
        <v>0</v>
      </c>
      <c r="G12" s="1661"/>
      <c r="H12" s="439"/>
    </row>
    <row r="13" spans="2:8" x14ac:dyDescent="0.3">
      <c r="B13" s="438"/>
      <c r="C13" s="1654"/>
      <c r="D13" s="813"/>
      <c r="E13" s="814"/>
      <c r="F13" s="815">
        <f t="shared" si="0"/>
        <v>0</v>
      </c>
      <c r="G13" s="1661"/>
      <c r="H13" s="439"/>
    </row>
    <row r="14" spans="2:8" x14ac:dyDescent="0.3">
      <c r="B14" s="438"/>
      <c r="C14" s="1654"/>
      <c r="D14" s="813"/>
      <c r="E14" s="814"/>
      <c r="F14" s="815">
        <f t="shared" si="0"/>
        <v>0</v>
      </c>
      <c r="G14" s="1661"/>
      <c r="H14" s="439"/>
    </row>
    <row r="15" spans="2:8" x14ac:dyDescent="0.3">
      <c r="B15" s="438"/>
      <c r="C15" s="1654"/>
      <c r="D15" s="813"/>
      <c r="E15" s="814"/>
      <c r="F15" s="815">
        <f t="shared" si="0"/>
        <v>0</v>
      </c>
      <c r="G15" s="1661"/>
      <c r="H15" s="439"/>
    </row>
    <row r="16" spans="2:8" x14ac:dyDescent="0.3">
      <c r="B16" s="438"/>
      <c r="C16" s="1654"/>
      <c r="D16" s="813"/>
      <c r="E16" s="814"/>
      <c r="F16" s="815">
        <f t="shared" si="0"/>
        <v>0</v>
      </c>
      <c r="G16" s="1661"/>
      <c r="H16" s="439"/>
    </row>
    <row r="17" spans="2:8" x14ac:dyDescent="0.3">
      <c r="B17" s="438"/>
      <c r="C17" s="1654"/>
      <c r="D17" s="813"/>
      <c r="E17" s="814"/>
      <c r="F17" s="815">
        <f t="shared" si="0"/>
        <v>0</v>
      </c>
      <c r="G17" s="1661"/>
      <c r="H17" s="439"/>
    </row>
    <row r="18" spans="2:8" x14ac:dyDescent="0.3">
      <c r="B18" s="438"/>
      <c r="C18" s="1654"/>
      <c r="D18" s="813"/>
      <c r="E18" s="814"/>
      <c r="F18" s="815">
        <f t="shared" si="0"/>
        <v>0</v>
      </c>
      <c r="G18" s="1661"/>
      <c r="H18" s="439"/>
    </row>
    <row r="19" spans="2:8" ht="3.75" customHeight="1" x14ac:dyDescent="0.3">
      <c r="B19" s="438"/>
      <c r="C19" s="1651"/>
      <c r="D19" s="1889"/>
      <c r="E19" s="1890"/>
      <c r="F19" s="1652">
        <f t="shared" si="0"/>
        <v>0</v>
      </c>
      <c r="G19" s="1652"/>
      <c r="H19" s="439"/>
    </row>
    <row r="20" spans="2:8" x14ac:dyDescent="0.3">
      <c r="B20" s="438"/>
      <c r="C20" s="812" t="s">
        <v>77</v>
      </c>
      <c r="D20" s="813"/>
      <c r="E20" s="814"/>
      <c r="F20" s="815">
        <f t="shared" si="0"/>
        <v>0</v>
      </c>
      <c r="G20" s="1661"/>
      <c r="H20" s="439"/>
    </row>
    <row r="21" spans="2:8" x14ac:dyDescent="0.3">
      <c r="B21" s="438"/>
      <c r="C21" s="812" t="s">
        <v>78</v>
      </c>
      <c r="D21" s="813"/>
      <c r="E21" s="814"/>
      <c r="F21" s="815">
        <f t="shared" si="0"/>
        <v>0</v>
      </c>
      <c r="G21" s="1661"/>
      <c r="H21" s="439"/>
    </row>
    <row r="22" spans="2:8" x14ac:dyDescent="0.3">
      <c r="B22" s="438"/>
      <c r="C22" s="812" t="s">
        <v>79</v>
      </c>
      <c r="D22" s="813"/>
      <c r="E22" s="814"/>
      <c r="F22" s="815">
        <f t="shared" si="0"/>
        <v>0</v>
      </c>
      <c r="G22" s="1661"/>
      <c r="H22" s="439"/>
    </row>
    <row r="23" spans="2:8" x14ac:dyDescent="0.3">
      <c r="B23" s="438"/>
      <c r="C23" s="812" t="s">
        <v>80</v>
      </c>
      <c r="D23" s="813"/>
      <c r="E23" s="814"/>
      <c r="F23" s="815">
        <f t="shared" si="0"/>
        <v>0</v>
      </c>
      <c r="G23" s="1661"/>
      <c r="H23" s="439"/>
    </row>
    <row r="24" spans="2:8" ht="15" thickBot="1" x14ac:dyDescent="0.35">
      <c r="B24" s="438"/>
      <c r="C24" s="818" t="s">
        <v>81</v>
      </c>
      <c r="D24" s="819"/>
      <c r="E24" s="816"/>
      <c r="F24" s="817">
        <f t="shared" si="0"/>
        <v>0</v>
      </c>
      <c r="G24" s="1663"/>
      <c r="H24" s="439"/>
    </row>
    <row r="25" spans="2:8" ht="15.6" thickTop="1" thickBot="1" x14ac:dyDescent="0.35">
      <c r="B25" s="438"/>
      <c r="C25" s="441" t="s">
        <v>82</v>
      </c>
      <c r="D25" s="442"/>
      <c r="E25" s="340">
        <f>SUM(E9:E24)</f>
        <v>0</v>
      </c>
      <c r="F25" s="146">
        <f>SUM(F9:F24)</f>
        <v>0</v>
      </c>
      <c r="G25" s="1662"/>
      <c r="H25" s="439"/>
    </row>
    <row r="26" spans="2:8" s="417" customFormat="1" x14ac:dyDescent="0.3">
      <c r="B26" s="438"/>
      <c r="C26" s="443"/>
      <c r="D26" s="411"/>
      <c r="E26" s="411"/>
      <c r="F26" s="444" t="s">
        <v>31</v>
      </c>
      <c r="G26" s="1875"/>
      <c r="H26" s="439"/>
    </row>
    <row r="27" spans="2:8" s="417" customFormat="1" x14ac:dyDescent="0.3">
      <c r="B27" s="438"/>
      <c r="C27" s="411" t="s">
        <v>83</v>
      </c>
      <c r="D27" s="411"/>
      <c r="E27" s="411"/>
      <c r="F27" s="411"/>
      <c r="G27" s="1875"/>
      <c r="H27" s="439"/>
    </row>
    <row r="28" spans="2:8" x14ac:dyDescent="0.3">
      <c r="B28" s="438"/>
      <c r="C28" s="2648" t="s">
        <v>1894</v>
      </c>
      <c r="D28" s="2649"/>
      <c r="E28" s="2649"/>
      <c r="F28" s="2649"/>
      <c r="G28" s="2650"/>
      <c r="H28" s="439"/>
    </row>
    <row r="29" spans="2:8" x14ac:dyDescent="0.3">
      <c r="B29" s="438"/>
      <c r="C29" s="2651"/>
      <c r="D29" s="2652"/>
      <c r="E29" s="2652"/>
      <c r="F29" s="2652"/>
      <c r="G29" s="2653"/>
      <c r="H29" s="439"/>
    </row>
    <row r="30" spans="2:8" x14ac:dyDescent="0.3">
      <c r="B30" s="438"/>
      <c r="C30" s="2651"/>
      <c r="D30" s="2652"/>
      <c r="E30" s="2652"/>
      <c r="F30" s="2652"/>
      <c r="G30" s="2653"/>
      <c r="H30" s="439"/>
    </row>
    <row r="31" spans="2:8" x14ac:dyDescent="0.3">
      <c r="B31" s="438"/>
      <c r="C31" s="2651"/>
      <c r="D31" s="2652"/>
      <c r="E31" s="2652"/>
      <c r="F31" s="2652"/>
      <c r="G31" s="2653"/>
      <c r="H31" s="439"/>
    </row>
    <row r="32" spans="2:8" x14ac:dyDescent="0.3">
      <c r="B32" s="438"/>
      <c r="C32" s="2651"/>
      <c r="D32" s="2652"/>
      <c r="E32" s="2652"/>
      <c r="F32" s="2652"/>
      <c r="G32" s="2653"/>
      <c r="H32" s="439"/>
    </row>
    <row r="33" spans="2:8" x14ac:dyDescent="0.3">
      <c r="B33" s="438"/>
      <c r="C33" s="2654"/>
      <c r="D33" s="2655"/>
      <c r="E33" s="2655"/>
      <c r="F33" s="2655"/>
      <c r="G33" s="2656"/>
      <c r="H33" s="439"/>
    </row>
    <row r="34" spans="2:8" ht="9" customHeight="1" thickBot="1" x14ac:dyDescent="0.35">
      <c r="B34" s="445"/>
      <c r="C34" s="446"/>
      <c r="D34" s="446"/>
      <c r="E34" s="446"/>
      <c r="F34" s="446"/>
      <c r="G34" s="1891"/>
      <c r="H34" s="447"/>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disablePrompts="1" count="1">
    <dataValidation type="list" allowBlank="1" showInputMessage="1" showErrorMessage="1" sqref="C9:C19" xr:uid="{00000000-0002-0000-0D00-000000000000}">
      <formula1>Relo_Units</formula1>
    </dataValidation>
  </dataValidations>
  <pageMargins left="0.7" right="0.7" top="0.75" bottom="0.75" header="0.3" footer="0.3"/>
  <pageSetup orientation="landscape" r:id="rId1"/>
  <headerFooter>
    <oddFooter>&amp;LForm 4
Relocation Budget&amp;CCFA Forms&amp;REdition: 2017
Version: 1.0</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0:G77"/>
  <sheetViews>
    <sheetView showGridLines="0" zoomScaleNormal="100" workbookViewId="0">
      <selection activeCell="F53" sqref="F53"/>
    </sheetView>
  </sheetViews>
  <sheetFormatPr defaultColWidth="9.109375" defaultRowHeight="14.4" x14ac:dyDescent="0.3"/>
  <cols>
    <col min="1" max="2" width="1.6640625" style="399" customWidth="1"/>
    <col min="3" max="3" width="29.109375" style="399" bestFit="1" customWidth="1"/>
    <col min="4" max="4" width="35.109375" style="399" bestFit="1" customWidth="1"/>
    <col min="5" max="5" width="20.5546875" style="399" bestFit="1" customWidth="1"/>
    <col min="6" max="6" width="42.88671875" style="399" customWidth="1"/>
    <col min="7" max="7" width="1.6640625" style="399" customWidth="1"/>
    <col min="8" max="16384" width="9.109375" style="399"/>
  </cols>
  <sheetData>
    <row r="10" spans="2:7" ht="9" customHeight="1" thickBot="1" x14ac:dyDescent="0.35"/>
    <row r="11" spans="2:7" ht="9" customHeight="1" x14ac:dyDescent="0.3">
      <c r="B11" s="8"/>
      <c r="C11" s="9"/>
      <c r="D11" s="9"/>
      <c r="E11" s="9"/>
      <c r="F11" s="9"/>
      <c r="G11" s="10"/>
    </row>
    <row r="12" spans="2:7" ht="18" x14ac:dyDescent="0.35">
      <c r="B12" s="11"/>
      <c r="C12" s="2657" t="s">
        <v>84</v>
      </c>
      <c r="D12" s="2657"/>
      <c r="E12" s="2657"/>
      <c r="F12" s="2657"/>
      <c r="G12" s="12"/>
    </row>
    <row r="13" spans="2:7" ht="16.2" x14ac:dyDescent="0.3">
      <c r="B13" s="4"/>
      <c r="C13" s="2"/>
      <c r="D13" s="2"/>
      <c r="E13" s="1"/>
      <c r="F13" s="1"/>
      <c r="G13" s="3"/>
    </row>
    <row r="14" spans="2:7" ht="15" thickBot="1" x14ac:dyDescent="0.35">
      <c r="B14" s="4"/>
      <c r="C14" s="2646" t="str">
        <f>IF('1'!G5="","Enter Project Name on Form 1",(CONCATENATE("Project Name: ",'1'!G5)))</f>
        <v>Project Name: 6600 Roosevelt Way NE</v>
      </c>
      <c r="D14" s="2646"/>
      <c r="E14" s="2646"/>
      <c r="F14" s="1"/>
      <c r="G14" s="3"/>
    </row>
    <row r="15" spans="2:7" ht="15" thickBot="1" x14ac:dyDescent="0.35">
      <c r="B15" s="4"/>
      <c r="C15" s="448"/>
      <c r="D15" s="410"/>
      <c r="E15" s="410"/>
      <c r="F15" s="147"/>
      <c r="G15" s="3"/>
    </row>
    <row r="16" spans="2:7" ht="27" thickBot="1" x14ac:dyDescent="0.35">
      <c r="B16" s="4"/>
      <c r="C16" s="1023" t="s">
        <v>85</v>
      </c>
      <c r="D16" s="148" t="s">
        <v>86</v>
      </c>
      <c r="E16" s="149" t="s">
        <v>496</v>
      </c>
      <c r="F16" s="150" t="s">
        <v>639</v>
      </c>
      <c r="G16" s="3"/>
    </row>
    <row r="17" spans="2:7" x14ac:dyDescent="0.3">
      <c r="B17" s="4"/>
      <c r="C17" s="1024" t="s">
        <v>87</v>
      </c>
      <c r="D17" s="820" t="s">
        <v>88</v>
      </c>
      <c r="E17" s="1669">
        <v>43070</v>
      </c>
      <c r="F17" s="821" t="s">
        <v>1896</v>
      </c>
      <c r="G17" s="3"/>
    </row>
    <row r="18" spans="2:7" x14ac:dyDescent="0.3">
      <c r="B18" s="4"/>
      <c r="C18" s="1019" t="s">
        <v>89</v>
      </c>
      <c r="D18" s="984" t="s">
        <v>1895</v>
      </c>
      <c r="E18" s="825">
        <v>43205</v>
      </c>
      <c r="F18" s="823" t="s">
        <v>1897</v>
      </c>
      <c r="G18" s="3"/>
    </row>
    <row r="19" spans="2:7" ht="26.4" x14ac:dyDescent="0.3">
      <c r="B19" s="4"/>
      <c r="C19" s="1019" t="s">
        <v>89</v>
      </c>
      <c r="D19" s="822" t="s">
        <v>91</v>
      </c>
      <c r="E19" s="825">
        <v>43835</v>
      </c>
      <c r="F19" s="823" t="s">
        <v>2179</v>
      </c>
      <c r="G19" s="3"/>
    </row>
    <row r="20" spans="2:7" x14ac:dyDescent="0.3">
      <c r="B20" s="4"/>
      <c r="C20" s="1019"/>
      <c r="D20" s="984"/>
      <c r="E20" s="825"/>
      <c r="F20" s="824"/>
      <c r="G20" s="3"/>
    </row>
    <row r="21" spans="2:7" ht="26.4" x14ac:dyDescent="0.3">
      <c r="B21" s="4"/>
      <c r="C21" s="1025" t="s">
        <v>92</v>
      </c>
      <c r="D21" s="984" t="s">
        <v>93</v>
      </c>
      <c r="E21" s="825">
        <v>42992</v>
      </c>
      <c r="F21" s="823" t="s">
        <v>2140</v>
      </c>
      <c r="G21" s="3"/>
    </row>
    <row r="22" spans="2:7" ht="39.6" x14ac:dyDescent="0.3">
      <c r="B22" s="4"/>
      <c r="C22" s="1019" t="s">
        <v>92</v>
      </c>
      <c r="D22" s="984" t="s">
        <v>94</v>
      </c>
      <c r="E22" s="825">
        <v>43470</v>
      </c>
      <c r="F22" s="826" t="s">
        <v>2180</v>
      </c>
      <c r="G22" s="3"/>
    </row>
    <row r="23" spans="2:7" ht="26.4" x14ac:dyDescent="0.3">
      <c r="B23" s="4"/>
      <c r="C23" s="1019" t="s">
        <v>92</v>
      </c>
      <c r="D23" s="984" t="s">
        <v>95</v>
      </c>
      <c r="E23" s="825">
        <v>43252</v>
      </c>
      <c r="F23" s="826" t="s">
        <v>1912</v>
      </c>
      <c r="G23" s="3"/>
    </row>
    <row r="24" spans="2:7" ht="26.4" x14ac:dyDescent="0.3">
      <c r="B24" s="4"/>
      <c r="C24" s="1019" t="s">
        <v>92</v>
      </c>
      <c r="D24" s="822" t="s">
        <v>96</v>
      </c>
      <c r="E24" s="825"/>
      <c r="F24" s="826" t="s">
        <v>1911</v>
      </c>
      <c r="G24" s="3"/>
    </row>
    <row r="25" spans="2:7" x14ac:dyDescent="0.3">
      <c r="B25" s="4"/>
      <c r="C25" s="1019" t="s">
        <v>92</v>
      </c>
      <c r="D25" s="822" t="s">
        <v>97</v>
      </c>
      <c r="E25" s="825">
        <v>43556</v>
      </c>
      <c r="F25" s="824" t="s">
        <v>1910</v>
      </c>
      <c r="G25" s="3"/>
    </row>
    <row r="26" spans="2:7" x14ac:dyDescent="0.3">
      <c r="B26" s="4"/>
      <c r="C26" s="1019" t="s">
        <v>92</v>
      </c>
      <c r="D26" s="822" t="s">
        <v>98</v>
      </c>
      <c r="E26" s="825"/>
      <c r="F26" s="824" t="s">
        <v>1898</v>
      </c>
      <c r="G26" s="3"/>
    </row>
    <row r="27" spans="2:7" x14ac:dyDescent="0.3">
      <c r="B27" s="4"/>
      <c r="C27" s="1019" t="s">
        <v>92</v>
      </c>
      <c r="D27" s="822" t="s">
        <v>99</v>
      </c>
      <c r="E27" s="825"/>
      <c r="F27" s="824" t="s">
        <v>1898</v>
      </c>
      <c r="G27" s="3"/>
    </row>
    <row r="28" spans="2:7" x14ac:dyDescent="0.3">
      <c r="B28" s="4"/>
      <c r="C28" s="1019" t="s">
        <v>92</v>
      </c>
      <c r="D28" s="822" t="s">
        <v>100</v>
      </c>
      <c r="E28" s="825"/>
      <c r="F28" s="824" t="s">
        <v>1906</v>
      </c>
      <c r="G28" s="3"/>
    </row>
    <row r="29" spans="2:7" ht="39.6" x14ac:dyDescent="0.3">
      <c r="B29" s="4"/>
      <c r="C29" s="1019" t="s">
        <v>92</v>
      </c>
      <c r="D29" s="822" t="s">
        <v>101</v>
      </c>
      <c r="E29" s="825">
        <v>43282</v>
      </c>
      <c r="F29" s="826" t="s">
        <v>2182</v>
      </c>
      <c r="G29" s="3"/>
    </row>
    <row r="30" spans="2:7" x14ac:dyDescent="0.3">
      <c r="B30" s="4"/>
      <c r="C30" s="1019" t="s">
        <v>92</v>
      </c>
      <c r="D30" s="822" t="s">
        <v>102</v>
      </c>
      <c r="E30" s="825"/>
      <c r="F30" s="826" t="s">
        <v>1899</v>
      </c>
      <c r="G30" s="3"/>
    </row>
    <row r="31" spans="2:7" x14ac:dyDescent="0.3">
      <c r="B31" s="4"/>
      <c r="C31" s="1025"/>
      <c r="D31" s="822"/>
      <c r="E31" s="825"/>
      <c r="F31" s="826"/>
      <c r="G31" s="3"/>
    </row>
    <row r="32" spans="2:7" x14ac:dyDescent="0.3">
      <c r="B32" s="4"/>
      <c r="C32" s="1025" t="s">
        <v>103</v>
      </c>
      <c r="D32" s="822" t="s">
        <v>104</v>
      </c>
      <c r="E32" s="825"/>
      <c r="F32" s="826" t="s">
        <v>1899</v>
      </c>
      <c r="G32" s="3"/>
    </row>
    <row r="33" spans="2:7" x14ac:dyDescent="0.3">
      <c r="B33" s="4"/>
      <c r="C33" s="1025" t="s">
        <v>103</v>
      </c>
      <c r="D33" s="822" t="s">
        <v>105</v>
      </c>
      <c r="E33" s="825"/>
      <c r="F33" s="826" t="s">
        <v>1899</v>
      </c>
      <c r="G33" s="3"/>
    </row>
    <row r="34" spans="2:7" x14ac:dyDescent="0.3">
      <c r="B34" s="4"/>
      <c r="C34" s="1025" t="s">
        <v>103</v>
      </c>
      <c r="D34" s="822" t="s">
        <v>106</v>
      </c>
      <c r="E34" s="825"/>
      <c r="F34" s="826" t="s">
        <v>1899</v>
      </c>
      <c r="G34" s="3"/>
    </row>
    <row r="35" spans="2:7" x14ac:dyDescent="0.3">
      <c r="B35" s="4"/>
      <c r="C35" s="1025" t="s">
        <v>103</v>
      </c>
      <c r="D35" s="822" t="s">
        <v>107</v>
      </c>
      <c r="E35" s="825"/>
      <c r="F35" s="826" t="s">
        <v>1899</v>
      </c>
      <c r="G35" s="3"/>
    </row>
    <row r="36" spans="2:7" x14ac:dyDescent="0.3">
      <c r="B36" s="4"/>
      <c r="C36" s="1025" t="s">
        <v>103</v>
      </c>
      <c r="D36" s="822" t="s">
        <v>108</v>
      </c>
      <c r="E36" s="825"/>
      <c r="F36" s="826" t="s">
        <v>1899</v>
      </c>
      <c r="G36" s="3"/>
    </row>
    <row r="37" spans="2:7" x14ac:dyDescent="0.3">
      <c r="B37" s="4"/>
      <c r="C37" s="1025" t="s">
        <v>103</v>
      </c>
      <c r="D37" s="984" t="s">
        <v>109</v>
      </c>
      <c r="E37" s="825"/>
      <c r="F37" s="826" t="s">
        <v>1899</v>
      </c>
      <c r="G37" s="3"/>
    </row>
    <row r="38" spans="2:7" x14ac:dyDescent="0.3">
      <c r="B38" s="4"/>
      <c r="C38" s="1025" t="s">
        <v>103</v>
      </c>
      <c r="D38" s="984" t="s">
        <v>110</v>
      </c>
      <c r="E38" s="825"/>
      <c r="F38" s="826" t="s">
        <v>1899</v>
      </c>
      <c r="G38" s="3"/>
    </row>
    <row r="39" spans="2:7" x14ac:dyDescent="0.3">
      <c r="B39" s="4"/>
      <c r="C39" s="1025" t="s">
        <v>103</v>
      </c>
      <c r="D39" s="984" t="s">
        <v>111</v>
      </c>
      <c r="E39" s="825"/>
      <c r="F39" s="826" t="s">
        <v>1899</v>
      </c>
      <c r="G39" s="3"/>
    </row>
    <row r="40" spans="2:7" x14ac:dyDescent="0.3">
      <c r="B40" s="4"/>
      <c r="C40" s="1025"/>
      <c r="D40" s="984"/>
      <c r="E40" s="825"/>
      <c r="F40" s="826"/>
      <c r="G40" s="3"/>
    </row>
    <row r="41" spans="2:7" x14ac:dyDescent="0.3">
      <c r="B41" s="4"/>
      <c r="C41" s="1019" t="s">
        <v>112</v>
      </c>
      <c r="D41" s="984" t="s">
        <v>113</v>
      </c>
      <c r="E41" s="825">
        <v>43678</v>
      </c>
      <c r="F41" s="826" t="s">
        <v>1905</v>
      </c>
      <c r="G41" s="3"/>
    </row>
    <row r="42" spans="2:7" x14ac:dyDescent="0.3">
      <c r="B42" s="4"/>
      <c r="C42" s="1026" t="s">
        <v>114</v>
      </c>
      <c r="D42" s="827" t="s">
        <v>115</v>
      </c>
      <c r="E42" s="825">
        <v>43660</v>
      </c>
      <c r="F42" s="828" t="s">
        <v>2181</v>
      </c>
      <c r="G42" s="3"/>
    </row>
    <row r="43" spans="2:7" x14ac:dyDescent="0.3">
      <c r="B43" s="4"/>
      <c r="C43" s="1019" t="s">
        <v>112</v>
      </c>
      <c r="D43" s="827" t="s">
        <v>116</v>
      </c>
      <c r="E43" s="825">
        <v>42999</v>
      </c>
      <c r="F43" s="826" t="s">
        <v>1900</v>
      </c>
      <c r="G43" s="3"/>
    </row>
    <row r="44" spans="2:7" x14ac:dyDescent="0.3">
      <c r="B44" s="4"/>
      <c r="C44" s="1019" t="s">
        <v>112</v>
      </c>
      <c r="D44" s="827" t="s">
        <v>116</v>
      </c>
      <c r="E44" s="825">
        <v>43344</v>
      </c>
      <c r="F44" s="826" t="s">
        <v>1901</v>
      </c>
      <c r="G44" s="3"/>
    </row>
    <row r="45" spans="2:7" ht="26.4" x14ac:dyDescent="0.3">
      <c r="B45" s="4"/>
      <c r="C45" s="1019" t="s">
        <v>112</v>
      </c>
      <c r="D45" s="827" t="s">
        <v>116</v>
      </c>
      <c r="E45" s="825">
        <v>43344</v>
      </c>
      <c r="F45" s="826" t="s">
        <v>2183</v>
      </c>
      <c r="G45" s="3"/>
    </row>
    <row r="46" spans="2:7" x14ac:dyDescent="0.3">
      <c r="B46" s="4"/>
      <c r="C46" s="1019" t="s">
        <v>114</v>
      </c>
      <c r="D46" s="827" t="s">
        <v>670</v>
      </c>
      <c r="E46" s="825">
        <v>44075</v>
      </c>
      <c r="F46" s="826" t="s">
        <v>1903</v>
      </c>
      <c r="G46" s="3"/>
    </row>
    <row r="47" spans="2:7" x14ac:dyDescent="0.3">
      <c r="B47" s="4"/>
      <c r="C47" s="1019" t="s">
        <v>112</v>
      </c>
      <c r="D47" s="984" t="s">
        <v>117</v>
      </c>
      <c r="E47" s="825">
        <v>42985</v>
      </c>
      <c r="F47" s="826" t="s">
        <v>1904</v>
      </c>
      <c r="G47" s="3"/>
    </row>
    <row r="48" spans="2:7" x14ac:dyDescent="0.3">
      <c r="B48" s="4"/>
      <c r="C48" s="1019" t="s">
        <v>112</v>
      </c>
      <c r="D48" s="822" t="s">
        <v>118</v>
      </c>
      <c r="E48" s="825">
        <v>43617</v>
      </c>
      <c r="F48" s="826" t="s">
        <v>2184</v>
      </c>
      <c r="G48" s="3"/>
    </row>
    <row r="49" spans="2:7" x14ac:dyDescent="0.3">
      <c r="B49" s="4"/>
      <c r="C49" s="1026" t="s">
        <v>114</v>
      </c>
      <c r="D49" s="827" t="s">
        <v>669</v>
      </c>
      <c r="E49" s="825">
        <v>44166</v>
      </c>
      <c r="F49" s="829"/>
      <c r="G49" s="3"/>
    </row>
    <row r="50" spans="2:7" x14ac:dyDescent="0.3">
      <c r="B50" s="4"/>
      <c r="C50" s="1019" t="s">
        <v>112</v>
      </c>
      <c r="D50" s="822" t="s">
        <v>119</v>
      </c>
      <c r="E50" s="825">
        <v>43070</v>
      </c>
      <c r="F50" s="826" t="s">
        <v>1900</v>
      </c>
      <c r="G50" s="3"/>
    </row>
    <row r="51" spans="2:7" x14ac:dyDescent="0.3">
      <c r="B51" s="4"/>
      <c r="C51" s="1019" t="s">
        <v>112</v>
      </c>
      <c r="D51" s="984" t="s">
        <v>119</v>
      </c>
      <c r="E51" s="825">
        <v>43435</v>
      </c>
      <c r="F51" s="826" t="s">
        <v>1901</v>
      </c>
      <c r="G51" s="3"/>
    </row>
    <row r="52" spans="2:7" x14ac:dyDescent="0.3">
      <c r="B52" s="4"/>
      <c r="C52" s="1019" t="s">
        <v>112</v>
      </c>
      <c r="D52" s="822" t="s">
        <v>119</v>
      </c>
      <c r="E52" s="825">
        <v>43435</v>
      </c>
      <c r="F52" s="826" t="s">
        <v>1902</v>
      </c>
      <c r="G52" s="3"/>
    </row>
    <row r="53" spans="2:7" x14ac:dyDescent="0.3">
      <c r="B53" s="4"/>
      <c r="C53" s="1019" t="s">
        <v>112</v>
      </c>
      <c r="D53" s="822" t="s">
        <v>2211</v>
      </c>
      <c r="E53" s="825">
        <v>43480</v>
      </c>
      <c r="F53" s="826" t="s">
        <v>2212</v>
      </c>
      <c r="G53" s="3"/>
    </row>
    <row r="54" spans="2:7" ht="26.4" x14ac:dyDescent="0.3">
      <c r="B54" s="4"/>
      <c r="C54" s="1019" t="s">
        <v>112</v>
      </c>
      <c r="D54" s="984" t="s">
        <v>120</v>
      </c>
      <c r="E54" s="825">
        <v>43831</v>
      </c>
      <c r="F54" s="826" t="s">
        <v>1907</v>
      </c>
      <c r="G54" s="3"/>
    </row>
    <row r="55" spans="2:7" ht="26.4" x14ac:dyDescent="0.3">
      <c r="B55" s="4"/>
      <c r="C55" s="1019" t="s">
        <v>112</v>
      </c>
      <c r="D55" s="984" t="s">
        <v>671</v>
      </c>
      <c r="E55" s="825">
        <v>44743</v>
      </c>
      <c r="F55" s="826" t="s">
        <v>1908</v>
      </c>
      <c r="G55" s="3"/>
    </row>
    <row r="56" spans="2:7" x14ac:dyDescent="0.3">
      <c r="B56" s="4"/>
      <c r="C56" s="1019" t="s">
        <v>121</v>
      </c>
      <c r="D56" s="822" t="s">
        <v>122</v>
      </c>
      <c r="E56" s="825">
        <v>43435</v>
      </c>
      <c r="F56" s="826"/>
      <c r="G56" s="3"/>
    </row>
    <row r="57" spans="2:7" x14ac:dyDescent="0.3">
      <c r="B57" s="4"/>
      <c r="C57" s="1019" t="s">
        <v>121</v>
      </c>
      <c r="D57" s="984" t="s">
        <v>123</v>
      </c>
      <c r="E57" s="825">
        <v>43556</v>
      </c>
      <c r="F57" s="826"/>
      <c r="G57" s="3"/>
    </row>
    <row r="58" spans="2:7" x14ac:dyDescent="0.3">
      <c r="B58" s="4"/>
      <c r="C58" s="1019" t="s">
        <v>121</v>
      </c>
      <c r="D58" s="822" t="s">
        <v>124</v>
      </c>
      <c r="E58" s="825">
        <v>43556</v>
      </c>
      <c r="F58" s="826"/>
      <c r="G58" s="3"/>
    </row>
    <row r="59" spans="2:7" x14ac:dyDescent="0.3">
      <c r="B59" s="4"/>
      <c r="C59" s="1019" t="s">
        <v>121</v>
      </c>
      <c r="D59" s="822" t="s">
        <v>125</v>
      </c>
      <c r="E59" s="825">
        <v>43586</v>
      </c>
      <c r="F59" s="826"/>
      <c r="G59" s="3"/>
    </row>
    <row r="60" spans="2:7" x14ac:dyDescent="0.3">
      <c r="B60" s="4"/>
      <c r="C60" s="1019" t="s">
        <v>121</v>
      </c>
      <c r="D60" s="984" t="s">
        <v>126</v>
      </c>
      <c r="E60" s="825">
        <v>43800</v>
      </c>
      <c r="F60" s="824"/>
      <c r="G60" s="3"/>
    </row>
    <row r="61" spans="2:7" ht="15" customHeight="1" x14ac:dyDescent="0.3">
      <c r="B61" s="4"/>
      <c r="C61" s="1019" t="s">
        <v>121</v>
      </c>
      <c r="D61" s="984" t="s">
        <v>127</v>
      </c>
      <c r="E61" s="825">
        <v>43466</v>
      </c>
      <c r="F61" s="824"/>
      <c r="G61" s="3"/>
    </row>
    <row r="62" spans="2:7" ht="15.75" customHeight="1" x14ac:dyDescent="0.3">
      <c r="B62" s="13"/>
      <c r="C62" s="1019" t="s">
        <v>121</v>
      </c>
      <c r="D62" s="984" t="s">
        <v>128</v>
      </c>
      <c r="E62" s="825">
        <v>43739</v>
      </c>
      <c r="F62" s="824"/>
      <c r="G62" s="14"/>
    </row>
    <row r="63" spans="2:7" x14ac:dyDescent="0.3">
      <c r="B63" s="4"/>
      <c r="C63" s="1019" t="s">
        <v>129</v>
      </c>
      <c r="D63" s="984" t="s">
        <v>130</v>
      </c>
      <c r="E63" s="825">
        <v>43101</v>
      </c>
      <c r="F63" s="824"/>
      <c r="G63" s="3"/>
    </row>
    <row r="64" spans="2:7" x14ac:dyDescent="0.3">
      <c r="B64" s="4"/>
      <c r="C64" s="1019" t="s">
        <v>129</v>
      </c>
      <c r="D64" s="984" t="s">
        <v>672</v>
      </c>
      <c r="E64" s="825">
        <v>43835</v>
      </c>
      <c r="F64" s="824"/>
      <c r="G64" s="3"/>
    </row>
    <row r="65" spans="2:7" x14ac:dyDescent="0.3">
      <c r="B65" s="4"/>
      <c r="C65" s="1019" t="s">
        <v>129</v>
      </c>
      <c r="D65" s="984" t="s">
        <v>131</v>
      </c>
      <c r="E65" s="825">
        <v>44470</v>
      </c>
      <c r="F65" s="824"/>
      <c r="G65" s="3"/>
    </row>
    <row r="66" spans="2:7" x14ac:dyDescent="0.3">
      <c r="B66" s="4"/>
      <c r="C66" s="1019"/>
      <c r="D66" s="984"/>
      <c r="E66" s="825"/>
      <c r="F66" s="824"/>
      <c r="G66" s="3"/>
    </row>
    <row r="67" spans="2:7" x14ac:dyDescent="0.3">
      <c r="B67" s="4"/>
      <c r="C67" s="1019" t="s">
        <v>132</v>
      </c>
      <c r="D67" s="984" t="s">
        <v>133</v>
      </c>
      <c r="E67" s="825">
        <v>42992</v>
      </c>
      <c r="F67" s="824" t="s">
        <v>1909</v>
      </c>
      <c r="G67" s="3"/>
    </row>
    <row r="68" spans="2:7" x14ac:dyDescent="0.3">
      <c r="B68" s="4"/>
      <c r="C68" s="1019" t="s">
        <v>132</v>
      </c>
      <c r="D68" s="984" t="s">
        <v>134</v>
      </c>
      <c r="E68" s="825">
        <v>42992</v>
      </c>
      <c r="F68" s="824" t="s">
        <v>2141</v>
      </c>
      <c r="G68" s="3"/>
    </row>
    <row r="69" spans="2:7" x14ac:dyDescent="0.3">
      <c r="B69" s="4"/>
      <c r="C69" s="1019" t="s">
        <v>132</v>
      </c>
      <c r="D69" s="984" t="s">
        <v>135</v>
      </c>
      <c r="E69" s="825">
        <v>44470</v>
      </c>
      <c r="F69" s="824"/>
      <c r="G69" s="3"/>
    </row>
    <row r="70" spans="2:7" x14ac:dyDescent="0.3">
      <c r="B70" s="4"/>
      <c r="C70" s="1019" t="s">
        <v>132</v>
      </c>
      <c r="D70" s="984" t="s">
        <v>136</v>
      </c>
      <c r="E70" s="825">
        <v>44651</v>
      </c>
      <c r="F70" s="824"/>
      <c r="G70" s="3"/>
    </row>
    <row r="71" spans="2:7" x14ac:dyDescent="0.3">
      <c r="B71" s="4"/>
      <c r="C71" s="1019" t="s">
        <v>132</v>
      </c>
      <c r="D71" s="984" t="s">
        <v>137</v>
      </c>
      <c r="E71" s="825">
        <v>44470</v>
      </c>
      <c r="F71" s="824"/>
      <c r="G71" s="3"/>
    </row>
    <row r="72" spans="2:7" x14ac:dyDescent="0.3">
      <c r="B72" s="4"/>
      <c r="C72" s="1019" t="s">
        <v>132</v>
      </c>
      <c r="D72" s="984" t="s">
        <v>138</v>
      </c>
      <c r="E72" s="825">
        <v>44470</v>
      </c>
      <c r="F72" s="824"/>
      <c r="G72" s="3"/>
    </row>
    <row r="73" spans="2:7" ht="26.4" x14ac:dyDescent="0.3">
      <c r="B73" s="4"/>
      <c r="C73" s="1019" t="s">
        <v>132</v>
      </c>
      <c r="D73" s="983" t="s">
        <v>139</v>
      </c>
      <c r="E73" s="825">
        <v>44501</v>
      </c>
      <c r="F73" s="824"/>
      <c r="G73" s="3"/>
    </row>
    <row r="74" spans="2:7" x14ac:dyDescent="0.3">
      <c r="B74" s="4"/>
      <c r="C74" s="1019" t="s">
        <v>132</v>
      </c>
      <c r="D74" s="984" t="s">
        <v>140</v>
      </c>
      <c r="E74" s="825">
        <v>44501</v>
      </c>
      <c r="F74" s="824"/>
      <c r="G74" s="3"/>
    </row>
    <row r="75" spans="2:7" x14ac:dyDescent="0.3">
      <c r="B75" s="4"/>
      <c r="C75" s="1207" t="s">
        <v>132</v>
      </c>
      <c r="D75" s="1208" t="s">
        <v>668</v>
      </c>
      <c r="E75" s="825">
        <v>44470</v>
      </c>
      <c r="F75" s="1209"/>
      <c r="G75" s="3"/>
    </row>
    <row r="76" spans="2:7" ht="15" thickBot="1" x14ac:dyDescent="0.35">
      <c r="B76" s="4"/>
      <c r="C76" s="1020"/>
      <c r="D76" s="1016"/>
      <c r="E76" s="1670"/>
      <c r="F76" s="1017"/>
      <c r="G76" s="3"/>
    </row>
    <row r="77" spans="2:7" ht="9" customHeight="1" thickBot="1" x14ac:dyDescent="0.35">
      <c r="B77" s="5"/>
      <c r="C77" s="6"/>
      <c r="D77" s="6"/>
      <c r="E77" s="6"/>
      <c r="F77" s="6"/>
      <c r="G77" s="7"/>
    </row>
  </sheetData>
  <sheetProtection formatCells="0" formatColumns="0" formatRows="0" insertRows="0"/>
  <autoFilter ref="C16:F74" xr:uid="{00000000-0009-0000-0000-00000E000000}"/>
  <mergeCells count="2">
    <mergeCell ref="C12:F12"/>
    <mergeCell ref="C14:E14"/>
  </mergeCells>
  <dataValidations count="1">
    <dataValidation type="date" allowBlank="1" showInputMessage="1" showErrorMessage="1" errorTitle="Date Format" error="Please enter a date in the MM/DD/YYYY format" sqref="E17:E76" xr:uid="{00000000-0002-0000-0E00-000000000000}">
      <formula1>1</formula1>
      <formula2>402133</formula2>
    </dataValidation>
  </dataValidations>
  <pageMargins left="1" right="0.95" top="0.5" bottom="0.5" header="0.3" footer="0.3"/>
  <pageSetup scale="63" orientation="portrait" r:id="rId1"/>
  <headerFooter>
    <oddFooter>&amp;LForm 5
Project Schedule&amp;CCFA Forms&amp;REdition: 2017
Version: 1.0</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5:R120"/>
  <sheetViews>
    <sheetView showGridLines="0" zoomScaleNormal="100" zoomScaleSheetLayoutView="100" workbookViewId="0">
      <selection activeCell="M118" sqref="M118"/>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10.6640625" style="399" customWidth="1"/>
    <col min="8" max="8" width="1.44140625" style="399" customWidth="1"/>
    <col min="9" max="9" width="7.88671875" style="399" customWidth="1"/>
    <col min="10" max="10" width="11.44140625" style="399" customWidth="1"/>
    <col min="11" max="11" width="11.6640625" style="399" customWidth="1"/>
    <col min="12" max="12" width="11" style="399" customWidth="1"/>
    <col min="13" max="13" width="10" style="399" customWidth="1"/>
    <col min="14" max="14" width="0.6640625" style="399" customWidth="1"/>
    <col min="15" max="16" width="10.88671875" style="399" customWidth="1"/>
    <col min="17" max="17" width="11.88671875" style="399" customWidth="1"/>
    <col min="18" max="18" width="1.6640625" style="399" customWidth="1"/>
    <col min="19" max="16384" width="9.109375" style="399"/>
  </cols>
  <sheetData>
    <row r="5" spans="2:18" ht="9" customHeight="1" thickBot="1" x14ac:dyDescent="0.35"/>
    <row r="6" spans="2:18" ht="9" customHeight="1" x14ac:dyDescent="0.3">
      <c r="B6" s="449"/>
      <c r="C6" s="450"/>
      <c r="D6" s="450"/>
      <c r="E6" s="450"/>
      <c r="F6" s="450"/>
      <c r="G6" s="450"/>
      <c r="H6" s="450"/>
      <c r="I6" s="405"/>
      <c r="J6" s="405"/>
      <c r="K6" s="405"/>
      <c r="L6" s="405"/>
      <c r="M6" s="450"/>
      <c r="N6" s="26"/>
      <c r="O6" s="26"/>
      <c r="P6" s="26"/>
      <c r="Q6" s="26"/>
      <c r="R6" s="27"/>
    </row>
    <row r="7" spans="2:18" ht="18" x14ac:dyDescent="0.35">
      <c r="B7" s="451"/>
      <c r="C7" s="2658" t="s">
        <v>1853</v>
      </c>
      <c r="D7" s="2659"/>
      <c r="E7" s="2659"/>
      <c r="F7" s="2659"/>
      <c r="G7" s="2659"/>
      <c r="H7" s="2659"/>
      <c r="I7" s="2659"/>
      <c r="J7" s="2659"/>
      <c r="K7" s="2659"/>
      <c r="L7" s="2659"/>
      <c r="M7" s="2659"/>
      <c r="N7" s="2659"/>
      <c r="O7" s="2659"/>
      <c r="P7" s="2659"/>
      <c r="Q7" s="2660"/>
      <c r="R7" s="33"/>
    </row>
    <row r="8" spans="2:18" ht="15" customHeight="1" x14ac:dyDescent="0.3">
      <c r="B8" s="451"/>
      <c r="C8" s="68"/>
      <c r="D8" s="68"/>
      <c r="E8" s="68"/>
      <c r="F8" s="68"/>
      <c r="G8" s="68"/>
      <c r="H8" s="68"/>
      <c r="I8" s="410"/>
      <c r="J8" s="2135"/>
      <c r="K8" s="410"/>
      <c r="L8" s="410"/>
      <c r="M8" s="68"/>
      <c r="N8" s="18"/>
      <c r="O8" s="18"/>
      <c r="P8" s="18"/>
      <c r="Q8" s="18"/>
      <c r="R8" s="33"/>
    </row>
    <row r="9" spans="2:18" ht="15" thickBot="1" x14ac:dyDescent="0.35">
      <c r="B9" s="452"/>
      <c r="C9" s="2668" t="str">
        <f>IF('1'!G5="","Enter Project Name on Form 1",(CONCATENATE("Project Name: ",'1'!G5)))</f>
        <v>Project Name: 6600 Roosevelt Way NE</v>
      </c>
      <c r="D9" s="2668"/>
      <c r="E9" s="2668"/>
      <c r="F9" s="2668"/>
      <c r="G9" s="2668"/>
      <c r="H9" s="2668"/>
      <c r="I9" s="2668"/>
      <c r="J9" s="2668"/>
      <c r="K9" s="2668"/>
      <c r="L9" s="2668"/>
      <c r="M9" s="2668"/>
      <c r="N9" s="45"/>
      <c r="O9" s="68"/>
      <c r="P9" s="68"/>
      <c r="Q9" s="68"/>
      <c r="R9" s="454"/>
    </row>
    <row r="10" spans="2:18" ht="7.5" customHeight="1" thickBot="1" x14ac:dyDescent="0.35">
      <c r="B10" s="452"/>
      <c r="C10" s="45"/>
      <c r="D10" s="17"/>
      <c r="E10" s="453"/>
      <c r="F10" s="453"/>
      <c r="G10" s="453"/>
      <c r="H10" s="453"/>
      <c r="I10" s="453"/>
      <c r="J10" s="453"/>
      <c r="K10" s="45"/>
      <c r="L10" s="453"/>
      <c r="M10" s="45"/>
      <c r="N10" s="45"/>
      <c r="O10" s="68"/>
      <c r="P10" s="68"/>
      <c r="Q10" s="68"/>
      <c r="R10" s="454"/>
    </row>
    <row r="11" spans="2:18" x14ac:dyDescent="0.3">
      <c r="B11" s="451"/>
      <c r="C11"/>
      <c r="D11"/>
      <c r="E11"/>
      <c r="F11"/>
      <c r="G11" s="410"/>
      <c r="H11" s="410"/>
      <c r="I11" s="2661" t="s">
        <v>142</v>
      </c>
      <c r="J11" s="2661" t="s">
        <v>143</v>
      </c>
      <c r="K11" s="2669" t="str">
        <f>IF('1'!G29="","Enter Site Name/ID Number on Form 1",(CONCATENATE("Site Name/ID: ",'1'!G29)))</f>
        <v>Site Name/ID: Site A - 4% Building</v>
      </c>
      <c r="L11" s="2670"/>
      <c r="M11" s="2670"/>
      <c r="N11" s="455"/>
      <c r="O11" s="2673" t="str">
        <f>IF('1'!G55="","Enter Site Name/ID Number on Form 1",(CONCATENATE("Site Name/ID: ",'1'!G55)))</f>
        <v>Site Name/ID: Site B - 9% Building</v>
      </c>
      <c r="P11" s="2674"/>
      <c r="Q11" s="2675"/>
      <c r="R11" s="454"/>
    </row>
    <row r="12" spans="2:18" ht="15" customHeight="1" x14ac:dyDescent="0.3">
      <c r="B12" s="451"/>
      <c r="C12" s="45"/>
      <c r="D12" s="453"/>
      <c r="E12" s="453"/>
      <c r="F12" s="453"/>
      <c r="G12" s="453"/>
      <c r="H12" s="453"/>
      <c r="I12" s="2662"/>
      <c r="J12" s="2662"/>
      <c r="K12" s="2671" t="s">
        <v>1862</v>
      </c>
      <c r="L12" s="2664" t="s">
        <v>569</v>
      </c>
      <c r="M12" s="2666" t="s">
        <v>1863</v>
      </c>
      <c r="N12" s="457"/>
      <c r="O12" s="2671" t="s">
        <v>1862</v>
      </c>
      <c r="P12" s="2664" t="s">
        <v>569</v>
      </c>
      <c r="Q12" s="2666" t="s">
        <v>1863</v>
      </c>
      <c r="R12" s="454"/>
    </row>
    <row r="13" spans="2:18" ht="15" thickBot="1" x14ac:dyDescent="0.35">
      <c r="B13" s="451"/>
      <c r="C13" s="45"/>
      <c r="D13" s="453"/>
      <c r="E13" s="71"/>
      <c r="F13" s="71"/>
      <c r="G13" s="71"/>
      <c r="H13" s="71"/>
      <c r="I13" s="2663"/>
      <c r="J13" s="2663"/>
      <c r="K13" s="2672"/>
      <c r="L13" s="2665"/>
      <c r="M13" s="2667"/>
      <c r="N13" s="459"/>
      <c r="O13" s="2672"/>
      <c r="P13" s="2665"/>
      <c r="Q13" s="2667"/>
      <c r="R13" s="409"/>
    </row>
    <row r="14" spans="2:18" ht="15" thickBot="1" x14ac:dyDescent="0.35">
      <c r="B14" s="451"/>
      <c r="C14" s="78" t="s">
        <v>147</v>
      </c>
      <c r="D14" s="78"/>
      <c r="E14" s="78"/>
      <c r="F14" s="78"/>
      <c r="G14" s="78"/>
      <c r="H14" s="47"/>
      <c r="I14" s="47"/>
      <c r="J14" s="47"/>
      <c r="K14" s="47"/>
      <c r="L14" s="453"/>
      <c r="M14" s="45"/>
      <c r="N14" s="68"/>
      <c r="O14" s="68"/>
      <c r="P14" s="460"/>
      <c r="Q14" s="460"/>
      <c r="R14" s="409"/>
    </row>
    <row r="15" spans="2:18" x14ac:dyDescent="0.3">
      <c r="B15" s="451"/>
      <c r="C15" s="45"/>
      <c r="D15" s="151" t="s">
        <v>148</v>
      </c>
      <c r="E15" s="151"/>
      <c r="F15" s="151"/>
      <c r="G15" s="151"/>
      <c r="H15" s="151"/>
      <c r="I15" s="830">
        <f t="shared" ref="I15:I21" si="0">IFERROR(J15/J$113," ")</f>
        <v>6.8460629137290688E-2</v>
      </c>
      <c r="J15" s="2299">
        <f>'6A - 4% Building'!J24+'6A - 9% Building'!J24</f>
        <v>6749999</v>
      </c>
      <c r="K15" s="831">
        <f>SUM(L15:M15)</f>
        <v>3085155</v>
      </c>
      <c r="L15" s="2300">
        <f>'6A - 4% Building'!K24</f>
        <v>2782042</v>
      </c>
      <c r="M15" s="2301">
        <f>'6A - 4% Building'!S24</f>
        <v>303113</v>
      </c>
      <c r="N15" s="461"/>
      <c r="O15" s="842">
        <f>SUM(P15:Q15)</f>
        <v>3664844</v>
      </c>
      <c r="P15" s="2300">
        <f>'6A - 9% Building'!K24</f>
        <v>1427511</v>
      </c>
      <c r="Q15" s="2302">
        <f>'6A - 9% Building'!S24</f>
        <v>2237333</v>
      </c>
      <c r="R15" s="409"/>
    </row>
    <row r="16" spans="2:18" x14ac:dyDescent="0.3">
      <c r="B16" s="451"/>
      <c r="C16" s="45"/>
      <c r="D16" s="153" t="s">
        <v>149</v>
      </c>
      <c r="E16" s="153"/>
      <c r="F16" s="153"/>
      <c r="G16" s="153"/>
      <c r="H16" s="153"/>
      <c r="I16" s="834">
        <f t="shared" si="0"/>
        <v>0</v>
      </c>
      <c r="J16" s="2303">
        <f>'6A - 4% Building'!J25+'6A - 9% Building'!J25</f>
        <v>0</v>
      </c>
      <c r="K16" s="835">
        <f t="shared" ref="K16:K20" si="1">SUM(L16:M16)</f>
        <v>0</v>
      </c>
      <c r="L16" s="2304">
        <f>'6A - 4% Building'!K25</f>
        <v>0</v>
      </c>
      <c r="M16" s="2305">
        <f>'6A - 4% Building'!S25</f>
        <v>0</v>
      </c>
      <c r="N16" s="462"/>
      <c r="O16" s="844">
        <f t="shared" ref="O16:O20" si="2">SUM(P16:Q16)</f>
        <v>0</v>
      </c>
      <c r="P16" s="2304">
        <f>'6A - 9% Building'!K25</f>
        <v>0</v>
      </c>
      <c r="Q16" s="2306">
        <f>'6A - 9% Building'!S25</f>
        <v>0</v>
      </c>
      <c r="R16" s="409"/>
    </row>
    <row r="17" spans="2:18" x14ac:dyDescent="0.3">
      <c r="B17" s="451"/>
      <c r="C17" s="45"/>
      <c r="D17" s="44" t="s">
        <v>150</v>
      </c>
      <c r="E17" s="44"/>
      <c r="F17" s="44"/>
      <c r="G17" s="44"/>
      <c r="H17" s="44"/>
      <c r="I17" s="834">
        <f t="shared" si="0"/>
        <v>0</v>
      </c>
      <c r="J17" s="2303">
        <f>'6A - 4% Building'!J26+'6A - 9% Building'!J26</f>
        <v>0</v>
      </c>
      <c r="K17" s="835">
        <f t="shared" si="1"/>
        <v>0</v>
      </c>
      <c r="L17" s="2304">
        <f>'6A - 4% Building'!K26</f>
        <v>0</v>
      </c>
      <c r="M17" s="2305">
        <f>'6A - 4% Building'!S26</f>
        <v>0</v>
      </c>
      <c r="N17" s="462"/>
      <c r="O17" s="844">
        <f t="shared" si="2"/>
        <v>0</v>
      </c>
      <c r="P17" s="2304">
        <f>'6A - 9% Building'!K26</f>
        <v>0</v>
      </c>
      <c r="Q17" s="2306">
        <f>'6A - 9% Building'!S26</f>
        <v>0</v>
      </c>
      <c r="R17" s="409"/>
    </row>
    <row r="18" spans="2:18" x14ac:dyDescent="0.3">
      <c r="B18" s="451"/>
      <c r="C18" s="45"/>
      <c r="D18" s="44" t="s">
        <v>151</v>
      </c>
      <c r="E18" s="44"/>
      <c r="F18" s="44"/>
      <c r="G18" s="44"/>
      <c r="H18" s="44"/>
      <c r="I18" s="834">
        <f t="shared" si="0"/>
        <v>6.0853901581873441E-4</v>
      </c>
      <c r="J18" s="2303">
        <f>'6A - 4% Building'!J27+'6A - 9% Building'!J27</f>
        <v>60000</v>
      </c>
      <c r="K18" s="835">
        <f t="shared" si="1"/>
        <v>33464</v>
      </c>
      <c r="L18" s="2304">
        <f>'6A - 4% Building'!K27</f>
        <v>31397</v>
      </c>
      <c r="M18" s="2305">
        <f>'6A - 4% Building'!S27</f>
        <v>2067</v>
      </c>
      <c r="N18" s="462"/>
      <c r="O18" s="844">
        <f t="shared" si="2"/>
        <v>26536</v>
      </c>
      <c r="P18" s="2304">
        <f>'6A - 9% Building'!K27</f>
        <v>16110</v>
      </c>
      <c r="Q18" s="2306">
        <f>'6A - 9% Building'!S27</f>
        <v>10426</v>
      </c>
      <c r="R18" s="409"/>
    </row>
    <row r="19" spans="2:18" x14ac:dyDescent="0.3">
      <c r="B19" s="451"/>
      <c r="C19" s="45"/>
      <c r="D19" s="50" t="s">
        <v>152</v>
      </c>
      <c r="E19" s="50"/>
      <c r="F19" s="50"/>
      <c r="G19" s="50"/>
      <c r="H19" s="50"/>
      <c r="I19" s="834">
        <f t="shared" si="0"/>
        <v>0</v>
      </c>
      <c r="J19" s="2303">
        <f>'6A - 4% Building'!J28+'6A - 9% Building'!J28</f>
        <v>0</v>
      </c>
      <c r="K19" s="835">
        <f t="shared" si="1"/>
        <v>0</v>
      </c>
      <c r="L19" s="2304">
        <f>'6A - 4% Building'!K28</f>
        <v>0</v>
      </c>
      <c r="M19" s="2305">
        <f>'6A - 4% Building'!S28</f>
        <v>0</v>
      </c>
      <c r="N19" s="462"/>
      <c r="O19" s="844">
        <f t="shared" si="2"/>
        <v>0</v>
      </c>
      <c r="P19" s="2304">
        <f>'6A - 9% Building'!K28</f>
        <v>0</v>
      </c>
      <c r="Q19" s="2306">
        <f>'6A - 9% Building'!S28</f>
        <v>0</v>
      </c>
      <c r="R19" s="409"/>
    </row>
    <row r="20" spans="2:18" x14ac:dyDescent="0.3">
      <c r="B20" s="451"/>
      <c r="C20" s="45"/>
      <c r="D20" s="49" t="s">
        <v>226</v>
      </c>
      <c r="E20" s="49"/>
      <c r="F20" s="49"/>
      <c r="G20" s="49"/>
      <c r="H20" s="161"/>
      <c r="I20" s="838">
        <f t="shared" si="0"/>
        <v>0</v>
      </c>
      <c r="J20" s="2307">
        <f>'6A - 4% Building'!J29+'6A - 9% Building'!J29</f>
        <v>0</v>
      </c>
      <c r="K20" s="839">
        <f t="shared" si="1"/>
        <v>0</v>
      </c>
      <c r="L20" s="2308">
        <f>'6A - 4% Building'!K29</f>
        <v>0</v>
      </c>
      <c r="M20" s="2309">
        <f>'6A - 4% Building'!S29</f>
        <v>0</v>
      </c>
      <c r="N20" s="462"/>
      <c r="O20" s="846">
        <f t="shared" si="2"/>
        <v>0</v>
      </c>
      <c r="P20" s="2308">
        <f>'6A - 9% Building'!K29</f>
        <v>0</v>
      </c>
      <c r="Q20" s="2310">
        <f>'6A - 9% Building'!S29</f>
        <v>0</v>
      </c>
      <c r="R20" s="409"/>
    </row>
    <row r="21" spans="2:18" ht="15" thickBot="1" x14ac:dyDescent="0.35">
      <c r="B21" s="451"/>
      <c r="C21" s="45"/>
      <c r="D21" s="44"/>
      <c r="E21" s="44"/>
      <c r="F21" s="44"/>
      <c r="G21" s="48" t="s">
        <v>153</v>
      </c>
      <c r="H21" s="48"/>
      <c r="I21" s="353">
        <f t="shared" si="0"/>
        <v>6.9069168153109428E-2</v>
      </c>
      <c r="J21" s="36">
        <f>SUM(J15:J20)</f>
        <v>6809999</v>
      </c>
      <c r="K21" s="22">
        <f>SUM(K15:K20)</f>
        <v>3118619</v>
      </c>
      <c r="L21" s="1449">
        <f>SUM(L15:L20)</f>
        <v>2813439</v>
      </c>
      <c r="M21" s="1450">
        <f>SUM(M15:M20)</f>
        <v>305180</v>
      </c>
      <c r="N21" s="463"/>
      <c r="O21" s="464">
        <f>SUM(O15:O20)</f>
        <v>3691380</v>
      </c>
      <c r="P21" s="1449">
        <f>SUM(P15:P20)</f>
        <v>1443621</v>
      </c>
      <c r="Q21" s="1451">
        <f>SUM(Q15:Q20)</f>
        <v>2247759</v>
      </c>
      <c r="R21" s="409"/>
    </row>
    <row r="22" spans="2:18" ht="3.75" customHeight="1" x14ac:dyDescent="0.3">
      <c r="B22" s="451"/>
      <c r="C22" s="44"/>
      <c r="D22" s="44"/>
      <c r="E22" s="44"/>
      <c r="F22" s="44"/>
      <c r="G22" s="44"/>
      <c r="H22" s="44"/>
      <c r="I22" s="453"/>
      <c r="J22" s="465"/>
      <c r="K22" s="45"/>
      <c r="L22" s="16"/>
      <c r="M22" s="16"/>
      <c r="N22" s="462"/>
      <c r="O22" s="16"/>
      <c r="P22" s="16"/>
      <c r="Q22" s="16"/>
      <c r="R22" s="409"/>
    </row>
    <row r="23" spans="2:18" ht="15" thickBot="1" x14ac:dyDescent="0.35">
      <c r="B23" s="451"/>
      <c r="C23" s="78" t="s">
        <v>154</v>
      </c>
      <c r="D23" s="78"/>
      <c r="E23" s="78"/>
      <c r="F23" s="78"/>
      <c r="G23" s="78"/>
      <c r="H23" s="47"/>
      <c r="I23" s="47"/>
      <c r="J23" s="47"/>
      <c r="K23" s="47"/>
      <c r="L23" s="453"/>
      <c r="M23" s="45"/>
      <c r="N23" s="457"/>
      <c r="O23" s="68"/>
      <c r="P23" s="460"/>
      <c r="Q23" s="460"/>
      <c r="R23" s="409"/>
    </row>
    <row r="24" spans="2:18" x14ac:dyDescent="0.3">
      <c r="B24" s="451"/>
      <c r="C24" s="45"/>
      <c r="D24" s="155" t="s">
        <v>155</v>
      </c>
      <c r="E24" s="155"/>
      <c r="F24" s="155"/>
      <c r="G24" s="155"/>
      <c r="H24" s="155"/>
      <c r="I24" s="830">
        <f t="shared" ref="I24:I40" si="3">IFERROR(J24/J$113," ")</f>
        <v>0</v>
      </c>
      <c r="J24" s="2299">
        <f>'6A - 4% Building'!J33+'6A - 9% Building'!J33</f>
        <v>0</v>
      </c>
      <c r="K24" s="848">
        <f t="shared" ref="K24:K39" si="4">SUM(L24:M24)</f>
        <v>0</v>
      </c>
      <c r="L24" s="2300">
        <f>'6A - 4% Building'!K33</f>
        <v>0</v>
      </c>
      <c r="M24" s="2311">
        <f>'6A - 4% Building'!S33</f>
        <v>0</v>
      </c>
      <c r="N24" s="461"/>
      <c r="O24" s="855">
        <f t="shared" ref="O24:O39" si="5">SUM(P24:Q24)</f>
        <v>0</v>
      </c>
      <c r="P24" s="2300">
        <f>'6A - 9% Building'!K33</f>
        <v>0</v>
      </c>
      <c r="Q24" s="2302">
        <f>'6A - 9% Building'!S33</f>
        <v>0</v>
      </c>
      <c r="R24" s="409"/>
    </row>
    <row r="25" spans="2:18" x14ac:dyDescent="0.3">
      <c r="B25" s="451"/>
      <c r="C25" s="45"/>
      <c r="D25" s="44" t="s">
        <v>156</v>
      </c>
      <c r="E25" s="44"/>
      <c r="F25" s="44"/>
      <c r="G25" s="44"/>
      <c r="H25" s="44"/>
      <c r="I25" s="834">
        <f t="shared" si="3"/>
        <v>0.66705621886071631</v>
      </c>
      <c r="J25" s="2303">
        <f>'6A - 4% Building'!J34+'6A - 9% Building'!J34</f>
        <v>65769609</v>
      </c>
      <c r="K25" s="850">
        <f t="shared" si="4"/>
        <v>37293578</v>
      </c>
      <c r="L25" s="2304">
        <f>'6A - 4% Building'!K34</f>
        <v>33896560</v>
      </c>
      <c r="M25" s="2312">
        <f>'6A - 4% Building'!S34</f>
        <v>3397018</v>
      </c>
      <c r="N25" s="462"/>
      <c r="O25" s="844">
        <f t="shared" si="5"/>
        <v>28476031</v>
      </c>
      <c r="P25" s="2304">
        <f>'6A - 9% Building'!K34</f>
        <v>18070351</v>
      </c>
      <c r="Q25" s="2306">
        <f>'6A - 9% Building'!S34</f>
        <v>10405680</v>
      </c>
      <c r="R25" s="409"/>
    </row>
    <row r="26" spans="2:18" x14ac:dyDescent="0.3">
      <c r="B26" s="451"/>
      <c r="C26" s="45"/>
      <c r="D26" s="44" t="s">
        <v>157</v>
      </c>
      <c r="E26" s="44"/>
      <c r="F26" s="44"/>
      <c r="G26" s="44"/>
      <c r="H26" s="44"/>
      <c r="I26" s="834">
        <f t="shared" si="3"/>
        <v>0</v>
      </c>
      <c r="J26" s="2303">
        <f>'6A - 4% Building'!J35+'6A - 9% Building'!J35</f>
        <v>0</v>
      </c>
      <c r="K26" s="850">
        <f t="shared" si="4"/>
        <v>0</v>
      </c>
      <c r="L26" s="2304">
        <f>'6A - 4% Building'!K35</f>
        <v>0</v>
      </c>
      <c r="M26" s="2312">
        <f>'6A - 4% Building'!S35</f>
        <v>0</v>
      </c>
      <c r="N26" s="462"/>
      <c r="O26" s="844">
        <f t="shared" si="5"/>
        <v>0</v>
      </c>
      <c r="P26" s="2304">
        <f>'6A - 9% Building'!K35</f>
        <v>0</v>
      </c>
      <c r="Q26" s="2306">
        <f>'6A - 9% Building'!S35</f>
        <v>0</v>
      </c>
      <c r="R26" s="409"/>
    </row>
    <row r="27" spans="2:18" x14ac:dyDescent="0.3">
      <c r="B27" s="451"/>
      <c r="C27" s="45"/>
      <c r="D27" s="44" t="s">
        <v>158</v>
      </c>
      <c r="E27" s="44"/>
      <c r="F27" s="44"/>
      <c r="G27" s="44"/>
      <c r="H27" s="44"/>
      <c r="I27" s="834">
        <f t="shared" si="3"/>
        <v>0</v>
      </c>
      <c r="J27" s="2303">
        <f>'6A - 4% Building'!J36+'6A - 9% Building'!J36</f>
        <v>0</v>
      </c>
      <c r="K27" s="850">
        <f t="shared" si="4"/>
        <v>0</v>
      </c>
      <c r="L27" s="2304">
        <f>'6A - 4% Building'!K36</f>
        <v>0</v>
      </c>
      <c r="M27" s="2312">
        <f>'6A - 4% Building'!S36</f>
        <v>0</v>
      </c>
      <c r="N27" s="462"/>
      <c r="O27" s="844">
        <f t="shared" si="5"/>
        <v>0</v>
      </c>
      <c r="P27" s="2304">
        <f>'6A - 9% Building'!K36</f>
        <v>0</v>
      </c>
      <c r="Q27" s="2306">
        <f>'6A - 9% Building'!S36</f>
        <v>0</v>
      </c>
      <c r="R27" s="409"/>
    </row>
    <row r="28" spans="2:18" x14ac:dyDescent="0.3">
      <c r="B28" s="451"/>
      <c r="C28" s="45"/>
      <c r="D28" s="44" t="s">
        <v>159</v>
      </c>
      <c r="E28" s="44"/>
      <c r="F28" s="44"/>
      <c r="G28" s="44"/>
      <c r="H28" s="44"/>
      <c r="I28" s="834">
        <f t="shared" si="3"/>
        <v>0</v>
      </c>
      <c r="J28" s="2303">
        <f>'6A - 4% Building'!J37+'6A - 9% Building'!J37</f>
        <v>0</v>
      </c>
      <c r="K28" s="850">
        <f t="shared" si="4"/>
        <v>0</v>
      </c>
      <c r="L28" s="2304">
        <f>'6A - 4% Building'!K37</f>
        <v>0</v>
      </c>
      <c r="M28" s="2312">
        <f>'6A - 4% Building'!S37</f>
        <v>0</v>
      </c>
      <c r="N28" s="462"/>
      <c r="O28" s="844">
        <f t="shared" si="5"/>
        <v>0</v>
      </c>
      <c r="P28" s="2304">
        <f>'6A - 9% Building'!K37</f>
        <v>0</v>
      </c>
      <c r="Q28" s="2306">
        <f>'6A - 9% Building'!S37</f>
        <v>0</v>
      </c>
      <c r="R28" s="409"/>
    </row>
    <row r="29" spans="2:18" x14ac:dyDescent="0.3">
      <c r="B29" s="451"/>
      <c r="C29" s="45"/>
      <c r="D29" s="44" t="s">
        <v>498</v>
      </c>
      <c r="E29" s="44"/>
      <c r="F29" s="44"/>
      <c r="G29" s="352">
        <f>IFERROR(J29/(J25+J27+J28+J37),)</f>
        <v>5.5251780499409688E-2</v>
      </c>
      <c r="H29" s="53"/>
      <c r="I29" s="834">
        <f t="shared" si="3"/>
        <v>3.6856043785258488E-2</v>
      </c>
      <c r="J29" s="2303">
        <f>'6A - 4% Building'!J38+'6A - 9% Building'!J38</f>
        <v>3633888</v>
      </c>
      <c r="K29" s="850">
        <f t="shared" si="4"/>
        <v>2061413</v>
      </c>
      <c r="L29" s="2304">
        <f>'6A - 4% Building'!K38</f>
        <v>1874028</v>
      </c>
      <c r="M29" s="2312">
        <f>'6A - 4% Building'!S38</f>
        <v>187385</v>
      </c>
      <c r="N29" s="462"/>
      <c r="O29" s="844">
        <f t="shared" si="5"/>
        <v>1572475</v>
      </c>
      <c r="P29" s="2304">
        <f>'6A - 9% Building'!K38</f>
        <v>997729</v>
      </c>
      <c r="Q29" s="2306">
        <f>'6A - 9% Building'!S38</f>
        <v>574746</v>
      </c>
      <c r="R29" s="409"/>
    </row>
    <row r="30" spans="2:18" x14ac:dyDescent="0.3">
      <c r="B30" s="451"/>
      <c r="C30" s="45"/>
      <c r="D30" s="44" t="s">
        <v>161</v>
      </c>
      <c r="E30" s="44"/>
      <c r="F30" s="44"/>
      <c r="G30" s="352">
        <f>IFERROR(J30/(J26+J27+J28+J37),)</f>
        <v>0</v>
      </c>
      <c r="H30" s="53"/>
      <c r="I30" s="834">
        <f t="shared" si="3"/>
        <v>0</v>
      </c>
      <c r="J30" s="2303">
        <f>'6A - 4% Building'!J39+'6A - 9% Building'!J39</f>
        <v>0</v>
      </c>
      <c r="K30" s="850">
        <f t="shared" si="4"/>
        <v>0</v>
      </c>
      <c r="L30" s="2304">
        <f>'6A - 4% Building'!K39</f>
        <v>0</v>
      </c>
      <c r="M30" s="2312">
        <f>'6A - 4% Building'!S39</f>
        <v>0</v>
      </c>
      <c r="N30" s="462"/>
      <c r="O30" s="844">
        <f t="shared" si="5"/>
        <v>0</v>
      </c>
      <c r="P30" s="2304">
        <f>'6A - 9% Building'!K39</f>
        <v>0</v>
      </c>
      <c r="Q30" s="2306">
        <f>'6A - 9% Building'!S39</f>
        <v>0</v>
      </c>
      <c r="R30" s="409"/>
    </row>
    <row r="31" spans="2:18" x14ac:dyDescent="0.3">
      <c r="B31" s="451"/>
      <c r="C31" s="45"/>
      <c r="D31" s="44" t="s">
        <v>162</v>
      </c>
      <c r="E31" s="44"/>
      <c r="F31" s="44"/>
      <c r="G31" s="44"/>
      <c r="H31" s="44"/>
      <c r="I31" s="834">
        <f t="shared" si="3"/>
        <v>0</v>
      </c>
      <c r="J31" s="2303">
        <f>'6A - 4% Building'!J40+'6A - 9% Building'!J40</f>
        <v>0</v>
      </c>
      <c r="K31" s="850">
        <f t="shared" si="4"/>
        <v>0</v>
      </c>
      <c r="L31" s="2304">
        <f>'6A - 4% Building'!K40</f>
        <v>0</v>
      </c>
      <c r="M31" s="2312">
        <f>'6A - 4% Building'!S40</f>
        <v>0</v>
      </c>
      <c r="N31" s="462"/>
      <c r="O31" s="844">
        <f t="shared" si="5"/>
        <v>0</v>
      </c>
      <c r="P31" s="2304">
        <f>'6A - 9% Building'!K40</f>
        <v>0</v>
      </c>
      <c r="Q31" s="2306">
        <f>'6A - 9% Building'!S40</f>
        <v>0</v>
      </c>
      <c r="R31" s="409"/>
    </row>
    <row r="32" spans="2:18" x14ac:dyDescent="0.3">
      <c r="B32" s="451"/>
      <c r="C32" s="45"/>
      <c r="D32" s="44" t="s">
        <v>163</v>
      </c>
      <c r="E32" s="44"/>
      <c r="F32" s="44"/>
      <c r="G32" s="44"/>
      <c r="H32" s="44"/>
      <c r="I32" s="834">
        <f t="shared" si="3"/>
        <v>0</v>
      </c>
      <c r="J32" s="2303">
        <f>'6A - 4% Building'!J41+'6A - 9% Building'!J41</f>
        <v>0</v>
      </c>
      <c r="K32" s="850">
        <f t="shared" si="4"/>
        <v>0</v>
      </c>
      <c r="L32" s="2304">
        <f>'6A - 4% Building'!K41</f>
        <v>0</v>
      </c>
      <c r="M32" s="2312">
        <f>'6A - 4% Building'!S41</f>
        <v>0</v>
      </c>
      <c r="N32" s="462"/>
      <c r="O32" s="844">
        <f t="shared" si="5"/>
        <v>0</v>
      </c>
      <c r="P32" s="2304">
        <f>'6A - 9% Building'!K41</f>
        <v>0</v>
      </c>
      <c r="Q32" s="2306">
        <f>'6A - 9% Building'!S41</f>
        <v>0</v>
      </c>
      <c r="R32" s="409"/>
    </row>
    <row r="33" spans="2:18" x14ac:dyDescent="0.3">
      <c r="B33" s="451"/>
      <c r="C33" s="45"/>
      <c r="D33" s="44" t="s">
        <v>164</v>
      </c>
      <c r="E33" s="44"/>
      <c r="F33" s="44"/>
      <c r="G33" s="44"/>
      <c r="H33" s="44"/>
      <c r="I33" s="834">
        <f t="shared" si="3"/>
        <v>0</v>
      </c>
      <c r="J33" s="2303">
        <f>'6A - 4% Building'!J42+'6A - 9% Building'!J42</f>
        <v>0</v>
      </c>
      <c r="K33" s="850">
        <f t="shared" si="4"/>
        <v>0</v>
      </c>
      <c r="L33" s="2304">
        <f>'6A - 4% Building'!K42</f>
        <v>0</v>
      </c>
      <c r="M33" s="2312">
        <f>'6A - 4% Building'!S42</f>
        <v>0</v>
      </c>
      <c r="N33" s="462"/>
      <c r="O33" s="844">
        <f t="shared" si="5"/>
        <v>0</v>
      </c>
      <c r="P33" s="2304">
        <f>'6A - 9% Building'!K42</f>
        <v>0</v>
      </c>
      <c r="Q33" s="2306">
        <f>'6A - 9% Building'!S42</f>
        <v>0</v>
      </c>
      <c r="R33" s="409"/>
    </row>
    <row r="34" spans="2:18" x14ac:dyDescent="0.3">
      <c r="B34" s="451"/>
      <c r="C34" s="45"/>
      <c r="D34" s="44" t="s">
        <v>165</v>
      </c>
      <c r="E34" s="44"/>
      <c r="F34" s="44"/>
      <c r="G34" s="44"/>
      <c r="H34" s="44"/>
      <c r="I34" s="834">
        <f t="shared" si="3"/>
        <v>0</v>
      </c>
      <c r="J34" s="2303">
        <f>'6A - 4% Building'!J43+'6A - 9% Building'!J43</f>
        <v>0</v>
      </c>
      <c r="K34" s="850">
        <f t="shared" si="4"/>
        <v>0</v>
      </c>
      <c r="L34" s="2304">
        <f>'6A - 4% Building'!K43</f>
        <v>0</v>
      </c>
      <c r="M34" s="2312">
        <f>'6A - 4% Building'!S43</f>
        <v>0</v>
      </c>
      <c r="N34" s="462"/>
      <c r="O34" s="844">
        <f t="shared" si="5"/>
        <v>0</v>
      </c>
      <c r="P34" s="2304">
        <f>'6A - 9% Building'!K43</f>
        <v>0</v>
      </c>
      <c r="Q34" s="2306">
        <f>'6A - 9% Building'!S43</f>
        <v>0</v>
      </c>
      <c r="R34" s="409"/>
    </row>
    <row r="35" spans="2:18" x14ac:dyDescent="0.3">
      <c r="B35" s="451"/>
      <c r="C35" s="45"/>
      <c r="D35" s="44" t="s">
        <v>166</v>
      </c>
      <c r="E35" s="44"/>
      <c r="F35" s="44"/>
      <c r="G35" s="44"/>
      <c r="H35" s="44"/>
      <c r="I35" s="834">
        <f t="shared" si="3"/>
        <v>0</v>
      </c>
      <c r="J35" s="2303">
        <f>'6A - 4% Building'!J44+'6A - 9% Building'!J44</f>
        <v>0</v>
      </c>
      <c r="K35" s="850">
        <f t="shared" si="4"/>
        <v>0</v>
      </c>
      <c r="L35" s="2304">
        <f>'6A - 4% Building'!K44</f>
        <v>0</v>
      </c>
      <c r="M35" s="2312">
        <f>'6A - 4% Building'!S44</f>
        <v>0</v>
      </c>
      <c r="N35" s="462"/>
      <c r="O35" s="844">
        <f t="shared" si="5"/>
        <v>0</v>
      </c>
      <c r="P35" s="2304">
        <f>'6A - 9% Building'!K44</f>
        <v>0</v>
      </c>
      <c r="Q35" s="2306">
        <f>'6A - 9% Building'!S44</f>
        <v>0</v>
      </c>
      <c r="R35" s="409"/>
    </row>
    <row r="36" spans="2:18" x14ac:dyDescent="0.3">
      <c r="B36" s="451"/>
      <c r="C36" s="45"/>
      <c r="D36" s="44" t="s">
        <v>167</v>
      </c>
      <c r="E36" s="44"/>
      <c r="F36" s="44"/>
      <c r="G36" s="44"/>
      <c r="H36" s="44"/>
      <c r="I36" s="834">
        <f t="shared" si="3"/>
        <v>6.8036112319855541E-2</v>
      </c>
      <c r="J36" s="2303">
        <f>'6A - 4% Building'!J45+'6A - 9% Building'!J45</f>
        <v>6708143</v>
      </c>
      <c r="K36" s="850">
        <f t="shared" si="4"/>
        <v>3823139</v>
      </c>
      <c r="L36" s="2304">
        <f>'6A - 4% Building'!K45</f>
        <v>3479344</v>
      </c>
      <c r="M36" s="2312">
        <f>'6A - 4% Building'!S45</f>
        <v>343795</v>
      </c>
      <c r="N36" s="462"/>
      <c r="O36" s="844">
        <f t="shared" si="5"/>
        <v>2885004</v>
      </c>
      <c r="P36" s="2304">
        <f>'6A - 9% Building'!K45</f>
        <v>1830520</v>
      </c>
      <c r="Q36" s="2306">
        <f>'6A - 9% Building'!S45</f>
        <v>1054484</v>
      </c>
      <c r="R36" s="409"/>
    </row>
    <row r="37" spans="2:18" x14ac:dyDescent="0.3">
      <c r="B37" s="451"/>
      <c r="C37" s="45"/>
      <c r="D37" s="44" t="s">
        <v>168</v>
      </c>
      <c r="E37" s="44"/>
      <c r="F37" s="44"/>
      <c r="G37" s="44"/>
      <c r="H37" s="44"/>
      <c r="I37" s="834">
        <f t="shared" si="3"/>
        <v>0</v>
      </c>
      <c r="J37" s="2303">
        <f>'6A - 4% Building'!J46+'6A - 9% Building'!J46</f>
        <v>0</v>
      </c>
      <c r="K37" s="850">
        <f t="shared" si="4"/>
        <v>0</v>
      </c>
      <c r="L37" s="2304">
        <f>'6A - 4% Building'!K46</f>
        <v>0</v>
      </c>
      <c r="M37" s="2312">
        <f>'6A - 4% Building'!S46</f>
        <v>0</v>
      </c>
      <c r="N37" s="462"/>
      <c r="O37" s="844">
        <f t="shared" si="5"/>
        <v>0</v>
      </c>
      <c r="P37" s="2304">
        <f>'6A - 9% Building'!K46</f>
        <v>0</v>
      </c>
      <c r="Q37" s="2306">
        <f>'6A - 9% Building'!S46</f>
        <v>0</v>
      </c>
      <c r="R37" s="409"/>
    </row>
    <row r="38" spans="2:18" x14ac:dyDescent="0.3">
      <c r="B38" s="451"/>
      <c r="C38" s="45"/>
      <c r="D38" s="44" t="s">
        <v>169</v>
      </c>
      <c r="E38" s="44"/>
      <c r="F38" s="44"/>
      <c r="G38" s="44"/>
      <c r="H38" s="44"/>
      <c r="I38" s="834">
        <f t="shared" si="3"/>
        <v>2.0284633860624479E-3</v>
      </c>
      <c r="J38" s="2303">
        <f>'6A - 4% Building'!J47+'6A - 9% Building'!J47</f>
        <v>200000</v>
      </c>
      <c r="K38" s="850">
        <f t="shared" si="4"/>
        <v>111544</v>
      </c>
      <c r="L38" s="2304">
        <f>'6A - 4% Building'!K47</f>
        <v>104656</v>
      </c>
      <c r="M38" s="2312">
        <f>'6A - 4% Building'!S47</f>
        <v>6888</v>
      </c>
      <c r="N38" s="462"/>
      <c r="O38" s="844">
        <f t="shared" si="5"/>
        <v>88456</v>
      </c>
      <c r="P38" s="2304">
        <f>'6A - 9% Building'!K47</f>
        <v>53701</v>
      </c>
      <c r="Q38" s="2306">
        <f>'6A - 9% Building'!S47</f>
        <v>34755</v>
      </c>
      <c r="R38" s="409"/>
    </row>
    <row r="39" spans="2:18" x14ac:dyDescent="0.3">
      <c r="B39" s="451"/>
      <c r="C39" s="45"/>
      <c r="D39" s="49" t="s">
        <v>226</v>
      </c>
      <c r="E39" s="49"/>
      <c r="F39" s="49"/>
      <c r="G39" s="49"/>
      <c r="H39" s="49"/>
      <c r="I39" s="838">
        <f t="shared" si="3"/>
        <v>0</v>
      </c>
      <c r="J39" s="2307">
        <f>'6A - 4% Building'!J48+'6A - 9% Building'!J48</f>
        <v>0</v>
      </c>
      <c r="K39" s="852">
        <f t="shared" si="4"/>
        <v>0</v>
      </c>
      <c r="L39" s="2313">
        <f>'6A - 4% Building'!K48</f>
        <v>0</v>
      </c>
      <c r="M39" s="2314">
        <f>'6A - 4% Building'!S48</f>
        <v>0</v>
      </c>
      <c r="N39" s="462"/>
      <c r="O39" s="856">
        <f t="shared" si="5"/>
        <v>0</v>
      </c>
      <c r="P39" s="2313">
        <f>'6A - 9% Building'!K48</f>
        <v>0</v>
      </c>
      <c r="Q39" s="2315">
        <f>'6A - 9% Building'!S48</f>
        <v>0</v>
      </c>
      <c r="R39" s="409"/>
    </row>
    <row r="40" spans="2:18" ht="15" thickBot="1" x14ac:dyDescent="0.35">
      <c r="B40" s="451"/>
      <c r="C40" s="45"/>
      <c r="D40" s="44"/>
      <c r="E40" s="44"/>
      <c r="F40" s="44"/>
      <c r="G40" s="48" t="s">
        <v>153</v>
      </c>
      <c r="H40" s="48"/>
      <c r="I40" s="353">
        <f t="shared" si="3"/>
        <v>0.77397683835189279</v>
      </c>
      <c r="J40" s="36">
        <f>SUM(J24:J39)</f>
        <v>76311640</v>
      </c>
      <c r="K40" s="22">
        <f>SUM(K24:K39)</f>
        <v>43289674</v>
      </c>
      <c r="L40" s="1449">
        <f>SUM(L24:L39)</f>
        <v>39354588</v>
      </c>
      <c r="M40" s="1450">
        <f>SUM(M24:M39)</f>
        <v>3935086</v>
      </c>
      <c r="N40" s="463"/>
      <c r="O40" s="464">
        <f>SUM(O24:O39)</f>
        <v>33021966</v>
      </c>
      <c r="P40" s="1449">
        <f>SUM(P24:P39)</f>
        <v>20952301</v>
      </c>
      <c r="Q40" s="1451">
        <f>SUM(Q24:Q39)</f>
        <v>12069665</v>
      </c>
      <c r="R40" s="409"/>
    </row>
    <row r="41" spans="2:18" ht="9" customHeight="1" thickBot="1" x14ac:dyDescent="0.35">
      <c r="B41" s="466"/>
      <c r="C41" s="28"/>
      <c r="D41" s="28"/>
      <c r="E41" s="28"/>
      <c r="F41" s="28"/>
      <c r="G41" s="28"/>
      <c r="H41" s="28"/>
      <c r="I41" s="415"/>
      <c r="J41" s="467"/>
      <c r="K41" s="468"/>
      <c r="L41" s="469"/>
      <c r="M41" s="29"/>
      <c r="N41" s="470"/>
      <c r="O41" s="29"/>
      <c r="P41" s="469"/>
      <c r="Q41" s="29"/>
      <c r="R41" s="416"/>
    </row>
    <row r="42" spans="2:18" ht="15" thickBot="1" x14ac:dyDescent="0.35">
      <c r="B42" s="451"/>
      <c r="C42" s="78" t="s">
        <v>170</v>
      </c>
      <c r="D42" s="78"/>
      <c r="E42" s="78"/>
      <c r="F42" s="78"/>
      <c r="G42" s="78"/>
      <c r="H42" s="47"/>
      <c r="I42" s="47"/>
      <c r="J42" s="47"/>
      <c r="K42" s="47"/>
      <c r="L42" s="453"/>
      <c r="M42" s="45"/>
      <c r="N42" s="457"/>
      <c r="O42" s="68"/>
      <c r="P42" s="460"/>
      <c r="Q42" s="460"/>
      <c r="R42" s="409"/>
    </row>
    <row r="43" spans="2:18" x14ac:dyDescent="0.3">
      <c r="B43" s="451"/>
      <c r="C43" s="45"/>
      <c r="D43" s="155" t="s">
        <v>171</v>
      </c>
      <c r="E43" s="155"/>
      <c r="F43" s="155"/>
      <c r="G43" s="155"/>
      <c r="H43" s="155"/>
      <c r="I43" s="830">
        <f t="shared" ref="I43:I56" si="6">IFERROR(J43/J$113," ")</f>
        <v>1.2169766084681657E-4</v>
      </c>
      <c r="J43" s="2299">
        <f>'6A - 4% Building'!J52+'6A - 9% Building'!J52</f>
        <v>11999</v>
      </c>
      <c r="K43" s="848">
        <f t="shared" ref="K43:K55" si="7">SUM(L43:M43)</f>
        <v>6692</v>
      </c>
      <c r="L43" s="2300">
        <f>'6A - 4% Building'!K52</f>
        <v>6279</v>
      </c>
      <c r="M43" s="2311">
        <f>'6A - 4% Building'!S52</f>
        <v>413</v>
      </c>
      <c r="N43" s="461"/>
      <c r="O43" s="855">
        <f t="shared" ref="O43:O55" si="8">SUM(P43:Q43)</f>
        <v>5307</v>
      </c>
      <c r="P43" s="2300">
        <f>'6A - 9% Building'!K52</f>
        <v>3222</v>
      </c>
      <c r="Q43" s="2302">
        <f>'6A - 9% Building'!S52</f>
        <v>2085</v>
      </c>
      <c r="R43" s="409"/>
    </row>
    <row r="44" spans="2:18" x14ac:dyDescent="0.3">
      <c r="B44" s="451"/>
      <c r="C44" s="45"/>
      <c r="D44" s="44" t="s">
        <v>172</v>
      </c>
      <c r="E44" s="44"/>
      <c r="F44" s="44"/>
      <c r="G44" s="44"/>
      <c r="H44" s="44"/>
      <c r="I44" s="834">
        <f t="shared" si="6"/>
        <v>7.6067376977341801E-5</v>
      </c>
      <c r="J44" s="2303">
        <f>'6A - 4% Building'!J53+'6A - 9% Building'!J53</f>
        <v>7500</v>
      </c>
      <c r="K44" s="850">
        <f t="shared" si="7"/>
        <v>4957</v>
      </c>
      <c r="L44" s="2304">
        <f>'6A - 4% Building'!K53</f>
        <v>4957</v>
      </c>
      <c r="M44" s="2312">
        <f>'6A - 4% Building'!S53</f>
        <v>0</v>
      </c>
      <c r="N44" s="462"/>
      <c r="O44" s="844">
        <f t="shared" si="8"/>
        <v>2543</v>
      </c>
      <c r="P44" s="2304">
        <f>'6A - 9% Building'!K53</f>
        <v>2543</v>
      </c>
      <c r="Q44" s="2306">
        <f>'6A - 9% Building'!S53</f>
        <v>0</v>
      </c>
      <c r="R44" s="409"/>
    </row>
    <row r="45" spans="2:18" x14ac:dyDescent="0.3">
      <c r="B45" s="451"/>
      <c r="C45" s="45"/>
      <c r="D45" s="44" t="s">
        <v>173</v>
      </c>
      <c r="E45" s="44"/>
      <c r="F45" s="44"/>
      <c r="G45" s="44"/>
      <c r="H45" s="44"/>
      <c r="I45" s="834">
        <f t="shared" si="6"/>
        <v>3.2292619847950725E-2</v>
      </c>
      <c r="J45" s="2303">
        <f>'6A - 4% Building'!J54+'6A - 9% Building'!J54</f>
        <v>3183949</v>
      </c>
      <c r="K45" s="850">
        <f t="shared" si="7"/>
        <v>1808931</v>
      </c>
      <c r="L45" s="2304">
        <f>'6A - 4% Building'!K54</f>
        <v>1626853</v>
      </c>
      <c r="M45" s="2312">
        <f>'6A - 4% Building'!S54</f>
        <v>182078</v>
      </c>
      <c r="N45" s="462"/>
      <c r="O45" s="844">
        <f t="shared" si="8"/>
        <v>1375018</v>
      </c>
      <c r="P45" s="2304">
        <f>'6A - 9% Building'!K54</f>
        <v>834765</v>
      </c>
      <c r="Q45" s="2306">
        <f>'6A - 9% Building'!S54</f>
        <v>540253</v>
      </c>
      <c r="R45" s="409"/>
    </row>
    <row r="46" spans="2:18" x14ac:dyDescent="0.3">
      <c r="B46" s="451"/>
      <c r="C46" s="45"/>
      <c r="D46" s="44" t="s">
        <v>174</v>
      </c>
      <c r="E46" s="44"/>
      <c r="F46" s="44"/>
      <c r="G46" s="44"/>
      <c r="H46" s="44"/>
      <c r="I46" s="834">
        <f t="shared" si="6"/>
        <v>0</v>
      </c>
      <c r="J46" s="2303">
        <f>'6A - 4% Building'!J55+'6A - 9% Building'!J55</f>
        <v>0</v>
      </c>
      <c r="K46" s="850">
        <f t="shared" si="7"/>
        <v>0</v>
      </c>
      <c r="L46" s="2304">
        <f>'6A - 4% Building'!K55</f>
        <v>0</v>
      </c>
      <c r="M46" s="2312">
        <f>'6A - 4% Building'!S55</f>
        <v>0</v>
      </c>
      <c r="N46" s="462"/>
      <c r="O46" s="844">
        <f t="shared" si="8"/>
        <v>0</v>
      </c>
      <c r="P46" s="2304">
        <f>'6A - 9% Building'!K55</f>
        <v>0</v>
      </c>
      <c r="Q46" s="2306">
        <f>'6A - 9% Building'!S55</f>
        <v>0</v>
      </c>
      <c r="R46" s="409"/>
    </row>
    <row r="47" spans="2:18" x14ac:dyDescent="0.3">
      <c r="B47" s="451"/>
      <c r="C47" s="45"/>
      <c r="D47" s="50" t="s">
        <v>175</v>
      </c>
      <c r="E47" s="50"/>
      <c r="F47" s="50"/>
      <c r="G47" s="50"/>
      <c r="H47" s="50"/>
      <c r="I47" s="834">
        <f t="shared" si="6"/>
        <v>0</v>
      </c>
      <c r="J47" s="2303">
        <f>'6A - 4% Building'!J56+'6A - 9% Building'!J56</f>
        <v>0</v>
      </c>
      <c r="K47" s="850">
        <f t="shared" si="7"/>
        <v>0</v>
      </c>
      <c r="L47" s="2304">
        <f>'6A - 4% Building'!K56</f>
        <v>0</v>
      </c>
      <c r="M47" s="2312">
        <f>'6A - 4% Building'!S56</f>
        <v>0</v>
      </c>
      <c r="N47" s="462"/>
      <c r="O47" s="844">
        <f t="shared" si="8"/>
        <v>0</v>
      </c>
      <c r="P47" s="2304">
        <f>'6A - 9% Building'!K56</f>
        <v>0</v>
      </c>
      <c r="Q47" s="2306">
        <f>'6A - 9% Building'!S56</f>
        <v>0</v>
      </c>
      <c r="R47" s="409"/>
    </row>
    <row r="48" spans="2:18" x14ac:dyDescent="0.3">
      <c r="B48" s="451"/>
      <c r="C48" s="45"/>
      <c r="D48" s="44" t="s">
        <v>176</v>
      </c>
      <c r="E48" s="44"/>
      <c r="F48" s="44"/>
      <c r="G48" s="44"/>
      <c r="H48" s="44"/>
      <c r="I48" s="834">
        <f t="shared" si="6"/>
        <v>3.1307303900487824E-4</v>
      </c>
      <c r="J48" s="2303">
        <f>'6A - 4% Building'!J57+'6A - 9% Building'!J57</f>
        <v>30868</v>
      </c>
      <c r="K48" s="850">
        <f t="shared" si="7"/>
        <v>16731</v>
      </c>
      <c r="L48" s="2304">
        <f>'6A - 4% Building'!K57</f>
        <v>15698</v>
      </c>
      <c r="M48" s="2312">
        <f>'6A - 4% Building'!S57</f>
        <v>1033</v>
      </c>
      <c r="N48" s="462"/>
      <c r="O48" s="844">
        <f t="shared" si="8"/>
        <v>14137</v>
      </c>
      <c r="P48" s="2304">
        <f>'6A - 9% Building'!K57</f>
        <v>8055</v>
      </c>
      <c r="Q48" s="2306">
        <f>'6A - 9% Building'!S57</f>
        <v>6082</v>
      </c>
      <c r="R48" s="409"/>
    </row>
    <row r="49" spans="2:18" x14ac:dyDescent="0.3">
      <c r="B49" s="451"/>
      <c r="C49" s="45"/>
      <c r="D49" s="44" t="s">
        <v>177</v>
      </c>
      <c r="E49" s="44"/>
      <c r="F49" s="44"/>
      <c r="G49" s="44"/>
      <c r="H49" s="44"/>
      <c r="I49" s="834">
        <f t="shared" si="6"/>
        <v>7.6938602001655628E-4</v>
      </c>
      <c r="J49" s="2303">
        <f>'6A - 4% Building'!J58+'6A - 9% Building'!J58</f>
        <v>75859</v>
      </c>
      <c r="K49" s="850">
        <f t="shared" si="7"/>
        <v>41829</v>
      </c>
      <c r="L49" s="2304">
        <f>'6A - 4% Building'!K58</f>
        <v>39246</v>
      </c>
      <c r="M49" s="2312">
        <f>'6A - 4% Building'!S58</f>
        <v>2583</v>
      </c>
      <c r="N49" s="462"/>
      <c r="O49" s="844">
        <f t="shared" si="8"/>
        <v>34030</v>
      </c>
      <c r="P49" s="2304">
        <f>'6A - 9% Building'!K58</f>
        <v>20128</v>
      </c>
      <c r="Q49" s="2306">
        <f>'6A - 9% Building'!S58</f>
        <v>13902</v>
      </c>
      <c r="R49" s="409"/>
    </row>
    <row r="50" spans="2:18" x14ac:dyDescent="0.3">
      <c r="B50" s="451"/>
      <c r="C50" s="45"/>
      <c r="D50" s="44" t="s">
        <v>178</v>
      </c>
      <c r="E50" s="44"/>
      <c r="F50" s="44"/>
      <c r="G50" s="44"/>
      <c r="H50" s="44"/>
      <c r="I50" s="834">
        <f t="shared" si="6"/>
        <v>1.5985001444357213E-3</v>
      </c>
      <c r="J50" s="2303">
        <f>'6A - 4% Building'!J59+'6A - 9% Building'!J59</f>
        <v>157607</v>
      </c>
      <c r="K50" s="850">
        <f t="shared" si="7"/>
        <v>86447</v>
      </c>
      <c r="L50" s="2304">
        <f>'6A - 4% Building'!K59</f>
        <v>81109</v>
      </c>
      <c r="M50" s="2312">
        <f>'6A - 4% Building'!S59</f>
        <v>5338</v>
      </c>
      <c r="N50" s="462"/>
      <c r="O50" s="844">
        <f t="shared" si="8"/>
        <v>71160</v>
      </c>
      <c r="P50" s="2304">
        <f>'6A - 9% Building'!K59</f>
        <v>41619</v>
      </c>
      <c r="Q50" s="2306">
        <f>'6A - 9% Building'!S59</f>
        <v>29541</v>
      </c>
      <c r="R50" s="409"/>
    </row>
    <row r="51" spans="2:18" x14ac:dyDescent="0.3">
      <c r="B51" s="451"/>
      <c r="C51" s="45"/>
      <c r="D51" s="50" t="s">
        <v>179</v>
      </c>
      <c r="E51" s="50"/>
      <c r="F51" s="50"/>
      <c r="G51" s="50"/>
      <c r="H51" s="50"/>
      <c r="I51" s="834">
        <f t="shared" si="6"/>
        <v>4.259773110731141E-2</v>
      </c>
      <c r="J51" s="2303">
        <f>'6A - 4% Building'!J60+'6A - 9% Building'!J60</f>
        <v>4200000</v>
      </c>
      <c r="K51" s="850">
        <f t="shared" si="7"/>
        <v>3597247</v>
      </c>
      <c r="L51" s="2304">
        <f>'6A - 4% Building'!K60</f>
        <v>3577247</v>
      </c>
      <c r="M51" s="2312">
        <f>'6A - 4% Building'!S60</f>
        <v>20000</v>
      </c>
      <c r="N51" s="462"/>
      <c r="O51" s="844">
        <f t="shared" si="8"/>
        <v>602753</v>
      </c>
      <c r="P51" s="2304">
        <f>'6A - 9% Building'!K60</f>
        <v>352753</v>
      </c>
      <c r="Q51" s="2306">
        <f>'6A - 9% Building'!S60</f>
        <v>250000</v>
      </c>
      <c r="R51" s="409"/>
    </row>
    <row r="52" spans="2:18" x14ac:dyDescent="0.3">
      <c r="B52" s="451"/>
      <c r="C52" s="45"/>
      <c r="D52" s="50" t="s">
        <v>180</v>
      </c>
      <c r="E52" s="50"/>
      <c r="F52" s="50"/>
      <c r="G52" s="50"/>
      <c r="H52" s="50"/>
      <c r="I52" s="834">
        <f t="shared" si="6"/>
        <v>2.8398487404874273E-3</v>
      </c>
      <c r="J52" s="2303">
        <f>'6A - 4% Building'!J61+'6A - 9% Building'!J61</f>
        <v>280000</v>
      </c>
      <c r="K52" s="850">
        <f t="shared" si="7"/>
        <v>188440</v>
      </c>
      <c r="L52" s="2304">
        <f>'6A - 4% Building'!K61</f>
        <v>178440</v>
      </c>
      <c r="M52" s="2312">
        <f>'6A - 4% Building'!S61</f>
        <v>10000</v>
      </c>
      <c r="N52" s="462"/>
      <c r="O52" s="844">
        <f t="shared" si="8"/>
        <v>91560</v>
      </c>
      <c r="P52" s="2304">
        <f>'6A - 9% Building'!K61</f>
        <v>91560</v>
      </c>
      <c r="Q52" s="2306">
        <f>'6A - 9% Building'!S61</f>
        <v>0</v>
      </c>
      <c r="R52" s="409"/>
    </row>
    <row r="53" spans="2:18" x14ac:dyDescent="0.3">
      <c r="B53" s="451"/>
      <c r="C53" s="45"/>
      <c r="D53" s="50" t="s">
        <v>181</v>
      </c>
      <c r="E53" s="50"/>
      <c r="F53" s="50"/>
      <c r="G53" s="50"/>
      <c r="H53" s="50"/>
      <c r="I53" s="834">
        <f t="shared" si="6"/>
        <v>1.6492117290872826E-3</v>
      </c>
      <c r="J53" s="2303">
        <f>'6A - 4% Building'!J62+'6A - 9% Building'!J62</f>
        <v>162607</v>
      </c>
      <c r="K53" s="850">
        <f t="shared" si="7"/>
        <v>89236</v>
      </c>
      <c r="L53" s="2316">
        <f>'6A - 4% Building'!K62</f>
        <v>83725</v>
      </c>
      <c r="M53" s="2317">
        <f>'6A - 4% Building'!S62</f>
        <v>5511</v>
      </c>
      <c r="N53" s="462"/>
      <c r="O53" s="844">
        <f t="shared" si="8"/>
        <v>73371</v>
      </c>
      <c r="P53" s="2316">
        <f>'6A - 9% Building'!K62</f>
        <v>42961</v>
      </c>
      <c r="Q53" s="2318">
        <f>'6A - 9% Building'!S62</f>
        <v>30410</v>
      </c>
      <c r="R53" s="409"/>
    </row>
    <row r="54" spans="2:18" x14ac:dyDescent="0.3">
      <c r="B54" s="451"/>
      <c r="C54" s="45"/>
      <c r="D54" s="83" t="s">
        <v>182</v>
      </c>
      <c r="E54" s="83"/>
      <c r="F54" s="83"/>
      <c r="G54" s="83"/>
      <c r="H54" s="83"/>
      <c r="I54" s="834">
        <f t="shared" si="6"/>
        <v>4.1450533639323791E-3</v>
      </c>
      <c r="J54" s="2303">
        <f>'6A - 4% Building'!J63+'6A - 9% Building'!J63</f>
        <v>408689</v>
      </c>
      <c r="K54" s="850">
        <f t="shared" si="7"/>
        <v>223089</v>
      </c>
      <c r="L54" s="2316">
        <f>'6A - 4% Building'!K63</f>
        <v>209312</v>
      </c>
      <c r="M54" s="2317">
        <f>'6A - 4% Building'!S63</f>
        <v>13777</v>
      </c>
      <c r="N54" s="462"/>
      <c r="O54" s="844">
        <f t="shared" si="8"/>
        <v>185600</v>
      </c>
      <c r="P54" s="2316">
        <f>'6A - 9% Building'!K63</f>
        <v>107402</v>
      </c>
      <c r="Q54" s="2318">
        <f>'6A - 9% Building'!S63</f>
        <v>78198</v>
      </c>
      <c r="R54" s="409"/>
    </row>
    <row r="55" spans="2:18" x14ac:dyDescent="0.3">
      <c r="B55" s="451"/>
      <c r="C55" s="45"/>
      <c r="D55" s="49" t="s">
        <v>226</v>
      </c>
      <c r="E55" s="49"/>
      <c r="F55" s="49"/>
      <c r="G55" s="49"/>
      <c r="H55" s="49"/>
      <c r="I55" s="838">
        <f t="shared" si="6"/>
        <v>3.7315713873174098E-3</v>
      </c>
      <c r="J55" s="2307">
        <f>'6A - 4% Building'!J64+'6A - 9% Building'!J64</f>
        <v>367921</v>
      </c>
      <c r="K55" s="852">
        <f t="shared" si="7"/>
        <v>111585</v>
      </c>
      <c r="L55" s="2308">
        <f>'6A - 4% Building'!K64</f>
        <v>52328</v>
      </c>
      <c r="M55" s="2319">
        <f>'6A - 4% Building'!S64</f>
        <v>59257</v>
      </c>
      <c r="N55" s="462"/>
      <c r="O55" s="856">
        <f t="shared" si="8"/>
        <v>256336</v>
      </c>
      <c r="P55" s="2308">
        <f>'6A - 9% Building'!K64</f>
        <v>26850</v>
      </c>
      <c r="Q55" s="2310">
        <f>'6A - 9% Building'!S64</f>
        <v>229486</v>
      </c>
      <c r="R55" s="409"/>
    </row>
    <row r="56" spans="2:18" ht="15" thickBot="1" x14ac:dyDescent="0.35">
      <c r="B56" s="451"/>
      <c r="C56" s="45"/>
      <c r="D56" s="44"/>
      <c r="E56" s="44"/>
      <c r="F56" s="44"/>
      <c r="G56" s="48" t="s">
        <v>153</v>
      </c>
      <c r="H56" s="48"/>
      <c r="I56" s="353">
        <f t="shared" si="6"/>
        <v>9.0134760417367954E-2</v>
      </c>
      <c r="J56" s="36">
        <f>SUM(J43:J55)</f>
        <v>8886999</v>
      </c>
      <c r="K56" s="22">
        <f>SUM(K43:K55)</f>
        <v>6175184</v>
      </c>
      <c r="L56" s="1449">
        <f>SUM(L43:L55)</f>
        <v>5875194</v>
      </c>
      <c r="M56" s="1450">
        <f>SUM(M43:M55)</f>
        <v>299990</v>
      </c>
      <c r="N56" s="463"/>
      <c r="O56" s="464">
        <f>SUM(O43:O55)</f>
        <v>2711815</v>
      </c>
      <c r="P56" s="1449">
        <f>SUM(P43:P55)</f>
        <v>1531858</v>
      </c>
      <c r="Q56" s="1451">
        <f>SUM(Q43:Q55)</f>
        <v>1179957</v>
      </c>
      <c r="R56" s="409"/>
    </row>
    <row r="57" spans="2:18" ht="3.75" customHeight="1" x14ac:dyDescent="0.3">
      <c r="B57" s="451"/>
      <c r="C57" s="44"/>
      <c r="D57" s="44"/>
      <c r="E57" s="44"/>
      <c r="F57" s="44"/>
      <c r="G57" s="44"/>
      <c r="H57" s="44"/>
      <c r="I57" s="410"/>
      <c r="J57" s="471"/>
      <c r="K57" s="472"/>
      <c r="L57" s="473"/>
      <c r="M57" s="362"/>
      <c r="N57" s="474"/>
      <c r="O57" s="362"/>
      <c r="P57" s="473"/>
      <c r="Q57" s="362"/>
      <c r="R57" s="409"/>
    </row>
    <row r="58" spans="2:18" ht="15" thickBot="1" x14ac:dyDescent="0.35">
      <c r="B58" s="451"/>
      <c r="C58" s="78" t="s">
        <v>183</v>
      </c>
      <c r="D58" s="78"/>
      <c r="E58" s="78"/>
      <c r="F58" s="78"/>
      <c r="G58" s="78"/>
      <c r="H58" s="47"/>
      <c r="I58" s="47"/>
      <c r="J58" s="47"/>
      <c r="K58" s="47"/>
      <c r="L58" s="453"/>
      <c r="M58" s="45"/>
      <c r="N58" s="457"/>
      <c r="O58" s="68"/>
      <c r="P58" s="460"/>
      <c r="Q58" s="460"/>
      <c r="R58" s="409"/>
    </row>
    <row r="59" spans="2:18" x14ac:dyDescent="0.3">
      <c r="B59" s="451"/>
      <c r="C59" s="45"/>
      <c r="D59" s="155" t="s">
        <v>184</v>
      </c>
      <c r="E59" s="155"/>
      <c r="F59" s="155"/>
      <c r="G59" s="155"/>
      <c r="H59" s="155"/>
      <c r="I59" s="830">
        <f>IFERROR(J59/J$113," ")</f>
        <v>0</v>
      </c>
      <c r="J59" s="2320">
        <f>'6A - 4% Building'!J68+'6A - 9% Building'!J68</f>
        <v>0</v>
      </c>
      <c r="K59" s="848">
        <f>SUM(L59:M59)</f>
        <v>0</v>
      </c>
      <c r="L59" s="2300">
        <f>'6A - 4% Building'!K68</f>
        <v>0</v>
      </c>
      <c r="M59" s="2311">
        <f>'6A - 4% Building'!S68</f>
        <v>0</v>
      </c>
      <c r="N59" s="461"/>
      <c r="O59" s="855">
        <f>SUM(P59:Q59)</f>
        <v>0</v>
      </c>
      <c r="P59" s="2300">
        <f>'6A - 9% Building'!K68</f>
        <v>0</v>
      </c>
      <c r="Q59" s="2302">
        <f>'6A - 9% Building'!S68</f>
        <v>0</v>
      </c>
      <c r="R59" s="409"/>
    </row>
    <row r="60" spans="2:18" x14ac:dyDescent="0.3">
      <c r="B60" s="451"/>
      <c r="C60" s="45"/>
      <c r="D60" s="44" t="s">
        <v>185</v>
      </c>
      <c r="E60" s="44"/>
      <c r="F60" s="44"/>
      <c r="G60" s="44"/>
      <c r="H60" s="44"/>
      <c r="I60" s="838">
        <f>IFERROR(J60/J$113," ")</f>
        <v>1.245178334924592E-3</v>
      </c>
      <c r="J60" s="2307">
        <f>'6A - 4% Building'!J69+'6A - 9% Building'!J69</f>
        <v>122770.6</v>
      </c>
      <c r="K60" s="852">
        <f>SUM(L60:M60)</f>
        <v>64138</v>
      </c>
      <c r="L60" s="2313">
        <f>'6A - 4% Building'!K69</f>
        <v>60177</v>
      </c>
      <c r="M60" s="2314">
        <f>'6A - 4% Building'!S69</f>
        <v>3961</v>
      </c>
      <c r="N60" s="462"/>
      <c r="O60" s="856">
        <f>SUM(P60:Q60)</f>
        <v>58632.6</v>
      </c>
      <c r="P60" s="2313">
        <f>'6A - 9% Building'!K69</f>
        <v>32566.6</v>
      </c>
      <c r="Q60" s="2315">
        <f>'6A - 9% Building'!S69</f>
        <v>26066</v>
      </c>
      <c r="R60" s="409"/>
    </row>
    <row r="61" spans="2:18" ht="15" thickBot="1" x14ac:dyDescent="0.35">
      <c r="B61" s="451"/>
      <c r="C61" s="45"/>
      <c r="D61" s="44"/>
      <c r="E61" s="44"/>
      <c r="F61" s="44"/>
      <c r="G61" s="48" t="s">
        <v>153</v>
      </c>
      <c r="H61" s="48"/>
      <c r="I61" s="353">
        <f>IFERROR(J61/J$113," ")</f>
        <v>1.245178334924592E-3</v>
      </c>
      <c r="J61" s="36">
        <f>SUM(J59:J60)</f>
        <v>122770.6</v>
      </c>
      <c r="K61" s="22">
        <f>SUM(K59:K60)</f>
        <v>64138</v>
      </c>
      <c r="L61" s="1449">
        <f>SUM(L59:L60)</f>
        <v>60177</v>
      </c>
      <c r="M61" s="1450">
        <f>SUM(M59:M60)</f>
        <v>3961</v>
      </c>
      <c r="N61" s="463"/>
      <c r="O61" s="464">
        <f>SUM(O59:O60)</f>
        <v>58632.6</v>
      </c>
      <c r="P61" s="1449">
        <f>SUM(P59:P60)</f>
        <v>32566.6</v>
      </c>
      <c r="Q61" s="1451">
        <f>SUM(Q59:Q60)</f>
        <v>26066</v>
      </c>
      <c r="R61" s="409"/>
    </row>
    <row r="62" spans="2:18" ht="3.75" customHeight="1" x14ac:dyDescent="0.3">
      <c r="B62" s="451"/>
      <c r="C62" s="44"/>
      <c r="D62" s="48"/>
      <c r="E62" s="48"/>
      <c r="F62" s="48"/>
      <c r="G62" s="48"/>
      <c r="H62" s="48"/>
      <c r="I62" s="453"/>
      <c r="J62" s="453"/>
      <c r="K62" s="45"/>
      <c r="L62" s="16"/>
      <c r="M62" s="16"/>
      <c r="N62" s="462"/>
      <c r="O62" s="16"/>
      <c r="P62" s="16"/>
      <c r="Q62" s="16"/>
      <c r="R62" s="409"/>
    </row>
    <row r="63" spans="2:18" ht="15" thickBot="1" x14ac:dyDescent="0.35">
      <c r="B63" s="451"/>
      <c r="C63" s="78" t="s">
        <v>186</v>
      </c>
      <c r="D63" s="78"/>
      <c r="E63" s="78"/>
      <c r="F63" s="78"/>
      <c r="G63" s="78"/>
      <c r="H63" s="47"/>
      <c r="I63" s="47"/>
      <c r="J63" s="47"/>
      <c r="K63" s="47"/>
      <c r="L63" s="453"/>
      <c r="M63" s="45"/>
      <c r="N63" s="457"/>
      <c r="O63" s="68"/>
      <c r="P63" s="460"/>
      <c r="Q63" s="460"/>
      <c r="R63" s="409"/>
    </row>
    <row r="64" spans="2:18" x14ac:dyDescent="0.3">
      <c r="B64" s="451"/>
      <c r="C64" s="45"/>
      <c r="D64" s="155" t="s">
        <v>187</v>
      </c>
      <c r="E64" s="155"/>
      <c r="F64" s="155"/>
      <c r="G64" s="155"/>
      <c r="H64" s="155"/>
      <c r="I64" s="830">
        <f t="shared" ref="I64:I69" si="9">IFERROR(J64/J$113," ")</f>
        <v>2.0284633860624479E-3</v>
      </c>
      <c r="J64" s="2299">
        <f>'6A - 4% Building'!J73+'6A - 9% Building'!J73</f>
        <v>200000</v>
      </c>
      <c r="K64" s="848">
        <f>SUM(L64:M64)</f>
        <v>80000</v>
      </c>
      <c r="L64" s="2300">
        <f>'6A - 4% Building'!K73</f>
        <v>70000</v>
      </c>
      <c r="M64" s="2311">
        <f>'6A - 4% Building'!S73</f>
        <v>10000</v>
      </c>
      <c r="N64" s="461"/>
      <c r="O64" s="855">
        <f>SUM(P64:Q64)</f>
        <v>120000</v>
      </c>
      <c r="P64" s="2300">
        <f>'6A - 9% Building'!K73</f>
        <v>70000</v>
      </c>
      <c r="Q64" s="2302">
        <f>'6A - 9% Building'!S73</f>
        <v>50000</v>
      </c>
      <c r="R64" s="409"/>
    </row>
    <row r="65" spans="2:18" x14ac:dyDescent="0.3">
      <c r="B65" s="451"/>
      <c r="C65" s="45"/>
      <c r="D65" s="44" t="s">
        <v>188</v>
      </c>
      <c r="E65" s="44"/>
      <c r="F65" s="44"/>
      <c r="G65" s="44"/>
      <c r="H65" s="44"/>
      <c r="I65" s="834">
        <f t="shared" si="9"/>
        <v>0</v>
      </c>
      <c r="J65" s="2303">
        <f>'6A - 4% Building'!J74+'6A - 9% Building'!J74</f>
        <v>0</v>
      </c>
      <c r="K65" s="850">
        <f>SUM(L65:M65)</f>
        <v>0</v>
      </c>
      <c r="L65" s="2304">
        <f>'6A - 4% Building'!K74</f>
        <v>0</v>
      </c>
      <c r="M65" s="2312">
        <f>'6A - 4% Building'!S74</f>
        <v>0</v>
      </c>
      <c r="N65" s="462"/>
      <c r="O65" s="844">
        <f>SUM(P65:Q65)</f>
        <v>0</v>
      </c>
      <c r="P65" s="2304">
        <f>'6A - 9% Building'!K74</f>
        <v>0</v>
      </c>
      <c r="Q65" s="2306">
        <f>'6A - 9% Building'!S74</f>
        <v>0</v>
      </c>
      <c r="R65" s="409"/>
    </row>
    <row r="66" spans="2:18" x14ac:dyDescent="0.3">
      <c r="B66" s="451"/>
      <c r="C66" s="45"/>
      <c r="D66" s="44" t="s">
        <v>189</v>
      </c>
      <c r="E66" s="44"/>
      <c r="F66" s="44"/>
      <c r="G66" s="44"/>
      <c r="H66" s="44"/>
      <c r="I66" s="834">
        <f t="shared" si="9"/>
        <v>6.3389480814451504E-4</v>
      </c>
      <c r="J66" s="2303">
        <f>'6A - 4% Building'!J75+'6A - 9% Building'!J75</f>
        <v>62500</v>
      </c>
      <c r="K66" s="850">
        <f>SUM(L66:M66)</f>
        <v>27500</v>
      </c>
      <c r="L66" s="2304">
        <f>'6A - 4% Building'!K75</f>
        <v>25000</v>
      </c>
      <c r="M66" s="2312">
        <f>'6A - 4% Building'!S75</f>
        <v>2500</v>
      </c>
      <c r="N66" s="462"/>
      <c r="O66" s="844">
        <f>SUM(P66:Q66)</f>
        <v>35000</v>
      </c>
      <c r="P66" s="2304">
        <f>'6A - 9% Building'!K75</f>
        <v>25000</v>
      </c>
      <c r="Q66" s="2306">
        <f>'6A - 9% Building'!S75</f>
        <v>10000</v>
      </c>
      <c r="R66" s="409"/>
    </row>
    <row r="67" spans="2:18" x14ac:dyDescent="0.3">
      <c r="B67" s="451"/>
      <c r="C67" s="45"/>
      <c r="D67" s="44" t="s">
        <v>190</v>
      </c>
      <c r="E67" s="44"/>
      <c r="F67" s="44"/>
      <c r="G67" s="44"/>
      <c r="H67" s="44"/>
      <c r="I67" s="834">
        <f t="shared" si="9"/>
        <v>9.7835527535363054E-3</v>
      </c>
      <c r="J67" s="2303">
        <f>'6A - 4% Building'!J76+'6A - 9% Building'!J76</f>
        <v>964627</v>
      </c>
      <c r="K67" s="850">
        <f>SUM(L67:M67)</f>
        <v>539627</v>
      </c>
      <c r="L67" s="2304">
        <f>'6A - 4% Building'!K76</f>
        <v>500000</v>
      </c>
      <c r="M67" s="2312">
        <f>'6A - 4% Building'!S76</f>
        <v>39627</v>
      </c>
      <c r="N67" s="462"/>
      <c r="O67" s="844">
        <f>SUM(P67:Q67)</f>
        <v>425000</v>
      </c>
      <c r="P67" s="2304">
        <f>'6A - 9% Building'!K76</f>
        <v>300000</v>
      </c>
      <c r="Q67" s="2306">
        <f>'6A - 9% Building'!S76</f>
        <v>125000</v>
      </c>
      <c r="R67" s="409"/>
    </row>
    <row r="68" spans="2:18" x14ac:dyDescent="0.3">
      <c r="B68" s="451"/>
      <c r="C68" s="45"/>
      <c r="D68" s="44" t="s">
        <v>191</v>
      </c>
      <c r="E68" s="44"/>
      <c r="F68" s="44"/>
      <c r="G68" s="44"/>
      <c r="H68" s="44"/>
      <c r="I68" s="838">
        <f t="shared" si="9"/>
        <v>4.1530759366242564E-3</v>
      </c>
      <c r="J68" s="2307">
        <f>'6A - 4% Building'!J77+'6A - 9% Building'!J77</f>
        <v>409480</v>
      </c>
      <c r="K68" s="862">
        <f>SUM(L68:M68)</f>
        <v>259480</v>
      </c>
      <c r="L68" s="2313">
        <f>'6A - 4% Building'!K77</f>
        <v>259480</v>
      </c>
      <c r="M68" s="2314">
        <f>'6A - 4% Building'!S77</f>
        <v>0</v>
      </c>
      <c r="N68" s="462"/>
      <c r="O68" s="856">
        <f>SUM(P68:Q68)</f>
        <v>150000</v>
      </c>
      <c r="P68" s="2313">
        <f>'6A - 9% Building'!K77</f>
        <v>150000</v>
      </c>
      <c r="Q68" s="2315">
        <f>'6A - 9% Building'!S77</f>
        <v>0</v>
      </c>
      <c r="R68" s="409"/>
    </row>
    <row r="69" spans="2:18" ht="15" thickBot="1" x14ac:dyDescent="0.35">
      <c r="B69" s="451"/>
      <c r="C69" s="45"/>
      <c r="D69" s="44"/>
      <c r="E69" s="44"/>
      <c r="F69" s="44"/>
      <c r="G69" s="48" t="s">
        <v>153</v>
      </c>
      <c r="H69" s="48"/>
      <c r="I69" s="353">
        <f t="shared" si="9"/>
        <v>1.6598986884367523E-2</v>
      </c>
      <c r="J69" s="36">
        <f>SUM(J64:J68)</f>
        <v>1636607</v>
      </c>
      <c r="K69" s="22">
        <f>SUM(K64:K68)</f>
        <v>906607</v>
      </c>
      <c r="L69" s="1449">
        <f>SUM(L64:L68)</f>
        <v>854480</v>
      </c>
      <c r="M69" s="1450">
        <f>SUM(M64:M68)</f>
        <v>52127</v>
      </c>
      <c r="N69" s="463"/>
      <c r="O69" s="464">
        <f>SUM(O64:O68)</f>
        <v>730000</v>
      </c>
      <c r="P69" s="1449">
        <f>SUM(P64:P68)</f>
        <v>545000</v>
      </c>
      <c r="Q69" s="1451">
        <f>SUM(Q64:Q68)</f>
        <v>185000</v>
      </c>
      <c r="R69" s="409"/>
    </row>
    <row r="70" spans="2:18" ht="9" customHeight="1" thickBot="1" x14ac:dyDescent="0.35">
      <c r="B70" s="466"/>
      <c r="C70" s="28"/>
      <c r="D70" s="31"/>
      <c r="E70" s="31"/>
      <c r="F70" s="31"/>
      <c r="G70" s="31"/>
      <c r="H70" s="31"/>
      <c r="I70" s="415"/>
      <c r="J70" s="467"/>
      <c r="K70" s="468"/>
      <c r="L70" s="29"/>
      <c r="M70" s="29"/>
      <c r="N70" s="470"/>
      <c r="O70" s="29"/>
      <c r="P70" s="29"/>
      <c r="Q70" s="29"/>
      <c r="R70" s="416"/>
    </row>
    <row r="71" spans="2:18" ht="15" thickBot="1" x14ac:dyDescent="0.35">
      <c r="B71" s="451"/>
      <c r="C71" s="78" t="s">
        <v>192</v>
      </c>
      <c r="D71" s="78"/>
      <c r="E71" s="78"/>
      <c r="F71" s="78"/>
      <c r="G71" s="78"/>
      <c r="H71" s="47"/>
      <c r="I71" s="47"/>
      <c r="J71" s="47"/>
      <c r="K71" s="47"/>
      <c r="L71" s="16"/>
      <c r="M71" s="16"/>
      <c r="N71" s="462"/>
      <c r="O71" s="16"/>
      <c r="P71" s="16"/>
      <c r="Q71" s="16"/>
      <c r="R71" s="409"/>
    </row>
    <row r="72" spans="2:18" x14ac:dyDescent="0.3">
      <c r="B72" s="451"/>
      <c r="C72" s="45"/>
      <c r="D72" s="155" t="s">
        <v>193</v>
      </c>
      <c r="E72" s="155"/>
      <c r="F72" s="155"/>
      <c r="G72" s="155"/>
      <c r="H72" s="155"/>
      <c r="I72" s="830">
        <f t="shared" ref="I72:I80" si="10">IFERROR(J72/J$113," ")</f>
        <v>1.2677896162890301E-3</v>
      </c>
      <c r="J72" s="2299">
        <f>'6A - 4% Building'!J81+'6A - 9% Building'!J81</f>
        <v>125000</v>
      </c>
      <c r="K72" s="848">
        <f t="shared" ref="K72:K79" si="11">SUM(L72:M72)</f>
        <v>100000</v>
      </c>
      <c r="L72" s="2300">
        <f>'6A - 4% Building'!K81</f>
        <v>70000</v>
      </c>
      <c r="M72" s="2311">
        <f>'6A - 4% Building'!S81</f>
        <v>30000</v>
      </c>
      <c r="N72" s="461"/>
      <c r="O72" s="855">
        <f t="shared" ref="O72:O79" si="12">SUM(P72:Q72)</f>
        <v>25000</v>
      </c>
      <c r="P72" s="2300">
        <f>'6A - 9% Building'!K81</f>
        <v>25000</v>
      </c>
      <c r="Q72" s="2302">
        <f>'6A - 9% Building'!S81</f>
        <v>0</v>
      </c>
      <c r="R72" s="409"/>
    </row>
    <row r="73" spans="2:18" x14ac:dyDescent="0.3">
      <c r="B73" s="451"/>
      <c r="C73" s="45"/>
      <c r="D73" s="44" t="s">
        <v>194</v>
      </c>
      <c r="E73" s="44"/>
      <c r="F73" s="44"/>
      <c r="G73" s="44"/>
      <c r="H73" s="44"/>
      <c r="I73" s="834">
        <f t="shared" si="10"/>
        <v>0</v>
      </c>
      <c r="J73" s="2303">
        <f>'6A - 4% Building'!J82+'6A - 9% Building'!J82</f>
        <v>0</v>
      </c>
      <c r="K73" s="850">
        <f t="shared" si="11"/>
        <v>0</v>
      </c>
      <c r="L73" s="2304">
        <f>'6A - 4% Building'!K82</f>
        <v>0</v>
      </c>
      <c r="M73" s="2312">
        <f>'6A - 4% Building'!S82</f>
        <v>0</v>
      </c>
      <c r="N73" s="462"/>
      <c r="O73" s="844">
        <f t="shared" si="12"/>
        <v>0</v>
      </c>
      <c r="P73" s="2304">
        <f>'6A - 9% Building'!K82</f>
        <v>0</v>
      </c>
      <c r="Q73" s="2306">
        <f>'6A - 9% Building'!S82</f>
        <v>0</v>
      </c>
      <c r="R73" s="409"/>
    </row>
    <row r="74" spans="2:18" x14ac:dyDescent="0.3">
      <c r="B74" s="451"/>
      <c r="C74" s="45"/>
      <c r="D74" s="44" t="s">
        <v>195</v>
      </c>
      <c r="E74" s="44"/>
      <c r="F74" s="44"/>
      <c r="G74" s="44"/>
      <c r="H74" s="44"/>
      <c r="I74" s="834">
        <f t="shared" si="10"/>
        <v>5.3247163884139262E-4</v>
      </c>
      <c r="J74" s="2303">
        <f>'6A - 4% Building'!J83+'6A - 9% Building'!J83</f>
        <v>52500</v>
      </c>
      <c r="K74" s="850">
        <f t="shared" si="11"/>
        <v>27500</v>
      </c>
      <c r="L74" s="2304">
        <f>'6A - 4% Building'!K83</f>
        <v>25000</v>
      </c>
      <c r="M74" s="2312">
        <f>'6A - 4% Building'!S83</f>
        <v>2500</v>
      </c>
      <c r="N74" s="462"/>
      <c r="O74" s="844">
        <f t="shared" si="12"/>
        <v>25000</v>
      </c>
      <c r="P74" s="2304">
        <f>'6A - 9% Building'!K83</f>
        <v>25000</v>
      </c>
      <c r="Q74" s="2306">
        <f>'6A - 9% Building'!S83</f>
        <v>0</v>
      </c>
      <c r="R74" s="409"/>
    </row>
    <row r="75" spans="2:18" x14ac:dyDescent="0.3">
      <c r="B75" s="451"/>
      <c r="C75" s="45"/>
      <c r="D75" s="49" t="s">
        <v>196</v>
      </c>
      <c r="E75" s="49"/>
      <c r="F75" s="49"/>
      <c r="G75" s="49"/>
      <c r="H75" s="49"/>
      <c r="I75" s="834">
        <f t="shared" si="10"/>
        <v>3.6005225102608454E-3</v>
      </c>
      <c r="J75" s="2303">
        <f>'6A - 4% Building'!J84+'6A - 9% Building'!J84</f>
        <v>355000</v>
      </c>
      <c r="K75" s="850">
        <f t="shared" si="11"/>
        <v>200000</v>
      </c>
      <c r="L75" s="2304">
        <f>'6A - 4% Building'!K84</f>
        <v>200000</v>
      </c>
      <c r="M75" s="2312">
        <f>'6A - 4% Building'!S84</f>
        <v>0</v>
      </c>
      <c r="N75" s="462"/>
      <c r="O75" s="844">
        <f t="shared" si="12"/>
        <v>155000</v>
      </c>
      <c r="P75" s="2304">
        <f>'6A - 9% Building'!K84</f>
        <v>155000</v>
      </c>
      <c r="Q75" s="2306">
        <f>'6A - 9% Building'!S84</f>
        <v>0</v>
      </c>
      <c r="R75" s="409"/>
    </row>
    <row r="76" spans="2:18" x14ac:dyDescent="0.3">
      <c r="B76" s="451"/>
      <c r="C76" s="45"/>
      <c r="D76" s="49" t="s">
        <v>197</v>
      </c>
      <c r="E76" s="49"/>
      <c r="F76" s="49"/>
      <c r="G76" s="49"/>
      <c r="H76" s="49"/>
      <c r="I76" s="834">
        <f t="shared" si="10"/>
        <v>8.1138535442497924E-4</v>
      </c>
      <c r="J76" s="2303">
        <f>'6A - 4% Building'!J85+'6A - 9% Building'!J85</f>
        <v>80000</v>
      </c>
      <c r="K76" s="850">
        <f t="shared" si="11"/>
        <v>40000</v>
      </c>
      <c r="L76" s="2304">
        <f>'6A - 4% Building'!K85</f>
        <v>40000</v>
      </c>
      <c r="M76" s="2312">
        <f>'6A - 4% Building'!S85</f>
        <v>0</v>
      </c>
      <c r="N76" s="462"/>
      <c r="O76" s="844">
        <f t="shared" si="12"/>
        <v>40000</v>
      </c>
      <c r="P76" s="2304">
        <f>'6A - 9% Building'!K85</f>
        <v>40000</v>
      </c>
      <c r="Q76" s="2306">
        <f>'6A - 9% Building'!S85</f>
        <v>0</v>
      </c>
      <c r="R76" s="409"/>
    </row>
    <row r="77" spans="2:18" x14ac:dyDescent="0.3">
      <c r="B77" s="451"/>
      <c r="C77" s="45"/>
      <c r="D77" s="49" t="s">
        <v>198</v>
      </c>
      <c r="E77" s="49"/>
      <c r="F77" s="49"/>
      <c r="G77" s="49"/>
      <c r="H77" s="49"/>
      <c r="I77" s="834">
        <f t="shared" si="10"/>
        <v>0</v>
      </c>
      <c r="J77" s="2303">
        <f>'6A - 4% Building'!J86+'6A - 9% Building'!J86</f>
        <v>0</v>
      </c>
      <c r="K77" s="850">
        <f t="shared" si="11"/>
        <v>0</v>
      </c>
      <c r="L77" s="2304">
        <f>'6A - 4% Building'!K86</f>
        <v>0</v>
      </c>
      <c r="M77" s="2312">
        <f>'6A - 4% Building'!S86</f>
        <v>0</v>
      </c>
      <c r="N77" s="462"/>
      <c r="O77" s="844">
        <f t="shared" si="12"/>
        <v>0</v>
      </c>
      <c r="P77" s="2304">
        <f>'6A - 9% Building'!K86</f>
        <v>0</v>
      </c>
      <c r="Q77" s="2306">
        <f>'6A - 9% Building'!S86</f>
        <v>0</v>
      </c>
      <c r="R77" s="409"/>
    </row>
    <row r="78" spans="2:18" x14ac:dyDescent="0.3">
      <c r="B78" s="451"/>
      <c r="C78" s="45"/>
      <c r="D78" s="50" t="s">
        <v>199</v>
      </c>
      <c r="E78" s="50"/>
      <c r="F78" s="50"/>
      <c r="G78" s="50"/>
      <c r="H78" s="50"/>
      <c r="I78" s="834">
        <f t="shared" si="10"/>
        <v>6.0853901581873441E-4</v>
      </c>
      <c r="J78" s="2303">
        <f>'6A - 4% Building'!J87+'6A - 9% Building'!J87</f>
        <v>60000</v>
      </c>
      <c r="K78" s="850">
        <f t="shared" si="11"/>
        <v>0</v>
      </c>
      <c r="L78" s="2304">
        <f>'6A - 4% Building'!K87</f>
        <v>0</v>
      </c>
      <c r="M78" s="2312">
        <f>'6A - 4% Building'!S87</f>
        <v>0</v>
      </c>
      <c r="N78" s="462"/>
      <c r="O78" s="844">
        <f t="shared" si="12"/>
        <v>60000</v>
      </c>
      <c r="P78" s="2304">
        <f>'6A - 9% Building'!K87</f>
        <v>60000</v>
      </c>
      <c r="Q78" s="2306">
        <f>'6A - 9% Building'!S87</f>
        <v>0</v>
      </c>
      <c r="R78" s="409"/>
    </row>
    <row r="79" spans="2:18" x14ac:dyDescent="0.3">
      <c r="B79" s="451"/>
      <c r="C79" s="45"/>
      <c r="D79" s="49" t="s">
        <v>226</v>
      </c>
      <c r="E79" s="49"/>
      <c r="F79" s="49"/>
      <c r="G79" s="49"/>
      <c r="H79" s="49"/>
      <c r="I79" s="838">
        <f t="shared" si="10"/>
        <v>9.6354039301352345E-4</v>
      </c>
      <c r="J79" s="2307">
        <f>'6A - 4% Building'!J88+'6A - 9% Building'!J88</f>
        <v>95002</v>
      </c>
      <c r="K79" s="862">
        <f t="shared" si="11"/>
        <v>43943</v>
      </c>
      <c r="L79" s="2313">
        <f>'6A - 4% Building'!K88</f>
        <v>38082</v>
      </c>
      <c r="M79" s="2314">
        <f>'6A - 4% Building'!S88</f>
        <v>5861</v>
      </c>
      <c r="N79" s="462"/>
      <c r="O79" s="856">
        <f t="shared" si="12"/>
        <v>51059</v>
      </c>
      <c r="P79" s="2313">
        <f>'6A - 9% Building'!K88</f>
        <v>31714</v>
      </c>
      <c r="Q79" s="2315">
        <f>'6A - 9% Building'!S88</f>
        <v>19345</v>
      </c>
      <c r="R79" s="409"/>
    </row>
    <row r="80" spans="2:18" ht="15" thickBot="1" x14ac:dyDescent="0.35">
      <c r="B80" s="451"/>
      <c r="C80" s="45"/>
      <c r="D80" s="44"/>
      <c r="E80" s="44"/>
      <c r="F80" s="44"/>
      <c r="G80" s="48" t="s">
        <v>153</v>
      </c>
      <c r="H80" s="48"/>
      <c r="I80" s="353">
        <f t="shared" si="10"/>
        <v>7.7842485286485049E-3</v>
      </c>
      <c r="J80" s="36">
        <f>SUM(J72:J79)</f>
        <v>767502</v>
      </c>
      <c r="K80" s="22">
        <f>SUM(K72:K79)</f>
        <v>411443</v>
      </c>
      <c r="L80" s="1449">
        <f>SUM(L72:L79)</f>
        <v>373082</v>
      </c>
      <c r="M80" s="1450">
        <f>SUM(M72:M79)</f>
        <v>38361</v>
      </c>
      <c r="N80" s="463"/>
      <c r="O80" s="464">
        <f>SUM(O72:O79)</f>
        <v>356059</v>
      </c>
      <c r="P80" s="1449">
        <f>SUM(P72:P79)</f>
        <v>336714</v>
      </c>
      <c r="Q80" s="1451">
        <f>SUM(Q72:Q79)</f>
        <v>19345</v>
      </c>
      <c r="R80" s="409"/>
    </row>
    <row r="81" spans="2:18" ht="3.75" customHeight="1" x14ac:dyDescent="0.3">
      <c r="B81" s="451"/>
      <c r="C81" s="44"/>
      <c r="D81" s="44"/>
      <c r="E81" s="44"/>
      <c r="F81" s="44"/>
      <c r="G81" s="44"/>
      <c r="H81" s="44"/>
      <c r="I81" s="453"/>
      <c r="J81" s="465"/>
      <c r="K81" s="45"/>
      <c r="L81" s="16"/>
      <c r="M81" s="16"/>
      <c r="N81" s="462"/>
      <c r="O81" s="16"/>
      <c r="P81" s="16"/>
      <c r="Q81" s="16"/>
      <c r="R81" s="409"/>
    </row>
    <row r="82" spans="2:18" ht="15" thickBot="1" x14ac:dyDescent="0.35">
      <c r="B82" s="451"/>
      <c r="C82" s="78" t="s">
        <v>200</v>
      </c>
      <c r="D82" s="78"/>
      <c r="E82" s="78"/>
      <c r="F82" s="78"/>
      <c r="G82" s="78"/>
      <c r="H82" s="47"/>
      <c r="I82" s="47"/>
      <c r="J82" s="47"/>
      <c r="K82" s="47"/>
      <c r="L82" s="475"/>
      <c r="M82" s="19"/>
      <c r="N82" s="462"/>
      <c r="O82" s="19"/>
      <c r="P82" s="19"/>
      <c r="Q82" s="19"/>
      <c r="R82" s="409"/>
    </row>
    <row r="83" spans="2:18" x14ac:dyDescent="0.3">
      <c r="B83" s="451"/>
      <c r="C83" s="45"/>
      <c r="D83" s="156" t="s">
        <v>201</v>
      </c>
      <c r="E83" s="156"/>
      <c r="F83" s="156"/>
      <c r="G83" s="156"/>
      <c r="H83" s="156"/>
      <c r="I83" s="830">
        <f>IFERROR(J83/J$113," ")</f>
        <v>9.0266620679778937E-3</v>
      </c>
      <c r="J83" s="2299">
        <f>'6A - 4% Building'!J92+'6A - 9% Building'!J92</f>
        <v>890000</v>
      </c>
      <c r="K83" s="848">
        <f>SUM(L83:M83)</f>
        <v>615000</v>
      </c>
      <c r="L83" s="2300">
        <f>'6A - 4% Building'!K92</f>
        <v>615000</v>
      </c>
      <c r="M83" s="2311">
        <f>'6A - 4% Building'!S92</f>
        <v>0</v>
      </c>
      <c r="N83" s="461"/>
      <c r="O83" s="855">
        <f>SUM(P83:Q83)</f>
        <v>275000</v>
      </c>
      <c r="P83" s="2300">
        <f>'6A - 9% Building'!K92</f>
        <v>275000</v>
      </c>
      <c r="Q83" s="2302">
        <f>'6A - 9% Building'!S92</f>
        <v>0</v>
      </c>
      <c r="R83" s="409"/>
    </row>
    <row r="84" spans="2:18" x14ac:dyDescent="0.3">
      <c r="B84" s="451"/>
      <c r="C84" s="45"/>
      <c r="D84" s="50" t="s">
        <v>202</v>
      </c>
      <c r="E84" s="50"/>
      <c r="F84" s="50"/>
      <c r="G84" s="50"/>
      <c r="H84" s="50"/>
      <c r="I84" s="834">
        <f>IFERROR(J84/J$113," ")</f>
        <v>0</v>
      </c>
      <c r="J84" s="2303">
        <f>'6A - 4% Building'!J93+'6A - 9% Building'!J93</f>
        <v>0</v>
      </c>
      <c r="K84" s="850">
        <f>SUM(L84:M84)</f>
        <v>0</v>
      </c>
      <c r="L84" s="2304">
        <f>'6A - 4% Building'!K93</f>
        <v>0</v>
      </c>
      <c r="M84" s="2312">
        <f>'6A - 4% Building'!S93</f>
        <v>0</v>
      </c>
      <c r="N84" s="462"/>
      <c r="O84" s="844">
        <f>SUM(P84:Q84)</f>
        <v>0</v>
      </c>
      <c r="P84" s="2304">
        <f>'6A - 9% Building'!K93</f>
        <v>0</v>
      </c>
      <c r="Q84" s="2306">
        <f>'6A - 9% Building'!S93</f>
        <v>0</v>
      </c>
      <c r="R84" s="409"/>
    </row>
    <row r="85" spans="2:18" x14ac:dyDescent="0.3">
      <c r="B85" s="451"/>
      <c r="C85" s="45"/>
      <c r="D85" s="49" t="s">
        <v>226</v>
      </c>
      <c r="E85" s="49"/>
      <c r="F85" s="49"/>
      <c r="G85" s="49"/>
      <c r="H85" s="49"/>
      <c r="I85" s="838">
        <f>IFERROR(J85/J$113," ")</f>
        <v>0</v>
      </c>
      <c r="J85" s="2307">
        <f>'6A - 4% Building'!J94+'6A - 9% Building'!J94</f>
        <v>0</v>
      </c>
      <c r="K85" s="862">
        <f>SUM(L85:M85)</f>
        <v>0</v>
      </c>
      <c r="L85" s="2313">
        <f>'6A - 4% Building'!K94</f>
        <v>0</v>
      </c>
      <c r="M85" s="2314">
        <f>'6A - 4% Building'!S94</f>
        <v>0</v>
      </c>
      <c r="N85" s="462"/>
      <c r="O85" s="856">
        <f>SUM(P85:Q85)</f>
        <v>0</v>
      </c>
      <c r="P85" s="2313">
        <f>'6A - 9% Building'!K94</f>
        <v>0</v>
      </c>
      <c r="Q85" s="2315">
        <f>'6A - 9% Building'!S94</f>
        <v>0</v>
      </c>
      <c r="R85" s="409"/>
    </row>
    <row r="86" spans="2:18" ht="15" thickBot="1" x14ac:dyDescent="0.35">
      <c r="B86" s="451"/>
      <c r="C86" s="45"/>
      <c r="D86" s="44"/>
      <c r="E86" s="44"/>
      <c r="F86" s="44"/>
      <c r="G86" s="48" t="s">
        <v>153</v>
      </c>
      <c r="H86" s="48"/>
      <c r="I86" s="353">
        <f>IFERROR(J86/J$113," ")</f>
        <v>9.0266620679778937E-3</v>
      </c>
      <c r="J86" s="36">
        <f>SUM(J83:J85)</f>
        <v>890000</v>
      </c>
      <c r="K86" s="22">
        <f>SUM(K83:K85)</f>
        <v>615000</v>
      </c>
      <c r="L86" s="1449">
        <f>SUM(L83:L85)</f>
        <v>615000</v>
      </c>
      <c r="M86" s="1450">
        <f>SUM(M83:M85)</f>
        <v>0</v>
      </c>
      <c r="N86" s="463"/>
      <c r="O86" s="464">
        <f>SUM(O83:O85)</f>
        <v>275000</v>
      </c>
      <c r="P86" s="1449">
        <f>SUM(P83:P85)</f>
        <v>275000</v>
      </c>
      <c r="Q86" s="1451">
        <f>SUM(Q83:Q85)</f>
        <v>0</v>
      </c>
      <c r="R86" s="409"/>
    </row>
    <row r="87" spans="2:18" ht="3.75" customHeight="1" x14ac:dyDescent="0.3">
      <c r="B87" s="451"/>
      <c r="C87" s="44"/>
      <c r="D87" s="44"/>
      <c r="E87" s="44"/>
      <c r="F87" s="44"/>
      <c r="G87" s="44"/>
      <c r="H87" s="44"/>
      <c r="I87" s="453"/>
      <c r="J87" s="465"/>
      <c r="K87" s="45"/>
      <c r="L87" s="76"/>
      <c r="M87" s="76"/>
      <c r="N87" s="462"/>
      <c r="O87" s="76"/>
      <c r="P87" s="76"/>
      <c r="Q87" s="76"/>
      <c r="R87" s="409"/>
    </row>
    <row r="88" spans="2:18" ht="15" thickBot="1" x14ac:dyDescent="0.35">
      <c r="B88" s="451"/>
      <c r="C88" s="78" t="s">
        <v>203</v>
      </c>
      <c r="D88" s="78"/>
      <c r="E88" s="78"/>
      <c r="F88" s="78"/>
      <c r="G88" s="78"/>
      <c r="H88" s="47"/>
      <c r="I88" s="47"/>
      <c r="J88" s="47"/>
      <c r="K88" s="47"/>
      <c r="L88" s="19"/>
      <c r="M88" s="19"/>
      <c r="N88" s="462"/>
      <c r="O88" s="19"/>
      <c r="P88" s="19"/>
      <c r="Q88" s="19"/>
      <c r="R88" s="409"/>
    </row>
    <row r="89" spans="2:18" x14ac:dyDescent="0.3">
      <c r="B89" s="451"/>
      <c r="C89" s="45"/>
      <c r="D89" s="156" t="s">
        <v>204</v>
      </c>
      <c r="E89" s="156"/>
      <c r="F89" s="156"/>
      <c r="G89" s="156"/>
      <c r="H89" s="156"/>
      <c r="I89" s="830">
        <f t="shared" ref="I89:I100" si="13">IFERROR(J89/J$113," ")</f>
        <v>1.3185012009405913E-3</v>
      </c>
      <c r="J89" s="2299">
        <f>'6A - 4% Building'!J98+'6A - 9% Building'!J98</f>
        <v>130000</v>
      </c>
      <c r="K89" s="848">
        <f t="shared" ref="K89:K99" si="14">SUM(L89:M89)</f>
        <v>72504</v>
      </c>
      <c r="L89" s="2300">
        <f>'6A - 4% Building'!K98</f>
        <v>68027</v>
      </c>
      <c r="M89" s="2311">
        <f>'6A - 4% Building'!S98</f>
        <v>4477</v>
      </c>
      <c r="N89" s="461"/>
      <c r="O89" s="855">
        <f t="shared" ref="O89:O99" si="15">SUM(P89:Q89)</f>
        <v>57496</v>
      </c>
      <c r="P89" s="2300">
        <f>'6A - 9% Building'!K98</f>
        <v>34906</v>
      </c>
      <c r="Q89" s="2302">
        <f>'6A - 9% Building'!S98</f>
        <v>22590</v>
      </c>
      <c r="R89" s="409"/>
    </row>
    <row r="90" spans="2:18" x14ac:dyDescent="0.3">
      <c r="B90" s="451"/>
      <c r="C90" s="45"/>
      <c r="D90" s="50" t="s">
        <v>205</v>
      </c>
      <c r="E90" s="50"/>
      <c r="F90" s="50"/>
      <c r="G90" s="50"/>
      <c r="H90" s="50"/>
      <c r="I90" s="834">
        <f t="shared" si="13"/>
        <v>4.0726575056838103E-3</v>
      </c>
      <c r="J90" s="2303">
        <f>'6A - 4% Building'!J99+'6A - 9% Building'!J99</f>
        <v>401551</v>
      </c>
      <c r="K90" s="850">
        <f t="shared" si="14"/>
        <v>220757</v>
      </c>
      <c r="L90" s="2304">
        <f>'6A - 4% Building'!K99</f>
        <v>207124</v>
      </c>
      <c r="M90" s="2312">
        <f>'6A - 4% Building'!S99</f>
        <v>13633</v>
      </c>
      <c r="N90" s="462"/>
      <c r="O90" s="844">
        <f t="shared" si="15"/>
        <v>180794</v>
      </c>
      <c r="P90" s="2304">
        <f>'6A - 9% Building'!K99</f>
        <v>106279</v>
      </c>
      <c r="Q90" s="2306">
        <f>'6A - 9% Building'!S99</f>
        <v>74515</v>
      </c>
      <c r="R90" s="409"/>
    </row>
    <row r="91" spans="2:18" x14ac:dyDescent="0.3">
      <c r="B91" s="451"/>
      <c r="C91" s="45"/>
      <c r="D91" s="50" t="s">
        <v>103</v>
      </c>
      <c r="E91" s="50"/>
      <c r="F91" s="50"/>
      <c r="G91" s="50"/>
      <c r="H91" s="50"/>
      <c r="I91" s="834">
        <f t="shared" si="13"/>
        <v>0</v>
      </c>
      <c r="J91" s="2303">
        <f>'6A - 4% Building'!J100+'6A - 9% Building'!J100</f>
        <v>0</v>
      </c>
      <c r="K91" s="850">
        <f t="shared" si="14"/>
        <v>0</v>
      </c>
      <c r="L91" s="2304">
        <f>'6A - 4% Building'!K100</f>
        <v>0</v>
      </c>
      <c r="M91" s="2312">
        <f>'6A - 4% Building'!S100</f>
        <v>0</v>
      </c>
      <c r="N91" s="462"/>
      <c r="O91" s="844">
        <f t="shared" si="15"/>
        <v>0</v>
      </c>
      <c r="P91" s="2304">
        <f>'6A - 9% Building'!K100</f>
        <v>0</v>
      </c>
      <c r="Q91" s="2306">
        <f>'6A - 9% Building'!S100</f>
        <v>0</v>
      </c>
      <c r="R91" s="409"/>
    </row>
    <row r="92" spans="2:18" x14ac:dyDescent="0.3">
      <c r="B92" s="451"/>
      <c r="C92" s="45"/>
      <c r="D92" s="50" t="s">
        <v>206</v>
      </c>
      <c r="E92" s="50"/>
      <c r="F92" s="50"/>
      <c r="G92" s="50"/>
      <c r="H92" s="50"/>
      <c r="I92" s="834">
        <f t="shared" si="13"/>
        <v>0</v>
      </c>
      <c r="J92" s="2303">
        <f>'6A - 4% Building'!J101+'6A - 9% Building'!J101</f>
        <v>0</v>
      </c>
      <c r="K92" s="850">
        <f t="shared" si="14"/>
        <v>0</v>
      </c>
      <c r="L92" s="2304">
        <f>'6A - 4% Building'!K101</f>
        <v>0</v>
      </c>
      <c r="M92" s="2312">
        <f>'6A - 4% Building'!S101</f>
        <v>0</v>
      </c>
      <c r="N92" s="462"/>
      <c r="O92" s="844">
        <f t="shared" si="15"/>
        <v>0</v>
      </c>
      <c r="P92" s="2304">
        <f>'6A - 9% Building'!K101</f>
        <v>0</v>
      </c>
      <c r="Q92" s="2306">
        <f>'6A - 9% Building'!S101</f>
        <v>0</v>
      </c>
      <c r="R92" s="409"/>
    </row>
    <row r="93" spans="2:18" x14ac:dyDescent="0.3">
      <c r="B93" s="451"/>
      <c r="C93" s="45"/>
      <c r="D93" s="50" t="s">
        <v>207</v>
      </c>
      <c r="E93" s="50"/>
      <c r="F93" s="50"/>
      <c r="G93" s="354" t="str">
        <f>IF(AND(J93&lt;&gt;0,'6E - 4% Building'!H60=0),"Complete Form 6E","")</f>
        <v/>
      </c>
      <c r="H93" s="50"/>
      <c r="I93" s="834">
        <f t="shared" si="13"/>
        <v>2.3405445064715417E-2</v>
      </c>
      <c r="J93" s="2303">
        <f>'6A - 4% Building'!J102+'6A - 9% Building'!J102</f>
        <v>2307702</v>
      </c>
      <c r="K93" s="850">
        <f t="shared" si="14"/>
        <v>1438643</v>
      </c>
      <c r="L93" s="2304">
        <f>'6A - 4% Building'!K102</f>
        <v>1405400</v>
      </c>
      <c r="M93" s="2312">
        <f>'6A - 4% Building'!S102</f>
        <v>33243</v>
      </c>
      <c r="N93" s="462"/>
      <c r="O93" s="844">
        <f t="shared" si="15"/>
        <v>869059</v>
      </c>
      <c r="P93" s="2304">
        <f>'6A - 9% Building'!K102</f>
        <v>679614</v>
      </c>
      <c r="Q93" s="2306">
        <f>'6A - 9% Building'!S102</f>
        <v>189445</v>
      </c>
      <c r="R93" s="409"/>
    </row>
    <row r="94" spans="2:18" x14ac:dyDescent="0.3">
      <c r="B94" s="451"/>
      <c r="C94" s="45"/>
      <c r="D94" s="49" t="s">
        <v>208</v>
      </c>
      <c r="E94" s="49"/>
      <c r="F94" s="49"/>
      <c r="G94" s="354" t="str">
        <f>IF(AND(J94&lt;&gt;0,'6E - 4% Building'!H60=0),"Complete Form 6E","")</f>
        <v/>
      </c>
      <c r="H94" s="49"/>
      <c r="I94" s="834">
        <f t="shared" si="13"/>
        <v>0</v>
      </c>
      <c r="J94" s="2303">
        <f>'6A - 4% Building'!J103+'6A - 9% Building'!J103</f>
        <v>0</v>
      </c>
      <c r="K94" s="850">
        <f t="shared" si="14"/>
        <v>0</v>
      </c>
      <c r="L94" s="2304">
        <f>'6A - 4% Building'!K103</f>
        <v>0</v>
      </c>
      <c r="M94" s="2312">
        <f>'6A - 4% Building'!S103</f>
        <v>0</v>
      </c>
      <c r="N94" s="462"/>
      <c r="O94" s="844">
        <f t="shared" si="15"/>
        <v>0</v>
      </c>
      <c r="P94" s="2304">
        <f>'6A - 9% Building'!K103</f>
        <v>0</v>
      </c>
      <c r="Q94" s="2306">
        <f>'6A - 9% Building'!S103</f>
        <v>0</v>
      </c>
      <c r="R94" s="409"/>
    </row>
    <row r="95" spans="2:18" x14ac:dyDescent="0.3">
      <c r="B95" s="451"/>
      <c r="C95" s="45"/>
      <c r="D95" s="49" t="s">
        <v>209</v>
      </c>
      <c r="E95" s="49"/>
      <c r="F95" s="49"/>
      <c r="G95" s="49"/>
      <c r="H95" s="49"/>
      <c r="I95" s="834">
        <f t="shared" si="13"/>
        <v>0</v>
      </c>
      <c r="J95" s="2303">
        <f>'6A - 4% Building'!J104+'6A - 9% Building'!J104</f>
        <v>0</v>
      </c>
      <c r="K95" s="850">
        <f t="shared" si="14"/>
        <v>0</v>
      </c>
      <c r="L95" s="2304">
        <f>'6A - 4% Building'!K104</f>
        <v>0</v>
      </c>
      <c r="M95" s="2312">
        <f>'6A - 4% Building'!S104</f>
        <v>0</v>
      </c>
      <c r="N95" s="462"/>
      <c r="O95" s="844">
        <f t="shared" si="15"/>
        <v>0</v>
      </c>
      <c r="P95" s="2304">
        <f>'6A - 9% Building'!K104</f>
        <v>0</v>
      </c>
      <c r="Q95" s="2306">
        <f>'6A - 9% Building'!S104</f>
        <v>0</v>
      </c>
      <c r="R95" s="409"/>
    </row>
    <row r="96" spans="2:18" x14ac:dyDescent="0.3">
      <c r="B96" s="451"/>
      <c r="C96" s="45"/>
      <c r="D96" s="49" t="s">
        <v>210</v>
      </c>
      <c r="E96" s="49"/>
      <c r="F96" s="49"/>
      <c r="G96" s="49"/>
      <c r="H96" s="49"/>
      <c r="I96" s="834">
        <f t="shared" si="13"/>
        <v>2.5355792325780599E-4</v>
      </c>
      <c r="J96" s="2303">
        <f>'6A - 4% Building'!J105+'6A - 9% Building'!J105</f>
        <v>25000</v>
      </c>
      <c r="K96" s="850">
        <f t="shared" si="14"/>
        <v>0</v>
      </c>
      <c r="L96" s="2304">
        <f>'6A - 4% Building'!K105</f>
        <v>0</v>
      </c>
      <c r="M96" s="2312">
        <f>'6A - 4% Building'!S105</f>
        <v>0</v>
      </c>
      <c r="N96" s="462"/>
      <c r="O96" s="844">
        <f t="shared" si="15"/>
        <v>25000</v>
      </c>
      <c r="P96" s="2304">
        <f>'6A - 9% Building'!K105</f>
        <v>25000</v>
      </c>
      <c r="Q96" s="2306">
        <f>'6A - 9% Building'!S105</f>
        <v>0</v>
      </c>
      <c r="R96" s="409"/>
    </row>
    <row r="97" spans="2:18" x14ac:dyDescent="0.3">
      <c r="B97" s="451"/>
      <c r="C97" s="45"/>
      <c r="D97" s="50" t="s">
        <v>211</v>
      </c>
      <c r="E97" s="50"/>
      <c r="F97" s="50"/>
      <c r="G97" s="50"/>
      <c r="H97" s="50"/>
      <c r="I97" s="834">
        <f t="shared" si="13"/>
        <v>3.0934066637452334E-4</v>
      </c>
      <c r="J97" s="2303">
        <f>'6A - 4% Building'!J106+'6A - 9% Building'!J106</f>
        <v>30500</v>
      </c>
      <c r="K97" s="850">
        <f t="shared" si="14"/>
        <v>13500</v>
      </c>
      <c r="L97" s="2304">
        <f>'6A - 4% Building'!K106</f>
        <v>8500</v>
      </c>
      <c r="M97" s="2312">
        <f>'6A - 4% Building'!S106</f>
        <v>5000</v>
      </c>
      <c r="N97" s="462"/>
      <c r="O97" s="844">
        <f t="shared" si="15"/>
        <v>17000</v>
      </c>
      <c r="P97" s="2304">
        <f>'6A - 9% Building'!K106</f>
        <v>8500</v>
      </c>
      <c r="Q97" s="2306">
        <f>'6A - 9% Building'!S106</f>
        <v>8500</v>
      </c>
      <c r="R97" s="409"/>
    </row>
    <row r="98" spans="2:18" x14ac:dyDescent="0.3">
      <c r="B98" s="451"/>
      <c r="C98" s="45"/>
      <c r="D98" s="49" t="s">
        <v>212</v>
      </c>
      <c r="E98" s="49"/>
      <c r="F98" s="49"/>
      <c r="G98" s="49"/>
      <c r="H98" s="49"/>
      <c r="I98" s="834">
        <f t="shared" si="13"/>
        <v>1.3693142087614556E-3</v>
      </c>
      <c r="J98" s="2303">
        <f>'6A - 4% Building'!J107+'6A - 9% Building'!J107</f>
        <v>135010</v>
      </c>
      <c r="K98" s="850">
        <f t="shared" si="14"/>
        <v>89220</v>
      </c>
      <c r="L98" s="2304">
        <f>'6A - 4% Building'!K107</f>
        <v>89220</v>
      </c>
      <c r="M98" s="2312">
        <f>'6A - 4% Building'!S107</f>
        <v>0</v>
      </c>
      <c r="N98" s="462"/>
      <c r="O98" s="844">
        <f t="shared" si="15"/>
        <v>45790</v>
      </c>
      <c r="P98" s="2304">
        <f>'6A - 9% Building'!K107</f>
        <v>45790</v>
      </c>
      <c r="Q98" s="2306">
        <f>'6A - 9% Building'!S107</f>
        <v>0</v>
      </c>
      <c r="R98" s="409"/>
    </row>
    <row r="99" spans="2:18" x14ac:dyDescent="0.3">
      <c r="B99" s="451"/>
      <c r="C99" s="45"/>
      <c r="D99" s="50" t="s">
        <v>497</v>
      </c>
      <c r="E99" s="50"/>
      <c r="F99" s="50"/>
      <c r="G99" s="50"/>
      <c r="H99" s="50"/>
      <c r="I99" s="838">
        <f t="shared" si="13"/>
        <v>3.0954351271312956E-4</v>
      </c>
      <c r="J99" s="2307">
        <f>'6A - 4% Building'!J108+'6A - 9% Building'!J108</f>
        <v>30520</v>
      </c>
      <c r="K99" s="862">
        <f t="shared" si="14"/>
        <v>0</v>
      </c>
      <c r="L99" s="2313">
        <f>'6A - 4% Building'!K108</f>
        <v>0</v>
      </c>
      <c r="M99" s="2314">
        <f>'6A - 4% Building'!S108</f>
        <v>0</v>
      </c>
      <c r="N99" s="462"/>
      <c r="O99" s="856">
        <f t="shared" si="15"/>
        <v>30520</v>
      </c>
      <c r="P99" s="2313">
        <f>'6A - 9% Building'!K108</f>
        <v>30520</v>
      </c>
      <c r="Q99" s="2315">
        <f>'6A - 9% Building'!S108</f>
        <v>0</v>
      </c>
      <c r="R99" s="409"/>
    </row>
    <row r="100" spans="2:18" ht="15" thickBot="1" x14ac:dyDescent="0.35">
      <c r="B100" s="451"/>
      <c r="C100" s="45"/>
      <c r="D100" s="44"/>
      <c r="E100" s="44"/>
      <c r="F100" s="44"/>
      <c r="G100" s="48" t="s">
        <v>153</v>
      </c>
      <c r="H100" s="48"/>
      <c r="I100" s="353">
        <f t="shared" si="13"/>
        <v>3.1038360082446734E-2</v>
      </c>
      <c r="J100" s="36">
        <f>SUM(J89:J99)</f>
        <v>3060283</v>
      </c>
      <c r="K100" s="22">
        <f>SUM(K89:K99)</f>
        <v>1834624</v>
      </c>
      <c r="L100" s="1449">
        <f>SUM(L89:L99)</f>
        <v>1778271</v>
      </c>
      <c r="M100" s="1450">
        <f>SUM(M89:M99)</f>
        <v>56353</v>
      </c>
      <c r="N100" s="463"/>
      <c r="O100" s="464">
        <f>SUM(O89:O99)</f>
        <v>1225659</v>
      </c>
      <c r="P100" s="1449">
        <f>SUM(P89:P99)</f>
        <v>930609</v>
      </c>
      <c r="Q100" s="1451">
        <f>SUM(Q89:Q99)</f>
        <v>295050</v>
      </c>
      <c r="R100" s="409"/>
    </row>
    <row r="101" spans="2:18" ht="9" customHeight="1" thickBot="1" x14ac:dyDescent="0.35">
      <c r="B101" s="466"/>
      <c r="C101" s="30"/>
      <c r="D101" s="31"/>
      <c r="E101" s="31"/>
      <c r="F101" s="31"/>
      <c r="G101" s="31"/>
      <c r="H101" s="31"/>
      <c r="I101" s="415"/>
      <c r="J101" s="467"/>
      <c r="K101" s="476"/>
      <c r="L101" s="32"/>
      <c r="M101" s="32"/>
      <c r="N101" s="477"/>
      <c r="O101" s="32"/>
      <c r="P101" s="32"/>
      <c r="Q101" s="32"/>
      <c r="R101" s="416"/>
    </row>
    <row r="102" spans="2:18" ht="3.75" customHeight="1" x14ac:dyDescent="0.3">
      <c r="B102" s="451"/>
      <c r="C102" s="47"/>
      <c r="D102" s="48"/>
      <c r="E102" s="48"/>
      <c r="F102" s="48"/>
      <c r="G102" s="48"/>
      <c r="H102" s="48"/>
      <c r="I102" s="453"/>
      <c r="J102" s="453"/>
      <c r="K102" s="45"/>
      <c r="L102" s="16"/>
      <c r="M102" s="16"/>
      <c r="N102" s="462"/>
      <c r="O102" s="16"/>
      <c r="P102" s="16"/>
      <c r="Q102" s="16"/>
      <c r="R102" s="409"/>
    </row>
    <row r="103" spans="2:18" ht="15" thickBot="1" x14ac:dyDescent="0.35">
      <c r="B103" s="451"/>
      <c r="C103" s="78" t="s">
        <v>214</v>
      </c>
      <c r="D103" s="78"/>
      <c r="E103" s="78"/>
      <c r="F103" s="78"/>
      <c r="G103" s="78"/>
      <c r="H103" s="47"/>
      <c r="I103" s="47"/>
      <c r="J103" s="47"/>
      <c r="K103" s="47"/>
      <c r="L103" s="16"/>
      <c r="M103" s="16"/>
      <c r="N103" s="462"/>
      <c r="O103" s="16"/>
      <c r="P103" s="16"/>
      <c r="Q103" s="16"/>
      <c r="R103" s="409"/>
    </row>
    <row r="104" spans="2:18" x14ac:dyDescent="0.3">
      <c r="B104" s="451"/>
      <c r="C104" s="68"/>
      <c r="D104" s="155" t="s">
        <v>215</v>
      </c>
      <c r="E104" s="155"/>
      <c r="F104" s="155"/>
      <c r="G104" s="155"/>
      <c r="H104" s="155"/>
      <c r="I104" s="830">
        <f t="shared" ref="I104:I111" si="16">IFERROR(J104/J$113," ")</f>
        <v>6.1868133274904668E-4</v>
      </c>
      <c r="J104" s="2299">
        <f>'6A - 4% Building'!J113+'6A - 9% Building'!J113</f>
        <v>61000</v>
      </c>
      <c r="K104" s="848">
        <f t="shared" ref="K104:K110" si="17">SUM(L104:M104)</f>
        <v>61000</v>
      </c>
      <c r="L104" s="2300">
        <f>'6A - 4% Building'!K113</f>
        <v>61000</v>
      </c>
      <c r="M104" s="2311">
        <f>'6A - 4% Building'!S113</f>
        <v>0</v>
      </c>
      <c r="N104" s="461"/>
      <c r="O104" s="855">
        <f t="shared" ref="O104:O110" si="18">SUM(P104:Q104)</f>
        <v>0</v>
      </c>
      <c r="P104" s="2300">
        <f>'6A - 9% Building'!K113</f>
        <v>0</v>
      </c>
      <c r="Q104" s="2302">
        <f>'6A - 9% Building'!S113</f>
        <v>0</v>
      </c>
      <c r="R104" s="409"/>
    </row>
    <row r="105" spans="2:18" x14ac:dyDescent="0.3">
      <c r="B105" s="451"/>
      <c r="C105" s="68"/>
      <c r="D105" s="44" t="s">
        <v>216</v>
      </c>
      <c r="E105" s="44"/>
      <c r="F105" s="44"/>
      <c r="G105" s="44"/>
      <c r="H105" s="44"/>
      <c r="I105" s="834">
        <f t="shared" si="16"/>
        <v>5.0711584651561199E-4</v>
      </c>
      <c r="J105" s="2303">
        <f>'6A - 4% Building'!J114+'6A - 9% Building'!J114</f>
        <v>50000</v>
      </c>
      <c r="K105" s="863">
        <f t="shared" si="17"/>
        <v>50000</v>
      </c>
      <c r="L105" s="2304">
        <f>'6A - 4% Building'!K114</f>
        <v>50000</v>
      </c>
      <c r="M105" s="2312">
        <f>'6A - 4% Building'!S114</f>
        <v>0</v>
      </c>
      <c r="N105" s="462"/>
      <c r="O105" s="866">
        <f t="shared" si="18"/>
        <v>0</v>
      </c>
      <c r="P105" s="2304">
        <f>'6A - 9% Building'!K114</f>
        <v>0</v>
      </c>
      <c r="Q105" s="2306">
        <f>'6A - 9% Building'!S114</f>
        <v>0</v>
      </c>
      <c r="R105" s="409"/>
    </row>
    <row r="106" spans="2:18" x14ac:dyDescent="0.3">
      <c r="B106" s="451"/>
      <c r="C106" s="45"/>
      <c r="D106" s="44" t="s">
        <v>217</v>
      </c>
      <c r="E106" s="44"/>
      <c r="F106" s="44"/>
      <c r="G106" s="44"/>
      <c r="H106" s="44"/>
      <c r="I106" s="834">
        <f t="shared" si="16"/>
        <v>0</v>
      </c>
      <c r="J106" s="2303">
        <f>'6A - 4% Building'!J115+'6A - 9% Building'!J115</f>
        <v>0</v>
      </c>
      <c r="K106" s="863">
        <f t="shared" si="17"/>
        <v>0</v>
      </c>
      <c r="L106" s="2304">
        <f>'6A - 4% Building'!K115</f>
        <v>0</v>
      </c>
      <c r="M106" s="2312">
        <f>'6A - 4% Building'!S115</f>
        <v>0</v>
      </c>
      <c r="N106" s="462"/>
      <c r="O106" s="866">
        <f t="shared" si="18"/>
        <v>0</v>
      </c>
      <c r="P106" s="2304">
        <f>'6A - 9% Building'!K115</f>
        <v>0</v>
      </c>
      <c r="Q106" s="2306">
        <f>'6A - 9% Building'!S115</f>
        <v>0</v>
      </c>
      <c r="R106" s="409"/>
    </row>
    <row r="107" spans="2:18" x14ac:dyDescent="0.3">
      <c r="B107" s="451"/>
      <c r="C107" s="45"/>
      <c r="D107" s="44" t="s">
        <v>218</v>
      </c>
      <c r="E107" s="44"/>
      <c r="F107" s="44"/>
      <c r="G107" s="44"/>
      <c r="H107" s="44"/>
      <c r="I107" s="834">
        <f>IFERROR(J107/J$113," ")</f>
        <v>0</v>
      </c>
      <c r="J107" s="2303">
        <f>'6A - 4% Building'!J116+'6A - 9% Building'!J116</f>
        <v>0</v>
      </c>
      <c r="K107" s="863">
        <f t="shared" si="17"/>
        <v>0</v>
      </c>
      <c r="L107" s="2304">
        <f>'6A - 4% Building'!K116</f>
        <v>0</v>
      </c>
      <c r="M107" s="2312">
        <f>'6A - 4% Building'!S116</f>
        <v>0</v>
      </c>
      <c r="N107" s="462"/>
      <c r="O107" s="866">
        <f t="shared" si="18"/>
        <v>0</v>
      </c>
      <c r="P107" s="2304">
        <f>'6A - 9% Building'!K116</f>
        <v>0</v>
      </c>
      <c r="Q107" s="2306">
        <f>'6A - 9% Building'!S116</f>
        <v>0</v>
      </c>
      <c r="R107" s="409"/>
    </row>
    <row r="108" spans="2:18" x14ac:dyDescent="0.3">
      <c r="B108" s="451"/>
      <c r="C108" s="45"/>
      <c r="D108" s="44" t="s">
        <v>219</v>
      </c>
      <c r="E108" s="44"/>
      <c r="F108" s="44"/>
      <c r="G108" s="44"/>
      <c r="H108" s="44"/>
      <c r="I108" s="834">
        <f t="shared" si="16"/>
        <v>0</v>
      </c>
      <c r="J108" s="2303">
        <f>'6A - 4% Building'!J117+'6A - 9% Building'!J117</f>
        <v>0</v>
      </c>
      <c r="K108" s="863">
        <f t="shared" si="17"/>
        <v>0</v>
      </c>
      <c r="L108" s="2304">
        <f>'6A - 4% Building'!K117</f>
        <v>0</v>
      </c>
      <c r="M108" s="2312">
        <f>'6A - 4% Building'!S117</f>
        <v>0</v>
      </c>
      <c r="N108" s="462"/>
      <c r="O108" s="866">
        <f t="shared" si="18"/>
        <v>0</v>
      </c>
      <c r="P108" s="2304">
        <f>'6A - 9% Building'!K117</f>
        <v>0</v>
      </c>
      <c r="Q108" s="2306">
        <f>'6A - 9% Building'!S117</f>
        <v>0</v>
      </c>
      <c r="R108" s="409"/>
    </row>
    <row r="109" spans="2:18" x14ac:dyDescent="0.3">
      <c r="B109" s="451"/>
      <c r="C109" s="45"/>
      <c r="D109" s="44" t="s">
        <v>220</v>
      </c>
      <c r="E109" s="44"/>
      <c r="F109" s="44"/>
      <c r="G109" s="44"/>
      <c r="H109" s="44"/>
      <c r="I109" s="834">
        <f t="shared" si="16"/>
        <v>0</v>
      </c>
      <c r="J109" s="2303">
        <f>'6A - 4% Building'!J118+'6A - 9% Building'!J118</f>
        <v>0</v>
      </c>
      <c r="K109" s="863">
        <f t="shared" si="17"/>
        <v>0</v>
      </c>
      <c r="L109" s="2304">
        <f>'6A - 4% Building'!K118</f>
        <v>0</v>
      </c>
      <c r="M109" s="2312">
        <f>'6A - 4% Building'!S118</f>
        <v>0</v>
      </c>
      <c r="N109" s="462"/>
      <c r="O109" s="866">
        <f t="shared" si="18"/>
        <v>0</v>
      </c>
      <c r="P109" s="2304">
        <f>'6A - 9% Building'!K118</f>
        <v>0</v>
      </c>
      <c r="Q109" s="2306">
        <f>'6A - 9% Building'!S118</f>
        <v>0</v>
      </c>
      <c r="R109" s="409"/>
    </row>
    <row r="110" spans="2:18" x14ac:dyDescent="0.3">
      <c r="B110" s="451"/>
      <c r="C110" s="45"/>
      <c r="D110" s="44" t="s">
        <v>221</v>
      </c>
      <c r="E110" s="44"/>
      <c r="F110" s="44"/>
      <c r="G110" s="44"/>
      <c r="H110" s="44"/>
      <c r="I110" s="864">
        <f t="shared" si="16"/>
        <v>0</v>
      </c>
      <c r="J110" s="2307">
        <f>'6A - 4% Building'!J119+'6A - 9% Building'!J119</f>
        <v>0</v>
      </c>
      <c r="K110" s="865">
        <f t="shared" si="17"/>
        <v>0</v>
      </c>
      <c r="L110" s="2313">
        <f>'6A - 4% Building'!K119</f>
        <v>0</v>
      </c>
      <c r="M110" s="2314">
        <f>'6A - 4% Building'!S119</f>
        <v>0</v>
      </c>
      <c r="N110" s="462"/>
      <c r="O110" s="868">
        <f t="shared" si="18"/>
        <v>0</v>
      </c>
      <c r="P110" s="2313">
        <f>'6A - 9% Building'!K119</f>
        <v>0</v>
      </c>
      <c r="Q110" s="2315">
        <f>'6A - 9% Building'!S119</f>
        <v>0</v>
      </c>
      <c r="R110" s="409"/>
    </row>
    <row r="111" spans="2:18" ht="15" thickBot="1" x14ac:dyDescent="0.35">
      <c r="B111" s="451"/>
      <c r="C111" s="45"/>
      <c r="D111" s="44"/>
      <c r="E111" s="44"/>
      <c r="F111" s="44"/>
      <c r="G111" s="48" t="s">
        <v>153</v>
      </c>
      <c r="H111" s="48"/>
      <c r="I111" s="353">
        <f t="shared" si="16"/>
        <v>1.1257971792646587E-3</v>
      </c>
      <c r="J111" s="36">
        <f>SUM(J104:J110)</f>
        <v>111000</v>
      </c>
      <c r="K111" s="22">
        <f>SUM(K104:K110)</f>
        <v>111000</v>
      </c>
      <c r="L111" s="1449">
        <f>SUM(L104:L110)</f>
        <v>111000</v>
      </c>
      <c r="M111" s="1450">
        <f>SUM(M104:M110)</f>
        <v>0</v>
      </c>
      <c r="N111" s="463"/>
      <c r="O111" s="867">
        <f>SUM(O104:O110)</f>
        <v>0</v>
      </c>
      <c r="P111" s="1452">
        <f>SUM(P104:P110)</f>
        <v>0</v>
      </c>
      <c r="Q111" s="1453">
        <f>SUM(Q104:Q110)</f>
        <v>0</v>
      </c>
      <c r="R111" s="409"/>
    </row>
    <row r="112" spans="2:18" ht="7.5" customHeight="1" thickBot="1" x14ac:dyDescent="0.35">
      <c r="B112" s="451"/>
      <c r="C112" s="50"/>
      <c r="D112" s="44"/>
      <c r="E112" s="44"/>
      <c r="F112" s="44"/>
      <c r="G112" s="44"/>
      <c r="H112" s="44"/>
      <c r="I112" s="45"/>
      <c r="J112" s="20"/>
      <c r="K112" s="45"/>
      <c r="L112" s="20"/>
      <c r="M112" s="20"/>
      <c r="N112" s="462"/>
      <c r="O112" s="20"/>
      <c r="P112" s="20"/>
      <c r="Q112" s="20"/>
      <c r="R112" s="409"/>
    </row>
    <row r="113" spans="2:18" ht="15" thickBot="1" x14ac:dyDescent="0.35">
      <c r="B113" s="451"/>
      <c r="C113" s="157" t="s">
        <v>222</v>
      </c>
      <c r="D113" s="158"/>
      <c r="E113" s="158"/>
      <c r="F113" s="158"/>
      <c r="G113" s="158"/>
      <c r="H113" s="158"/>
      <c r="I113" s="34"/>
      <c r="J113" s="25">
        <f>J21+J40+J56+J61+J69+J80+J86+J100+J111</f>
        <v>98596800.599999994</v>
      </c>
      <c r="K113" s="21">
        <f>K21+K40+K56+K61+K69+K80+K86+K100+K111</f>
        <v>56526289</v>
      </c>
      <c r="L113" s="478"/>
      <c r="M113" s="478"/>
      <c r="N113" s="461"/>
      <c r="O113" s="23">
        <f>O21+O40+O56+O61+O69+O80+O86+O100+O111</f>
        <v>42070511.600000001</v>
      </c>
      <c r="P113" s="478"/>
      <c r="Q113" s="479"/>
      <c r="R113" s="409"/>
    </row>
    <row r="114" spans="2:18" ht="15" thickBot="1" x14ac:dyDescent="0.35">
      <c r="B114" s="451"/>
      <c r="C114" s="159" t="s">
        <v>223</v>
      </c>
      <c r="D114" s="160"/>
      <c r="E114" s="160"/>
      <c r="F114" s="160"/>
      <c r="G114" s="160"/>
      <c r="H114" s="160"/>
      <c r="I114" s="35"/>
      <c r="J114" s="24">
        <f>(K114+O114)</f>
        <v>98596800.599999994</v>
      </c>
      <c r="K114" s="22">
        <f>SUM(L114:M114)</f>
        <v>56526289</v>
      </c>
      <c r="L114" s="1454">
        <f>L21+L40+L56+L61+L69+L80+L86+L100+L111</f>
        <v>51835231</v>
      </c>
      <c r="M114" s="1455">
        <f>M21+M40+M56+M61+M69+M80+M86+M100+M111</f>
        <v>4691058</v>
      </c>
      <c r="N114" s="480"/>
      <c r="O114" s="464">
        <f>SUM(P114:Q114)</f>
        <v>42070511.600000001</v>
      </c>
      <c r="P114" s="1454">
        <f>P21+P40+P56+P61+P69+P80+P86+P100+P111</f>
        <v>26047669.600000001</v>
      </c>
      <c r="Q114" s="1456">
        <f>Q21+Q40+Q56+Q61+Q69+Q80+Q86+Q100+Q111</f>
        <v>16022842</v>
      </c>
      <c r="R114" s="409"/>
    </row>
    <row r="115" spans="2:18" x14ac:dyDescent="0.3">
      <c r="B115" s="451"/>
      <c r="C115" s="355"/>
      <c r="D115" s="355"/>
      <c r="E115" s="355"/>
      <c r="F115" s="355"/>
      <c r="G115" s="355"/>
      <c r="H115" s="355"/>
      <c r="I115" s="356"/>
      <c r="J115" s="357"/>
      <c r="K115" s="2135"/>
      <c r="L115" s="16"/>
      <c r="M115" s="16"/>
      <c r="N115" s="481"/>
      <c r="O115" s="16"/>
      <c r="P115" s="16"/>
      <c r="Q115" s="16"/>
      <c r="R115" s="409"/>
    </row>
    <row r="116" spans="2:18" ht="9" customHeight="1" thickBot="1" x14ac:dyDescent="0.35">
      <c r="B116" s="466"/>
      <c r="C116" s="482"/>
      <c r="D116" s="482"/>
      <c r="E116" s="482"/>
      <c r="F116" s="482"/>
      <c r="G116" s="482"/>
      <c r="H116" s="482"/>
      <c r="I116" s="482"/>
      <c r="J116" s="483" t="s">
        <v>31</v>
      </c>
      <c r="K116" s="482"/>
      <c r="L116" s="482"/>
      <c r="M116" s="482"/>
      <c r="N116" s="482"/>
      <c r="O116" s="482"/>
      <c r="P116" s="482"/>
      <c r="Q116" s="482"/>
      <c r="R116" s="484"/>
    </row>
    <row r="117" spans="2:18" x14ac:dyDescent="0.3">
      <c r="M117" s="399" t="s">
        <v>2209</v>
      </c>
      <c r="Q117" s="399" t="s">
        <v>2208</v>
      </c>
    </row>
    <row r="119" spans="2:18" x14ac:dyDescent="0.3">
      <c r="J119" s="1667"/>
    </row>
    <row r="120" spans="2:18" x14ac:dyDescent="0.3">
      <c r="J120" s="1666"/>
    </row>
  </sheetData>
  <sheetProtection algorithmName="SHA-512" hashValue="6Z37CKnrP2qG8oRf+Myaa18++CvkHP6cLc2u89+1L1EFBzTwLV7cxdE6SXvEn/ndG1lhSbsQbPSSkOjtvs6FXw==" saltValue="E22TSF8r9yj39p2Qqv5FIw==" spinCount="100000" sheet="1" formatCells="0" formatColumns="0" formatRows="0"/>
  <mergeCells count="12">
    <mergeCell ref="C7:Q7"/>
    <mergeCell ref="J11:J13"/>
    <mergeCell ref="P12:P13"/>
    <mergeCell ref="L12:L13"/>
    <mergeCell ref="M12:M13"/>
    <mergeCell ref="I11:I13"/>
    <mergeCell ref="C9:M9"/>
    <mergeCell ref="Q12:Q13"/>
    <mergeCell ref="K11:M11"/>
    <mergeCell ref="K12:K13"/>
    <mergeCell ref="O12:O13"/>
    <mergeCell ref="O11:Q11"/>
  </mergeCells>
  <conditionalFormatting sqref="J114">
    <cfRule type="expression" dxfId="115" priority="30">
      <formula>$J$114&lt;&gt;(#REF!+#REF!)</formula>
    </cfRule>
  </conditionalFormatting>
  <conditionalFormatting sqref="J15:J20 J24:J39 J43:J55 J64:J68 J72:J79 J83:J85 J89:J99 J104:J110 J59:J60">
    <cfRule type="expression" dxfId="114" priority="31">
      <formula>J15&lt;&gt;(K15+O15)</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29" xr:uid="{00000000-0002-0000-0F00-000000000000}"/>
    <dataValidation allowBlank="1" showInputMessage="1" showErrorMessage="1" promptTitle="Rehab Contingency %" prompt="Defined as Rehab Contingency divided by the sum of Rehab, Contractor Profit, Contractor Overhead, and Bond Premium amounts_x000a__x000a_% =J27 / (J23+J24+J25+J34)" sqref="G30" xr:uid="{00000000-0002-0000-0F00-000001000000}"/>
  </dataValidations>
  <pageMargins left="1" right="1" top="1" bottom="0.75" header="0.3" footer="0.3"/>
  <pageSetup paperSize="17" scale="125" fitToHeight="4" orientation="landscape" r:id="rId1"/>
  <headerFooter>
    <oddFooter>&amp;LForm 6A
Development Budgets&amp;CCFA Forms&amp;REdition: 2017
Version: 1.0</oddFooter>
  </headerFooter>
  <rowBreaks count="3" manualBreakCount="3">
    <brk id="41" min="1" max="21" man="1"/>
    <brk id="70" min="1" max="21" man="1"/>
    <brk id="101"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1:AB129"/>
  <sheetViews>
    <sheetView showGridLines="0" topLeftCell="A114" zoomScaleNormal="100" zoomScaleSheetLayoutView="100" workbookViewId="0">
      <selection activeCell="O123" sqref="O123"/>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10.6640625" style="399" customWidth="1"/>
    <col min="8" max="8" width="1.44140625" style="399" customWidth="1"/>
    <col min="9" max="9" width="7.88671875" style="399" customWidth="1"/>
    <col min="10" max="11" width="11.44140625" style="399" customWidth="1"/>
    <col min="12" max="12" width="12.33203125" style="399" customWidth="1"/>
    <col min="13" max="14" width="11.6640625" style="399" bestFit="1" customWidth="1"/>
    <col min="15" max="15" width="12.33203125" style="399" customWidth="1"/>
    <col min="16" max="16" width="11.6640625" style="399" bestFit="1" customWidth="1"/>
    <col min="17" max="17" width="12.5546875" style="399" customWidth="1"/>
    <col min="18" max="18" width="0.6640625" style="399" customWidth="1"/>
    <col min="19" max="19" width="10.88671875" style="399" customWidth="1"/>
    <col min="20" max="21" width="9.5546875" style="399" bestFit="1" customWidth="1"/>
    <col min="22" max="22" width="7.109375" style="399" hidden="1" customWidth="1"/>
    <col min="23" max="23" width="6.6640625" style="399" hidden="1" customWidth="1"/>
    <col min="24" max="24" width="7.109375" style="399" hidden="1" customWidth="1"/>
    <col min="25" max="25" width="7.109375" style="399" customWidth="1"/>
    <col min="26" max="26" width="1.6640625" style="399" customWidth="1"/>
    <col min="27" max="27" width="9.109375" style="399"/>
    <col min="28" max="28" width="11.5546875" style="399" bestFit="1" customWidth="1"/>
    <col min="29" max="16384" width="9.109375" style="399"/>
  </cols>
  <sheetData>
    <row r="11" spans="2:26" ht="9" customHeight="1" thickBot="1" x14ac:dyDescent="0.35"/>
    <row r="12" spans="2:26" ht="9" customHeight="1" x14ac:dyDescent="0.3">
      <c r="B12" s="449"/>
      <c r="C12" s="450"/>
      <c r="D12" s="450"/>
      <c r="E12" s="450"/>
      <c r="F12" s="450"/>
      <c r="G12" s="450"/>
      <c r="H12" s="450"/>
      <c r="I12" s="405"/>
      <c r="J12" s="405"/>
      <c r="K12" s="405"/>
      <c r="L12" s="405"/>
      <c r="M12" s="450"/>
      <c r="N12" s="450"/>
      <c r="O12" s="26"/>
      <c r="P12" s="26"/>
      <c r="Q12" s="26"/>
      <c r="R12" s="26"/>
      <c r="S12" s="26"/>
      <c r="T12" s="26"/>
      <c r="U12" s="26"/>
      <c r="V12" s="26"/>
      <c r="W12" s="26"/>
      <c r="X12" s="26"/>
      <c r="Y12" s="26"/>
      <c r="Z12" s="27"/>
    </row>
    <row r="13" spans="2:26" ht="18" x14ac:dyDescent="0.35">
      <c r="B13" s="451"/>
      <c r="C13" s="2658" t="s">
        <v>1872</v>
      </c>
      <c r="D13" s="2659"/>
      <c r="E13" s="2659"/>
      <c r="F13" s="2659"/>
      <c r="G13" s="2659"/>
      <c r="H13" s="2659"/>
      <c r="I13" s="2659"/>
      <c r="J13" s="2659"/>
      <c r="K13" s="2659"/>
      <c r="L13" s="2659"/>
      <c r="M13" s="2659"/>
      <c r="N13" s="2659"/>
      <c r="O13" s="2659"/>
      <c r="P13" s="2659"/>
      <c r="Q13" s="2659"/>
      <c r="R13" s="2659"/>
      <c r="S13" s="2659"/>
      <c r="T13" s="2659"/>
      <c r="U13" s="2659"/>
      <c r="V13" s="2659"/>
      <c r="W13" s="2659"/>
      <c r="X13" s="2659"/>
      <c r="Y13" s="2660"/>
      <c r="Z13" s="33"/>
    </row>
    <row r="14" spans="2:26" ht="15" customHeight="1" x14ac:dyDescent="0.3">
      <c r="B14" s="451"/>
      <c r="C14" s="68"/>
      <c r="D14" s="68"/>
      <c r="E14" s="68"/>
      <c r="F14" s="68"/>
      <c r="G14" s="68"/>
      <c r="H14" s="68"/>
      <c r="I14" s="410"/>
      <c r="J14" s="2104"/>
      <c r="K14" s="410"/>
      <c r="L14" s="410"/>
      <c r="M14" s="68"/>
      <c r="N14" s="68"/>
      <c r="O14" s="18"/>
      <c r="P14" s="18"/>
      <c r="Q14" s="18"/>
      <c r="R14" s="18"/>
      <c r="S14" s="18"/>
      <c r="T14" s="18"/>
      <c r="U14" s="18"/>
      <c r="V14" s="18"/>
      <c r="W14" s="18"/>
      <c r="X14" s="18"/>
      <c r="Y14" s="18"/>
      <c r="Z14" s="33"/>
    </row>
    <row r="15" spans="2:26" ht="15" thickBot="1" x14ac:dyDescent="0.35">
      <c r="B15" s="452"/>
      <c r="C15" s="2668" t="str">
        <f>IF('1'!G5="","Enter Project Name on Form 1",(CONCATENATE("Project Name: ",'1'!G5)))</f>
        <v>Project Name: 6600 Roosevelt Way NE</v>
      </c>
      <c r="D15" s="2668"/>
      <c r="E15" s="2668"/>
      <c r="F15" s="2668"/>
      <c r="G15" s="2668"/>
      <c r="H15" s="2668"/>
      <c r="I15" s="2668"/>
      <c r="J15" s="2668"/>
      <c r="K15" s="2668"/>
      <c r="L15" s="2668"/>
      <c r="M15" s="2668"/>
      <c r="N15" s="2668"/>
      <c r="O15" s="45"/>
      <c r="P15" s="45"/>
      <c r="Q15" s="45"/>
      <c r="R15" s="45"/>
      <c r="S15" s="68"/>
      <c r="T15" s="68"/>
      <c r="U15" s="68"/>
      <c r="V15" s="68"/>
      <c r="W15" s="68"/>
      <c r="X15" s="68"/>
      <c r="Y15" s="68"/>
      <c r="Z15" s="454"/>
    </row>
    <row r="16" spans="2:26" ht="7.5" customHeight="1" x14ac:dyDescent="0.3">
      <c r="B16" s="452"/>
      <c r="C16" s="45"/>
      <c r="D16" s="17"/>
      <c r="E16" s="453"/>
      <c r="F16" s="453"/>
      <c r="G16" s="453"/>
      <c r="H16" s="453"/>
      <c r="I16" s="453"/>
      <c r="J16" s="453"/>
      <c r="K16" s="45"/>
      <c r="L16" s="453"/>
      <c r="M16" s="45"/>
      <c r="N16" s="45"/>
      <c r="O16" s="45"/>
      <c r="P16" s="45"/>
      <c r="Q16" s="45"/>
      <c r="R16" s="45"/>
      <c r="S16" s="68"/>
      <c r="T16" s="68"/>
      <c r="U16" s="68"/>
      <c r="V16" s="68"/>
      <c r="W16" s="68"/>
      <c r="X16" s="68"/>
      <c r="Y16" s="68"/>
      <c r="Z16" s="454"/>
    </row>
    <row r="17" spans="2:26" ht="15" thickBot="1" x14ac:dyDescent="0.35">
      <c r="B17" s="452"/>
      <c r="C17" s="2639" t="str">
        <f>IF('1'!G29="","Enter Site Name/ID Number on Form 1",(CONCATENATE("Site Name/ID: ",'1'!G29)))</f>
        <v>Site Name/ID: Site A - 4% Building</v>
      </c>
      <c r="D17" s="2639"/>
      <c r="E17" s="2639"/>
      <c r="F17" s="2639"/>
      <c r="G17" s="2639"/>
      <c r="H17" s="2639"/>
      <c r="I17" s="2639"/>
      <c r="J17" s="2639"/>
      <c r="K17" s="2639"/>
      <c r="L17" s="2639"/>
      <c r="M17" s="2639"/>
      <c r="N17" s="2639"/>
      <c r="O17" s="45"/>
      <c r="P17" s="45"/>
      <c r="Q17" s="45"/>
      <c r="R17" s="45"/>
      <c r="S17" s="68"/>
      <c r="T17" s="68"/>
      <c r="U17" s="68"/>
      <c r="V17" s="68"/>
      <c r="W17" s="68"/>
      <c r="X17" s="68"/>
      <c r="Y17" s="68"/>
      <c r="Z17" s="454"/>
    </row>
    <row r="18" spans="2:26" ht="7.5" customHeight="1" thickBot="1" x14ac:dyDescent="0.35">
      <c r="B18" s="452"/>
      <c r="C18" s="45"/>
      <c r="D18" s="17"/>
      <c r="E18" s="453"/>
      <c r="F18" s="453"/>
      <c r="G18" s="453"/>
      <c r="H18" s="453"/>
      <c r="I18" s="453"/>
      <c r="J18" s="453"/>
      <c r="K18" s="45"/>
      <c r="L18" s="453"/>
      <c r="M18" s="45"/>
      <c r="N18" s="45"/>
      <c r="O18" s="45"/>
      <c r="P18" s="45"/>
      <c r="Q18" s="45"/>
      <c r="R18" s="45"/>
      <c r="S18" s="68"/>
      <c r="T18" s="68"/>
      <c r="U18" s="68"/>
      <c r="V18" s="68"/>
      <c r="W18" s="68"/>
      <c r="X18" s="68"/>
      <c r="Y18" s="68"/>
      <c r="Z18" s="454"/>
    </row>
    <row r="19" spans="2:26" x14ac:dyDescent="0.3">
      <c r="B19" s="451"/>
      <c r="C19" s="134" t="s">
        <v>141</v>
      </c>
      <c r="D19" s="1436"/>
      <c r="E19" s="453"/>
      <c r="F19" s="1958"/>
      <c r="G19" s="410"/>
      <c r="H19" s="410"/>
      <c r="I19" s="2661" t="s">
        <v>142</v>
      </c>
      <c r="J19" s="2661" t="s">
        <v>143</v>
      </c>
      <c r="K19" s="2680" t="s">
        <v>50</v>
      </c>
      <c r="L19" s="2681"/>
      <c r="M19" s="2681"/>
      <c r="N19" s="2681"/>
      <c r="O19" s="2681"/>
      <c r="P19" s="2681"/>
      <c r="Q19" s="2681"/>
      <c r="R19" s="455"/>
      <c r="S19" s="2682" t="s">
        <v>51</v>
      </c>
      <c r="T19" s="2682"/>
      <c r="U19" s="2682"/>
      <c r="V19" s="2682"/>
      <c r="W19" s="2682"/>
      <c r="X19" s="2682"/>
      <c r="Y19" s="2683"/>
      <c r="Z19" s="454"/>
    </row>
    <row r="20" spans="2:26" ht="15" customHeight="1" x14ac:dyDescent="0.3">
      <c r="B20" s="451"/>
      <c r="C20" s="45"/>
      <c r="D20" s="453"/>
      <c r="E20" s="453"/>
      <c r="F20" s="453"/>
      <c r="G20" s="453"/>
      <c r="H20" s="453"/>
      <c r="I20" s="2662"/>
      <c r="J20" s="2662"/>
      <c r="K20" s="2684" t="s">
        <v>145</v>
      </c>
      <c r="L20" s="456" t="s">
        <v>146</v>
      </c>
      <c r="M20" s="456" t="s">
        <v>146</v>
      </c>
      <c r="N20" s="456" t="s">
        <v>146</v>
      </c>
      <c r="O20" s="456" t="s">
        <v>146</v>
      </c>
      <c r="P20" s="456" t="s">
        <v>146</v>
      </c>
      <c r="Q20" s="456" t="s">
        <v>146</v>
      </c>
      <c r="R20" s="457"/>
      <c r="S20" s="2686" t="s">
        <v>499</v>
      </c>
      <c r="T20" s="456" t="s">
        <v>146</v>
      </c>
      <c r="U20" s="456" t="s">
        <v>146</v>
      </c>
      <c r="V20" s="2474" t="s">
        <v>146</v>
      </c>
      <c r="W20" s="2474" t="s">
        <v>146</v>
      </c>
      <c r="X20" s="2474" t="s">
        <v>146</v>
      </c>
      <c r="Y20" s="2475" t="s">
        <v>146</v>
      </c>
      <c r="Z20" s="454"/>
    </row>
    <row r="21" spans="2:26" x14ac:dyDescent="0.3">
      <c r="B21" s="451"/>
      <c r="C21" s="45"/>
      <c r="D21" s="453"/>
      <c r="E21" s="453"/>
      <c r="F21" s="453"/>
      <c r="G21" s="453"/>
      <c r="H21" s="453"/>
      <c r="I21" s="2662"/>
      <c r="J21" s="2662"/>
      <c r="K21" s="2684"/>
      <c r="L21" s="2678" t="s">
        <v>2046</v>
      </c>
      <c r="M21" s="2678" t="s">
        <v>1901</v>
      </c>
      <c r="N21" s="2678" t="s">
        <v>1952</v>
      </c>
      <c r="O21" s="2678" t="s">
        <v>2048</v>
      </c>
      <c r="P21" s="2678" t="s">
        <v>2049</v>
      </c>
      <c r="Q21" s="2691" t="s">
        <v>2053</v>
      </c>
      <c r="R21" s="457"/>
      <c r="S21" s="2686"/>
      <c r="T21" s="2678" t="s">
        <v>2050</v>
      </c>
      <c r="U21" s="2678" t="s">
        <v>2051</v>
      </c>
      <c r="V21" s="2678"/>
      <c r="W21" s="2678"/>
      <c r="X21" s="2678"/>
      <c r="Y21" s="2676"/>
      <c r="Z21" s="454"/>
    </row>
    <row r="22" spans="2:26" ht="23.25" customHeight="1" thickBot="1" x14ac:dyDescent="0.35">
      <c r="B22" s="451"/>
      <c r="C22" s="45"/>
      <c r="D22" s="453"/>
      <c r="E22" s="71"/>
      <c r="F22" s="71"/>
      <c r="G22" s="71"/>
      <c r="H22" s="71"/>
      <c r="I22" s="2663"/>
      <c r="J22" s="2663"/>
      <c r="K22" s="2685"/>
      <c r="L22" s="2679"/>
      <c r="M22" s="2679"/>
      <c r="N22" s="2679"/>
      <c r="O22" s="2679"/>
      <c r="P22" s="2679"/>
      <c r="Q22" s="2692"/>
      <c r="R22" s="459"/>
      <c r="S22" s="2687"/>
      <c r="T22" s="2679"/>
      <c r="U22" s="2679"/>
      <c r="V22" s="2679"/>
      <c r="W22" s="2679"/>
      <c r="X22" s="2679"/>
      <c r="Y22" s="2677"/>
      <c r="Z22" s="409"/>
    </row>
    <row r="23" spans="2:26" ht="15" thickBot="1" x14ac:dyDescent="0.35">
      <c r="B23" s="451"/>
      <c r="C23" s="78" t="s">
        <v>147</v>
      </c>
      <c r="D23" s="78"/>
      <c r="E23" s="78"/>
      <c r="F23" s="78"/>
      <c r="G23" s="78"/>
      <c r="H23" s="47"/>
      <c r="I23" s="47"/>
      <c r="J23" s="47"/>
      <c r="K23" s="47"/>
      <c r="L23" s="453"/>
      <c r="M23" s="45"/>
      <c r="N23" s="45"/>
      <c r="O23" s="15"/>
      <c r="P23" s="460"/>
      <c r="Q23" s="460"/>
      <c r="R23" s="68"/>
      <c r="S23" s="68"/>
      <c r="T23" s="460"/>
      <c r="U23" s="45"/>
      <c r="V23" s="45"/>
      <c r="W23" s="15"/>
      <c r="X23" s="460"/>
      <c r="Y23" s="460"/>
      <c r="Z23" s="409"/>
    </row>
    <row r="24" spans="2:26" x14ac:dyDescent="0.3">
      <c r="B24" s="451"/>
      <c r="C24" s="45"/>
      <c r="D24" s="151" t="s">
        <v>148</v>
      </c>
      <c r="E24" s="151"/>
      <c r="F24" s="151"/>
      <c r="G24" s="151"/>
      <c r="H24" s="151"/>
      <c r="I24" s="830">
        <f t="shared" ref="I24:I30" si="0">IFERROR(J24/J$122," ")</f>
        <v>5.4579118045410692E-2</v>
      </c>
      <c r="J24" s="1393">
        <f>SUM(K24+S24)</f>
        <v>3085155</v>
      </c>
      <c r="K24" s="831">
        <f t="shared" ref="K24:K29" si="1">SUM(L24:Q24)</f>
        <v>2782042</v>
      </c>
      <c r="L24" s="832"/>
      <c r="M24" s="833">
        <v>0</v>
      </c>
      <c r="N24" s="833">
        <f>369646-11763</f>
        <v>357883</v>
      </c>
      <c r="O24" s="833">
        <v>0</v>
      </c>
      <c r="P24" s="833">
        <v>0</v>
      </c>
      <c r="Q24" s="833">
        <f>2412396+11763</f>
        <v>2424159</v>
      </c>
      <c r="R24" s="461"/>
      <c r="S24" s="842">
        <f t="shared" ref="S24:S29" si="2">SUM(T24:Y24)</f>
        <v>303113</v>
      </c>
      <c r="T24" s="832">
        <v>303113</v>
      </c>
      <c r="U24" s="833">
        <v>0</v>
      </c>
      <c r="V24" s="833"/>
      <c r="W24" s="833"/>
      <c r="X24" s="833"/>
      <c r="Y24" s="843"/>
      <c r="Z24" s="409"/>
    </row>
    <row r="25" spans="2:26" x14ac:dyDescent="0.3">
      <c r="B25" s="451"/>
      <c r="C25" s="45"/>
      <c r="D25" s="153" t="s">
        <v>149</v>
      </c>
      <c r="E25" s="153"/>
      <c r="F25" s="153"/>
      <c r="G25" s="153"/>
      <c r="H25" s="153"/>
      <c r="I25" s="834">
        <f t="shared" si="0"/>
        <v>0</v>
      </c>
      <c r="J25" s="1391">
        <f t="shared" ref="J25:J29" si="3">SUM(K25+S25)</f>
        <v>0</v>
      </c>
      <c r="K25" s="835">
        <f t="shared" si="1"/>
        <v>0</v>
      </c>
      <c r="L25" s="836">
        <v>0</v>
      </c>
      <c r="M25" s="837">
        <v>0</v>
      </c>
      <c r="N25" s="837">
        <v>0</v>
      </c>
      <c r="O25" s="837">
        <v>0</v>
      </c>
      <c r="P25" s="837">
        <v>0</v>
      </c>
      <c r="Q25" s="837">
        <v>0</v>
      </c>
      <c r="R25" s="462"/>
      <c r="S25" s="844">
        <f t="shared" si="2"/>
        <v>0</v>
      </c>
      <c r="T25" s="836">
        <v>0</v>
      </c>
      <c r="U25" s="837">
        <v>0</v>
      </c>
      <c r="V25" s="837"/>
      <c r="W25" s="837"/>
      <c r="X25" s="837"/>
      <c r="Y25" s="845"/>
      <c r="Z25" s="409"/>
    </row>
    <row r="26" spans="2:26" x14ac:dyDescent="0.3">
      <c r="B26" s="451"/>
      <c r="C26" s="45"/>
      <c r="D26" s="44" t="s">
        <v>150</v>
      </c>
      <c r="E26" s="44"/>
      <c r="F26" s="44"/>
      <c r="G26" s="44"/>
      <c r="H26" s="44"/>
      <c r="I26" s="834">
        <f t="shared" si="0"/>
        <v>0</v>
      </c>
      <c r="J26" s="1391">
        <f t="shared" si="3"/>
        <v>0</v>
      </c>
      <c r="K26" s="835">
        <f t="shared" si="1"/>
        <v>0</v>
      </c>
      <c r="L26" s="836">
        <v>0</v>
      </c>
      <c r="M26" s="837">
        <v>0</v>
      </c>
      <c r="N26" s="837">
        <v>0</v>
      </c>
      <c r="O26" s="837">
        <v>0</v>
      </c>
      <c r="P26" s="837">
        <v>0</v>
      </c>
      <c r="Q26" s="837">
        <v>0</v>
      </c>
      <c r="R26" s="462"/>
      <c r="S26" s="844">
        <f t="shared" si="2"/>
        <v>0</v>
      </c>
      <c r="T26" s="836">
        <v>0</v>
      </c>
      <c r="U26" s="837">
        <v>0</v>
      </c>
      <c r="V26" s="837"/>
      <c r="W26" s="837"/>
      <c r="X26" s="837"/>
      <c r="Y26" s="845"/>
      <c r="Z26" s="409"/>
    </row>
    <row r="27" spans="2:26" x14ac:dyDescent="0.3">
      <c r="B27" s="451"/>
      <c r="C27" s="45"/>
      <c r="D27" s="44" t="s">
        <v>151</v>
      </c>
      <c r="E27" s="44"/>
      <c r="F27" s="44"/>
      <c r="G27" s="44"/>
      <c r="H27" s="44"/>
      <c r="I27" s="834">
        <f t="shared" si="0"/>
        <v>5.9200772935934286E-4</v>
      </c>
      <c r="J27" s="1391">
        <f t="shared" si="3"/>
        <v>33464</v>
      </c>
      <c r="K27" s="835">
        <f t="shared" si="1"/>
        <v>31397</v>
      </c>
      <c r="L27" s="836">
        <v>31397</v>
      </c>
      <c r="M27" s="837">
        <v>0</v>
      </c>
      <c r="N27" s="837">
        <v>0</v>
      </c>
      <c r="O27" s="837">
        <v>0</v>
      </c>
      <c r="P27" s="837">
        <v>0</v>
      </c>
      <c r="Q27" s="837">
        <v>0</v>
      </c>
      <c r="R27" s="462"/>
      <c r="S27" s="844">
        <f t="shared" si="2"/>
        <v>2067</v>
      </c>
      <c r="T27" s="836">
        <v>2067</v>
      </c>
      <c r="U27" s="837">
        <v>0</v>
      </c>
      <c r="V27" s="837"/>
      <c r="W27" s="837"/>
      <c r="X27" s="837"/>
      <c r="Y27" s="845"/>
      <c r="Z27" s="409"/>
    </row>
    <row r="28" spans="2:26" x14ac:dyDescent="0.3">
      <c r="B28" s="451"/>
      <c r="C28" s="45"/>
      <c r="D28" s="50" t="s">
        <v>152</v>
      </c>
      <c r="E28" s="50"/>
      <c r="F28" s="50"/>
      <c r="G28" s="50"/>
      <c r="H28" s="50"/>
      <c r="I28" s="834">
        <f t="shared" si="0"/>
        <v>0</v>
      </c>
      <c r="J28" s="1391">
        <f t="shared" si="3"/>
        <v>0</v>
      </c>
      <c r="K28" s="835">
        <f t="shared" si="1"/>
        <v>0</v>
      </c>
      <c r="L28" s="836">
        <v>0</v>
      </c>
      <c r="M28" s="837">
        <v>0</v>
      </c>
      <c r="N28" s="837">
        <v>0</v>
      </c>
      <c r="O28" s="837">
        <v>0</v>
      </c>
      <c r="P28" s="837">
        <v>0</v>
      </c>
      <c r="Q28" s="837">
        <v>0</v>
      </c>
      <c r="R28" s="462"/>
      <c r="S28" s="844">
        <f t="shared" si="2"/>
        <v>0</v>
      </c>
      <c r="T28" s="836">
        <v>0</v>
      </c>
      <c r="U28" s="837">
        <v>0</v>
      </c>
      <c r="V28" s="837"/>
      <c r="W28" s="837"/>
      <c r="X28" s="837"/>
      <c r="Y28" s="845"/>
      <c r="Z28" s="409"/>
    </row>
    <row r="29" spans="2:26" x14ac:dyDescent="0.3">
      <c r="B29" s="451"/>
      <c r="C29" s="45"/>
      <c r="D29" s="50" t="s">
        <v>422</v>
      </c>
      <c r="E29" s="2688"/>
      <c r="F29" s="2689"/>
      <c r="G29" s="2690"/>
      <c r="H29" s="161"/>
      <c r="I29" s="838">
        <f t="shared" si="0"/>
        <v>0</v>
      </c>
      <c r="J29" s="1392">
        <f t="shared" si="3"/>
        <v>0</v>
      </c>
      <c r="K29" s="839">
        <f t="shared" si="1"/>
        <v>0</v>
      </c>
      <c r="L29" s="840">
        <v>0</v>
      </c>
      <c r="M29" s="841">
        <v>0</v>
      </c>
      <c r="N29" s="841">
        <v>0</v>
      </c>
      <c r="O29" s="841">
        <v>0</v>
      </c>
      <c r="P29" s="841">
        <v>0</v>
      </c>
      <c r="Q29" s="841">
        <v>0</v>
      </c>
      <c r="R29" s="462"/>
      <c r="S29" s="846">
        <f t="shared" si="2"/>
        <v>0</v>
      </c>
      <c r="T29" s="840">
        <v>0</v>
      </c>
      <c r="U29" s="841">
        <v>0</v>
      </c>
      <c r="V29" s="841"/>
      <c r="W29" s="841"/>
      <c r="X29" s="841"/>
      <c r="Y29" s="847"/>
      <c r="Z29" s="409"/>
    </row>
    <row r="30" spans="2:26" ht="15" thickBot="1" x14ac:dyDescent="0.35">
      <c r="B30" s="451"/>
      <c r="C30" s="45"/>
      <c r="D30" s="44"/>
      <c r="E30" s="44"/>
      <c r="F30" s="44"/>
      <c r="G30" s="48" t="s">
        <v>153</v>
      </c>
      <c r="H30" s="48"/>
      <c r="I30" s="353">
        <f t="shared" si="0"/>
        <v>5.5171125774770034E-2</v>
      </c>
      <c r="J30" s="36">
        <f t="shared" ref="J30:Q30" si="4">SUM(J24:J29)</f>
        <v>3118619</v>
      </c>
      <c r="K30" s="22">
        <f t="shared" si="4"/>
        <v>2813439</v>
      </c>
      <c r="L30" s="1449">
        <f t="shared" si="4"/>
        <v>31397</v>
      </c>
      <c r="M30" s="1450">
        <f t="shared" si="4"/>
        <v>0</v>
      </c>
      <c r="N30" s="1450">
        <f t="shared" si="4"/>
        <v>357883</v>
      </c>
      <c r="O30" s="1450">
        <f t="shared" si="4"/>
        <v>0</v>
      </c>
      <c r="P30" s="1450">
        <f t="shared" si="4"/>
        <v>0</v>
      </c>
      <c r="Q30" s="1450">
        <f t="shared" si="4"/>
        <v>2424159</v>
      </c>
      <c r="R30" s="463"/>
      <c r="S30" s="464">
        <f t="shared" ref="S30:Y30" si="5">SUM(S24:S29)</f>
        <v>305180</v>
      </c>
      <c r="T30" s="1449">
        <f t="shared" si="5"/>
        <v>305180</v>
      </c>
      <c r="U30" s="1450">
        <f t="shared" si="5"/>
        <v>0</v>
      </c>
      <c r="V30" s="1450">
        <f t="shared" si="5"/>
        <v>0</v>
      </c>
      <c r="W30" s="1450">
        <f t="shared" si="5"/>
        <v>0</v>
      </c>
      <c r="X30" s="1450">
        <f t="shared" si="5"/>
        <v>0</v>
      </c>
      <c r="Y30" s="1451">
        <f t="shared" si="5"/>
        <v>0</v>
      </c>
      <c r="Z30" s="409"/>
    </row>
    <row r="31" spans="2:26" ht="3.75" customHeight="1" x14ac:dyDescent="0.3">
      <c r="B31" s="451"/>
      <c r="C31" s="44"/>
      <c r="D31" s="44"/>
      <c r="E31" s="44"/>
      <c r="F31" s="44"/>
      <c r="G31" s="44"/>
      <c r="H31" s="44"/>
      <c r="I31" s="453"/>
      <c r="J31" s="465"/>
      <c r="K31" s="45"/>
      <c r="L31" s="16"/>
      <c r="M31" s="16"/>
      <c r="N31" s="16"/>
      <c r="O31" s="16"/>
      <c r="P31" s="45"/>
      <c r="Q31" s="16"/>
      <c r="R31" s="462"/>
      <c r="S31" s="16"/>
      <c r="T31" s="16"/>
      <c r="U31" s="16"/>
      <c r="V31" s="16"/>
      <c r="W31" s="16"/>
      <c r="X31" s="45"/>
      <c r="Y31" s="16"/>
      <c r="Z31" s="409"/>
    </row>
    <row r="32" spans="2:26" ht="15" thickBot="1" x14ac:dyDescent="0.35">
      <c r="B32" s="451"/>
      <c r="C32" s="78" t="s">
        <v>154</v>
      </c>
      <c r="D32" s="78"/>
      <c r="E32" s="78"/>
      <c r="F32" s="78"/>
      <c r="G32" s="78"/>
      <c r="H32" s="47"/>
      <c r="I32" s="47"/>
      <c r="J32" s="47"/>
      <c r="K32" s="47"/>
      <c r="L32" s="453"/>
      <c r="M32" s="45"/>
      <c r="N32" s="45"/>
      <c r="O32" s="15"/>
      <c r="P32" s="460"/>
      <c r="Q32" s="460"/>
      <c r="R32" s="457"/>
      <c r="S32" s="68"/>
      <c r="T32" s="460"/>
      <c r="U32" s="45"/>
      <c r="V32" s="45"/>
      <c r="W32" s="15"/>
      <c r="X32" s="460"/>
      <c r="Y32" s="460"/>
      <c r="Z32" s="409"/>
    </row>
    <row r="33" spans="2:28" x14ac:dyDescent="0.3">
      <c r="B33" s="451"/>
      <c r="C33" s="45"/>
      <c r="D33" s="155" t="s">
        <v>155</v>
      </c>
      <c r="E33" s="155"/>
      <c r="F33" s="155"/>
      <c r="G33" s="155"/>
      <c r="H33" s="155"/>
      <c r="I33" s="830">
        <f t="shared" ref="I33:I49" si="6">IFERROR(J33/J$122," ")</f>
        <v>0</v>
      </c>
      <c r="J33" s="1393">
        <f t="shared" ref="J33:J48" si="7">SUM(K33+S33)</f>
        <v>0</v>
      </c>
      <c r="K33" s="848">
        <f t="shared" ref="K33:K48" si="8">SUM(L33:Q33)</f>
        <v>0</v>
      </c>
      <c r="L33" s="832">
        <v>0</v>
      </c>
      <c r="M33" s="849">
        <v>0</v>
      </c>
      <c r="N33" s="849">
        <v>0</v>
      </c>
      <c r="O33" s="849">
        <v>0</v>
      </c>
      <c r="P33" s="849">
        <v>0</v>
      </c>
      <c r="Q33" s="849">
        <v>0</v>
      </c>
      <c r="R33" s="461"/>
      <c r="S33" s="855">
        <f t="shared" ref="S33:S48" si="9">SUM(T33:Y33)</f>
        <v>0</v>
      </c>
      <c r="T33" s="832">
        <v>0</v>
      </c>
      <c r="U33" s="849">
        <v>0</v>
      </c>
      <c r="V33" s="849"/>
      <c r="W33" s="849"/>
      <c r="X33" s="849"/>
      <c r="Y33" s="843"/>
      <c r="Z33" s="409"/>
    </row>
    <row r="34" spans="2:28" x14ac:dyDescent="0.3">
      <c r="B34" s="451"/>
      <c r="C34" s="45"/>
      <c r="D34" s="44" t="s">
        <v>156</v>
      </c>
      <c r="E34" s="44"/>
      <c r="F34" s="44"/>
      <c r="G34" s="44"/>
      <c r="H34" s="44"/>
      <c r="I34" s="834">
        <f t="shared" si="6"/>
        <v>0.65975634805957273</v>
      </c>
      <c r="J34" s="1391">
        <f t="shared" si="7"/>
        <v>37293578</v>
      </c>
      <c r="K34" s="850">
        <f t="shared" si="8"/>
        <v>33896560</v>
      </c>
      <c r="L34" s="836">
        <v>8262770</v>
      </c>
      <c r="M34" s="851">
        <f>3000000+150000</f>
        <v>3150000</v>
      </c>
      <c r="N34" s="851">
        <f>1150000-66661+101632.84-2873.85</f>
        <v>1182097.99</v>
      </c>
      <c r="O34" s="851">
        <v>13060000</v>
      </c>
      <c r="P34" s="851">
        <v>0</v>
      </c>
      <c r="Q34" s="851">
        <f>6748064+66661+1525726-101632.84+2873.85</f>
        <v>8241692.0099999998</v>
      </c>
      <c r="R34" s="462"/>
      <c r="S34" s="844">
        <f t="shared" si="9"/>
        <v>3397018</v>
      </c>
      <c r="T34" s="836">
        <v>1694820</v>
      </c>
      <c r="U34" s="851">
        <v>1702198</v>
      </c>
      <c r="V34" s="851"/>
      <c r="W34" s="851"/>
      <c r="X34" s="851"/>
      <c r="Y34" s="845"/>
      <c r="Z34" s="409"/>
    </row>
    <row r="35" spans="2:28" x14ac:dyDescent="0.3">
      <c r="B35" s="451"/>
      <c r="C35" s="45"/>
      <c r="D35" s="44" t="s">
        <v>157</v>
      </c>
      <c r="E35" s="44"/>
      <c r="F35" s="44"/>
      <c r="G35" s="44"/>
      <c r="H35" s="44"/>
      <c r="I35" s="834">
        <f t="shared" si="6"/>
        <v>0</v>
      </c>
      <c r="J35" s="1391">
        <f t="shared" si="7"/>
        <v>0</v>
      </c>
      <c r="K35" s="850">
        <f t="shared" si="8"/>
        <v>0</v>
      </c>
      <c r="L35" s="836">
        <v>0</v>
      </c>
      <c r="M35" s="851">
        <v>0</v>
      </c>
      <c r="N35" s="851">
        <v>0</v>
      </c>
      <c r="O35" s="851">
        <v>0</v>
      </c>
      <c r="P35" s="851">
        <v>0</v>
      </c>
      <c r="Q35" s="851">
        <v>0</v>
      </c>
      <c r="R35" s="462"/>
      <c r="S35" s="844">
        <f t="shared" si="9"/>
        <v>0</v>
      </c>
      <c r="T35" s="836">
        <v>0</v>
      </c>
      <c r="U35" s="851">
        <v>0</v>
      </c>
      <c r="V35" s="851"/>
      <c r="W35" s="851"/>
      <c r="X35" s="851"/>
      <c r="Y35" s="845"/>
      <c r="Z35" s="409"/>
    </row>
    <row r="36" spans="2:28" x14ac:dyDescent="0.3">
      <c r="B36" s="451"/>
      <c r="C36" s="45"/>
      <c r="D36" s="44" t="s">
        <v>158</v>
      </c>
      <c r="E36" s="44"/>
      <c r="F36" s="44"/>
      <c r="G36" s="44"/>
      <c r="H36" s="44"/>
      <c r="I36" s="834">
        <f t="shared" si="6"/>
        <v>0</v>
      </c>
      <c r="J36" s="1391">
        <f t="shared" si="7"/>
        <v>0</v>
      </c>
      <c r="K36" s="850">
        <f t="shared" si="8"/>
        <v>0</v>
      </c>
      <c r="L36" s="836">
        <v>0</v>
      </c>
      <c r="M36" s="851">
        <v>0</v>
      </c>
      <c r="N36" s="851">
        <v>0</v>
      </c>
      <c r="O36" s="851">
        <v>0</v>
      </c>
      <c r="P36" s="851">
        <v>0</v>
      </c>
      <c r="Q36" s="851">
        <v>0</v>
      </c>
      <c r="R36" s="462"/>
      <c r="S36" s="844">
        <f t="shared" si="9"/>
        <v>0</v>
      </c>
      <c r="T36" s="836">
        <v>0</v>
      </c>
      <c r="U36" s="851">
        <v>0</v>
      </c>
      <c r="V36" s="851"/>
      <c r="W36" s="851"/>
      <c r="X36" s="851"/>
      <c r="Y36" s="845"/>
      <c r="Z36" s="409"/>
    </row>
    <row r="37" spans="2:28" x14ac:dyDescent="0.3">
      <c r="B37" s="451"/>
      <c r="C37" s="45"/>
      <c r="D37" s="44" t="s">
        <v>159</v>
      </c>
      <c r="E37" s="44"/>
      <c r="F37" s="44"/>
      <c r="G37" s="44"/>
      <c r="H37" s="44"/>
      <c r="I37" s="834">
        <f t="shared" si="6"/>
        <v>0</v>
      </c>
      <c r="J37" s="1391">
        <f t="shared" si="7"/>
        <v>0</v>
      </c>
      <c r="K37" s="850">
        <f t="shared" si="8"/>
        <v>0</v>
      </c>
      <c r="L37" s="836">
        <v>0</v>
      </c>
      <c r="M37" s="851">
        <v>0</v>
      </c>
      <c r="N37" s="851">
        <v>0</v>
      </c>
      <c r="O37" s="851">
        <v>0</v>
      </c>
      <c r="P37" s="851">
        <v>0</v>
      </c>
      <c r="Q37" s="851">
        <v>0</v>
      </c>
      <c r="R37" s="462"/>
      <c r="S37" s="844">
        <f t="shared" si="9"/>
        <v>0</v>
      </c>
      <c r="T37" s="836">
        <v>0</v>
      </c>
      <c r="U37" s="851">
        <v>0</v>
      </c>
      <c r="V37" s="851"/>
      <c r="W37" s="851"/>
      <c r="X37" s="851"/>
      <c r="Y37" s="845"/>
      <c r="Z37" s="409"/>
    </row>
    <row r="38" spans="2:28" x14ac:dyDescent="0.3">
      <c r="B38" s="451"/>
      <c r="C38" s="45"/>
      <c r="D38" s="44" t="s">
        <v>498</v>
      </c>
      <c r="E38" s="44"/>
      <c r="F38" s="44"/>
      <c r="G38" s="352">
        <f>IFERROR(J38/(J34+J36+J37+J46),)</f>
        <v>5.527528090761364E-2</v>
      </c>
      <c r="H38" s="53"/>
      <c r="I38" s="834">
        <f t="shared" si="6"/>
        <v>3.6468217469574203E-2</v>
      </c>
      <c r="J38" s="1391">
        <f t="shared" si="7"/>
        <v>2061413</v>
      </c>
      <c r="K38" s="850">
        <f t="shared" si="8"/>
        <v>1874028</v>
      </c>
      <c r="L38" s="836">
        <v>434717</v>
      </c>
      <c r="M38" s="851">
        <v>161286</v>
      </c>
      <c r="N38" s="851">
        <v>68968</v>
      </c>
      <c r="O38" s="851">
        <v>653000</v>
      </c>
      <c r="P38" s="851">
        <v>0</v>
      </c>
      <c r="Q38" s="851">
        <v>556057</v>
      </c>
      <c r="R38" s="462"/>
      <c r="S38" s="844">
        <f t="shared" si="9"/>
        <v>187385</v>
      </c>
      <c r="T38" s="836">
        <v>0</v>
      </c>
      <c r="U38" s="851">
        <v>187385</v>
      </c>
      <c r="V38" s="851"/>
      <c r="W38" s="851"/>
      <c r="X38" s="851"/>
      <c r="Y38" s="845"/>
      <c r="Z38" s="409"/>
    </row>
    <row r="39" spans="2:28" x14ac:dyDescent="0.3">
      <c r="B39" s="451"/>
      <c r="C39" s="45"/>
      <c r="D39" s="44" t="s">
        <v>161</v>
      </c>
      <c r="E39" s="44"/>
      <c r="F39" s="44"/>
      <c r="G39" s="352">
        <f>IFERROR(J39/(J35+J36+J37+J46),)</f>
        <v>0</v>
      </c>
      <c r="H39" s="53"/>
      <c r="I39" s="834">
        <f t="shared" si="6"/>
        <v>0</v>
      </c>
      <c r="J39" s="1391">
        <f t="shared" si="7"/>
        <v>0</v>
      </c>
      <c r="K39" s="850">
        <f t="shared" si="8"/>
        <v>0</v>
      </c>
      <c r="L39" s="836">
        <v>0</v>
      </c>
      <c r="M39" s="851">
        <v>0</v>
      </c>
      <c r="N39" s="851">
        <v>0</v>
      </c>
      <c r="O39" s="851">
        <v>0</v>
      </c>
      <c r="P39" s="851">
        <v>0</v>
      </c>
      <c r="Q39" s="851">
        <v>0</v>
      </c>
      <c r="R39" s="462"/>
      <c r="S39" s="844">
        <f t="shared" si="9"/>
        <v>0</v>
      </c>
      <c r="T39" s="836">
        <v>0</v>
      </c>
      <c r="U39" s="851">
        <v>0</v>
      </c>
      <c r="V39" s="851"/>
      <c r="W39" s="851"/>
      <c r="X39" s="851"/>
      <c r="Y39" s="845"/>
      <c r="Z39" s="409"/>
    </row>
    <row r="40" spans="2:28" x14ac:dyDescent="0.3">
      <c r="B40" s="451"/>
      <c r="C40" s="45"/>
      <c r="D40" s="44" t="s">
        <v>162</v>
      </c>
      <c r="E40" s="44"/>
      <c r="F40" s="44"/>
      <c r="G40" s="44"/>
      <c r="H40" s="44"/>
      <c r="I40" s="834">
        <f t="shared" si="6"/>
        <v>0</v>
      </c>
      <c r="J40" s="1391">
        <f t="shared" si="7"/>
        <v>0</v>
      </c>
      <c r="K40" s="850">
        <f t="shared" si="8"/>
        <v>0</v>
      </c>
      <c r="L40" s="836">
        <v>0</v>
      </c>
      <c r="M40" s="851">
        <v>0</v>
      </c>
      <c r="N40" s="851">
        <v>0</v>
      </c>
      <c r="O40" s="851">
        <v>0</v>
      </c>
      <c r="P40" s="851">
        <v>0</v>
      </c>
      <c r="Q40" s="851">
        <v>0</v>
      </c>
      <c r="R40" s="462"/>
      <c r="S40" s="844">
        <f t="shared" si="9"/>
        <v>0</v>
      </c>
      <c r="T40" s="836">
        <v>0</v>
      </c>
      <c r="U40" s="851">
        <v>0</v>
      </c>
      <c r="V40" s="851"/>
      <c r="W40" s="851"/>
      <c r="X40" s="851"/>
      <c r="Y40" s="845"/>
      <c r="Z40" s="409"/>
      <c r="AB40" s="1666">
        <f>SUM(M33:M48)</f>
        <v>3750000</v>
      </c>
    </row>
    <row r="41" spans="2:28" x14ac:dyDescent="0.3">
      <c r="B41" s="451"/>
      <c r="C41" s="45"/>
      <c r="D41" s="44" t="s">
        <v>163</v>
      </c>
      <c r="E41" s="44"/>
      <c r="F41" s="44"/>
      <c r="G41" s="44"/>
      <c r="H41" s="44"/>
      <c r="I41" s="834">
        <f t="shared" si="6"/>
        <v>0</v>
      </c>
      <c r="J41" s="1391">
        <f t="shared" si="7"/>
        <v>0</v>
      </c>
      <c r="K41" s="850">
        <f t="shared" si="8"/>
        <v>0</v>
      </c>
      <c r="L41" s="836">
        <v>0</v>
      </c>
      <c r="M41" s="851"/>
      <c r="N41" s="851">
        <v>0</v>
      </c>
      <c r="O41" s="851">
        <v>0</v>
      </c>
      <c r="P41" s="851">
        <v>0</v>
      </c>
      <c r="Q41" s="851"/>
      <c r="R41" s="462"/>
      <c r="S41" s="844">
        <f t="shared" si="9"/>
        <v>0</v>
      </c>
      <c r="T41" s="836">
        <v>0</v>
      </c>
      <c r="U41" s="851">
        <v>0</v>
      </c>
      <c r="V41" s="851"/>
      <c r="W41" s="851"/>
      <c r="X41" s="851"/>
      <c r="Y41" s="845"/>
      <c r="Z41" s="409"/>
    </row>
    <row r="42" spans="2:28" x14ac:dyDescent="0.3">
      <c r="B42" s="451"/>
      <c r="C42" s="45"/>
      <c r="D42" s="44" t="s">
        <v>164</v>
      </c>
      <c r="E42" s="44"/>
      <c r="F42" s="44"/>
      <c r="G42" s="44"/>
      <c r="H42" s="44"/>
      <c r="I42" s="834">
        <f t="shared" si="6"/>
        <v>0</v>
      </c>
      <c r="J42" s="1391">
        <f t="shared" si="7"/>
        <v>0</v>
      </c>
      <c r="K42" s="850">
        <f t="shared" si="8"/>
        <v>0</v>
      </c>
      <c r="L42" s="836">
        <v>0</v>
      </c>
      <c r="M42" s="851">
        <v>0</v>
      </c>
      <c r="N42" s="851">
        <v>0</v>
      </c>
      <c r="O42" s="851">
        <v>0</v>
      </c>
      <c r="P42" s="851">
        <v>0</v>
      </c>
      <c r="Q42" s="851">
        <v>0</v>
      </c>
      <c r="R42" s="462"/>
      <c r="S42" s="844">
        <f t="shared" si="9"/>
        <v>0</v>
      </c>
      <c r="T42" s="836">
        <v>0</v>
      </c>
      <c r="U42" s="851">
        <v>0</v>
      </c>
      <c r="V42" s="851"/>
      <c r="W42" s="851"/>
      <c r="X42" s="851"/>
      <c r="Y42" s="845"/>
      <c r="Z42" s="409"/>
    </row>
    <row r="43" spans="2:28" x14ac:dyDescent="0.3">
      <c r="B43" s="451"/>
      <c r="C43" s="45"/>
      <c r="D43" s="44" t="s">
        <v>165</v>
      </c>
      <c r="E43" s="44"/>
      <c r="F43" s="44"/>
      <c r="G43" s="44"/>
      <c r="H43" s="44"/>
      <c r="I43" s="834">
        <f t="shared" si="6"/>
        <v>0</v>
      </c>
      <c r="J43" s="1391">
        <f t="shared" si="7"/>
        <v>0</v>
      </c>
      <c r="K43" s="850">
        <f t="shared" si="8"/>
        <v>0</v>
      </c>
      <c r="L43" s="836">
        <v>0</v>
      </c>
      <c r="M43" s="851">
        <v>0</v>
      </c>
      <c r="N43" s="851">
        <v>0</v>
      </c>
      <c r="O43" s="851">
        <v>0</v>
      </c>
      <c r="P43" s="851">
        <v>0</v>
      </c>
      <c r="Q43" s="851">
        <v>0</v>
      </c>
      <c r="R43" s="462"/>
      <c r="S43" s="844">
        <f t="shared" si="9"/>
        <v>0</v>
      </c>
      <c r="T43" s="836">
        <v>0</v>
      </c>
      <c r="U43" s="851">
        <v>0</v>
      </c>
      <c r="V43" s="851"/>
      <c r="W43" s="851"/>
      <c r="X43" s="851"/>
      <c r="Y43" s="845"/>
      <c r="Z43" s="409"/>
    </row>
    <row r="44" spans="2:28" x14ac:dyDescent="0.3">
      <c r="B44" s="451"/>
      <c r="C44" s="45"/>
      <c r="D44" s="44" t="s">
        <v>166</v>
      </c>
      <c r="E44" s="44"/>
      <c r="F44" s="44"/>
      <c r="G44" s="44"/>
      <c r="H44" s="44"/>
      <c r="I44" s="834">
        <f t="shared" si="6"/>
        <v>0</v>
      </c>
      <c r="J44" s="1391">
        <f t="shared" si="7"/>
        <v>0</v>
      </c>
      <c r="K44" s="850">
        <f t="shared" si="8"/>
        <v>0</v>
      </c>
      <c r="L44" s="836">
        <v>0</v>
      </c>
      <c r="M44" s="851">
        <v>0</v>
      </c>
      <c r="N44" s="851">
        <v>0</v>
      </c>
      <c r="O44" s="851">
        <v>0</v>
      </c>
      <c r="P44" s="851">
        <v>0</v>
      </c>
      <c r="Q44" s="851">
        <v>0</v>
      </c>
      <c r="R44" s="462"/>
      <c r="S44" s="844">
        <f t="shared" si="9"/>
        <v>0</v>
      </c>
      <c r="T44" s="836">
        <v>0</v>
      </c>
      <c r="U44" s="851">
        <v>0</v>
      </c>
      <c r="V44" s="851"/>
      <c r="W44" s="851"/>
      <c r="X44" s="851"/>
      <c r="Y44" s="845"/>
      <c r="Z44" s="409"/>
    </row>
    <row r="45" spans="2:28" x14ac:dyDescent="0.3">
      <c r="B45" s="451"/>
      <c r="C45" s="45"/>
      <c r="D45" s="44" t="s">
        <v>167</v>
      </c>
      <c r="E45" s="44"/>
      <c r="F45" s="44"/>
      <c r="G45" s="44"/>
      <c r="H45" s="44"/>
      <c r="I45" s="834">
        <f t="shared" si="6"/>
        <v>6.7634707100620028E-2</v>
      </c>
      <c r="J45" s="1391">
        <f t="shared" si="7"/>
        <v>3823139</v>
      </c>
      <c r="K45" s="850">
        <f t="shared" si="8"/>
        <v>3479344</v>
      </c>
      <c r="L45" s="836">
        <v>873085</v>
      </c>
      <c r="M45" s="851">
        <v>334058</v>
      </c>
      <c r="N45" s="851">
        <v>42423</v>
      </c>
      <c r="O45" s="851">
        <v>1403555</v>
      </c>
      <c r="P45" s="851">
        <v>0</v>
      </c>
      <c r="Q45" s="851">
        <v>826223</v>
      </c>
      <c r="R45" s="462"/>
      <c r="S45" s="844">
        <f t="shared" si="9"/>
        <v>343795</v>
      </c>
      <c r="T45" s="836">
        <v>0</v>
      </c>
      <c r="U45" s="851">
        <v>343795</v>
      </c>
      <c r="V45" s="851"/>
      <c r="W45" s="851"/>
      <c r="X45" s="851"/>
      <c r="Y45" s="845"/>
      <c r="Z45" s="409"/>
    </row>
    <row r="46" spans="2:28" x14ac:dyDescent="0.3">
      <c r="B46" s="451"/>
      <c r="C46" s="45"/>
      <c r="D46" s="44" t="s">
        <v>168</v>
      </c>
      <c r="E46" s="44"/>
      <c r="F46" s="44"/>
      <c r="G46" s="44"/>
      <c r="H46" s="44"/>
      <c r="I46" s="834">
        <f t="shared" si="6"/>
        <v>0</v>
      </c>
      <c r="J46" s="1391">
        <f t="shared" si="7"/>
        <v>0</v>
      </c>
      <c r="K46" s="850">
        <f t="shared" si="8"/>
        <v>0</v>
      </c>
      <c r="L46" s="836">
        <v>0</v>
      </c>
      <c r="M46" s="851">
        <v>0</v>
      </c>
      <c r="N46" s="851">
        <v>0</v>
      </c>
      <c r="O46" s="851">
        <v>0</v>
      </c>
      <c r="P46" s="851">
        <v>0</v>
      </c>
      <c r="Q46" s="851">
        <v>0</v>
      </c>
      <c r="R46" s="462"/>
      <c r="S46" s="844">
        <f t="shared" si="9"/>
        <v>0</v>
      </c>
      <c r="T46" s="836">
        <v>0</v>
      </c>
      <c r="U46" s="851">
        <v>0</v>
      </c>
      <c r="V46" s="851"/>
      <c r="W46" s="851"/>
      <c r="X46" s="851"/>
      <c r="Y46" s="845"/>
      <c r="Z46" s="409"/>
    </row>
    <row r="47" spans="2:28" x14ac:dyDescent="0.3">
      <c r="B47" s="451"/>
      <c r="C47" s="45"/>
      <c r="D47" s="44" t="s">
        <v>169</v>
      </c>
      <c r="E47" s="44"/>
      <c r="F47" s="44"/>
      <c r="G47" s="44"/>
      <c r="H47" s="44"/>
      <c r="I47" s="834">
        <f t="shared" si="6"/>
        <v>1.973311922174831E-3</v>
      </c>
      <c r="J47" s="1391">
        <f t="shared" si="7"/>
        <v>111544</v>
      </c>
      <c r="K47" s="850">
        <f t="shared" si="8"/>
        <v>104656</v>
      </c>
      <c r="L47" s="836"/>
      <c r="M47" s="851">
        <v>104656</v>
      </c>
      <c r="N47" s="851">
        <v>0</v>
      </c>
      <c r="O47" s="851">
        <v>0</v>
      </c>
      <c r="P47" s="851">
        <v>0</v>
      </c>
      <c r="Q47" s="851">
        <v>0</v>
      </c>
      <c r="R47" s="462"/>
      <c r="S47" s="844">
        <f t="shared" si="9"/>
        <v>6888</v>
      </c>
      <c r="T47" s="836">
        <v>0</v>
      </c>
      <c r="U47" s="851">
        <v>6888</v>
      </c>
      <c r="V47" s="851"/>
      <c r="W47" s="851"/>
      <c r="X47" s="851"/>
      <c r="Y47" s="845"/>
      <c r="Z47" s="409"/>
    </row>
    <row r="48" spans="2:28" x14ac:dyDescent="0.3">
      <c r="B48" s="451"/>
      <c r="C48" s="45"/>
      <c r="D48" s="49" t="s">
        <v>422</v>
      </c>
      <c r="E48" s="2688"/>
      <c r="F48" s="2689"/>
      <c r="G48" s="2690"/>
      <c r="H48" s="49"/>
      <c r="I48" s="838">
        <f t="shared" si="6"/>
        <v>0</v>
      </c>
      <c r="J48" s="1392">
        <f t="shared" si="7"/>
        <v>0</v>
      </c>
      <c r="K48" s="852">
        <f t="shared" si="8"/>
        <v>0</v>
      </c>
      <c r="L48" s="853">
        <v>0</v>
      </c>
      <c r="M48" s="854">
        <v>0</v>
      </c>
      <c r="N48" s="854">
        <v>0</v>
      </c>
      <c r="O48" s="854">
        <v>0</v>
      </c>
      <c r="P48" s="854">
        <v>0</v>
      </c>
      <c r="Q48" s="854">
        <v>0</v>
      </c>
      <c r="R48" s="462"/>
      <c r="S48" s="856">
        <f t="shared" si="9"/>
        <v>0</v>
      </c>
      <c r="T48" s="853">
        <v>0</v>
      </c>
      <c r="U48" s="854">
        <v>0</v>
      </c>
      <c r="V48" s="854"/>
      <c r="W48" s="854"/>
      <c r="X48" s="854"/>
      <c r="Y48" s="857"/>
      <c r="Z48" s="409"/>
    </row>
    <row r="49" spans="2:26" ht="15" thickBot="1" x14ac:dyDescent="0.35">
      <c r="B49" s="451"/>
      <c r="C49" s="45"/>
      <c r="D49" s="44"/>
      <c r="E49" s="44"/>
      <c r="F49" s="44"/>
      <c r="G49" s="48" t="s">
        <v>153</v>
      </c>
      <c r="H49" s="48"/>
      <c r="I49" s="353">
        <f t="shared" si="6"/>
        <v>0.76583258455194181</v>
      </c>
      <c r="J49" s="36">
        <f t="shared" ref="J49:Q49" si="10">SUM(J33:J48)</f>
        <v>43289674</v>
      </c>
      <c r="K49" s="22">
        <f t="shared" si="10"/>
        <v>39354588</v>
      </c>
      <c r="L49" s="1449">
        <f t="shared" si="10"/>
        <v>9570572</v>
      </c>
      <c r="M49" s="1450">
        <f t="shared" si="10"/>
        <v>3750000</v>
      </c>
      <c r="N49" s="1450">
        <f t="shared" si="10"/>
        <v>1293488.99</v>
      </c>
      <c r="O49" s="1450">
        <f t="shared" si="10"/>
        <v>15116555</v>
      </c>
      <c r="P49" s="1450">
        <f t="shared" si="10"/>
        <v>0</v>
      </c>
      <c r="Q49" s="1450">
        <f t="shared" si="10"/>
        <v>9623972.0099999998</v>
      </c>
      <c r="R49" s="463"/>
      <c r="S49" s="464">
        <f t="shared" ref="S49:Y49" si="11">SUM(S33:S48)</f>
        <v>3935086</v>
      </c>
      <c r="T49" s="1449">
        <f t="shared" si="11"/>
        <v>1694820</v>
      </c>
      <c r="U49" s="1450">
        <f t="shared" si="11"/>
        <v>2240266</v>
      </c>
      <c r="V49" s="1450">
        <f t="shared" si="11"/>
        <v>0</v>
      </c>
      <c r="W49" s="1450">
        <f t="shared" si="11"/>
        <v>0</v>
      </c>
      <c r="X49" s="1450">
        <f t="shared" si="11"/>
        <v>0</v>
      </c>
      <c r="Y49" s="1451">
        <f t="shared" si="11"/>
        <v>0</v>
      </c>
      <c r="Z49" s="409"/>
    </row>
    <row r="50" spans="2:26" ht="9" customHeight="1" thickBot="1" x14ac:dyDescent="0.35">
      <c r="B50" s="466"/>
      <c r="C50" s="28"/>
      <c r="D50" s="28"/>
      <c r="E50" s="28"/>
      <c r="F50" s="28"/>
      <c r="G50" s="28"/>
      <c r="H50" s="28"/>
      <c r="I50" s="415"/>
      <c r="J50" s="467"/>
      <c r="K50" s="468"/>
      <c r="L50" s="469"/>
      <c r="M50" s="29"/>
      <c r="N50" s="29"/>
      <c r="O50" s="29"/>
      <c r="P50" s="468"/>
      <c r="Q50" s="29"/>
      <c r="R50" s="470"/>
      <c r="S50" s="29"/>
      <c r="T50" s="469"/>
      <c r="U50" s="29"/>
      <c r="V50" s="29"/>
      <c r="W50" s="29"/>
      <c r="X50" s="468"/>
      <c r="Y50" s="29"/>
      <c r="Z50" s="416"/>
    </row>
    <row r="51" spans="2:26" ht="15" thickBot="1" x14ac:dyDescent="0.35">
      <c r="B51" s="451"/>
      <c r="C51" s="78" t="s">
        <v>170</v>
      </c>
      <c r="D51" s="78"/>
      <c r="E51" s="78"/>
      <c r="F51" s="78"/>
      <c r="G51" s="78"/>
      <c r="H51" s="47"/>
      <c r="I51" s="47"/>
      <c r="J51" s="47"/>
      <c r="K51" s="47"/>
      <c r="L51" s="453"/>
      <c r="M51" s="45"/>
      <c r="N51" s="45"/>
      <c r="O51" s="15"/>
      <c r="P51" s="460"/>
      <c r="Q51" s="460"/>
      <c r="R51" s="457"/>
      <c r="S51" s="68"/>
      <c r="T51" s="460"/>
      <c r="U51" s="45"/>
      <c r="V51" s="45"/>
      <c r="W51" s="15"/>
      <c r="X51" s="460"/>
      <c r="Y51" s="460"/>
      <c r="Z51" s="409"/>
    </row>
    <row r="52" spans="2:26" x14ac:dyDescent="0.3">
      <c r="B52" s="451"/>
      <c r="C52" s="45"/>
      <c r="D52" s="155" t="s">
        <v>171</v>
      </c>
      <c r="E52" s="155"/>
      <c r="F52" s="155"/>
      <c r="G52" s="155"/>
      <c r="H52" s="155"/>
      <c r="I52" s="830">
        <f t="shared" ref="I52:I65" si="12">IFERROR(J52/J$122," ")</f>
        <v>1.1838739316497497E-4</v>
      </c>
      <c r="J52" s="1393">
        <f t="shared" ref="J52:J64" si="13">SUM(K52+S52)</f>
        <v>6692</v>
      </c>
      <c r="K52" s="848">
        <f t="shared" ref="K52:K64" si="14">SUM(L52:Q52)</f>
        <v>6279</v>
      </c>
      <c r="L52" s="832">
        <v>6279</v>
      </c>
      <c r="M52" s="849">
        <v>0</v>
      </c>
      <c r="N52" s="849">
        <v>0</v>
      </c>
      <c r="O52" s="849">
        <v>0</v>
      </c>
      <c r="P52" s="849">
        <v>0</v>
      </c>
      <c r="Q52" s="849">
        <v>0</v>
      </c>
      <c r="R52" s="461"/>
      <c r="S52" s="855">
        <f t="shared" ref="S52:S64" si="15">SUM(T52:Y52)</f>
        <v>413</v>
      </c>
      <c r="T52" s="832">
        <v>0</v>
      </c>
      <c r="U52" s="849">
        <v>413</v>
      </c>
      <c r="V52" s="849"/>
      <c r="W52" s="849"/>
      <c r="X52" s="849"/>
      <c r="Y52" s="843"/>
      <c r="Z52" s="409"/>
    </row>
    <row r="53" spans="2:26" x14ac:dyDescent="0.3">
      <c r="B53" s="451"/>
      <c r="C53" s="45"/>
      <c r="D53" s="44" t="s">
        <v>172</v>
      </c>
      <c r="E53" s="44"/>
      <c r="F53" s="44"/>
      <c r="G53" s="44"/>
      <c r="H53" s="44"/>
      <c r="I53" s="834">
        <f t="shared" si="12"/>
        <v>8.7693710089477129E-5</v>
      </c>
      <c r="J53" s="1391">
        <f t="shared" si="13"/>
        <v>4957</v>
      </c>
      <c r="K53" s="850">
        <f t="shared" si="14"/>
        <v>4957</v>
      </c>
      <c r="L53" s="836">
        <v>4957</v>
      </c>
      <c r="M53" s="851">
        <v>0</v>
      </c>
      <c r="N53" s="851">
        <v>0</v>
      </c>
      <c r="O53" s="851">
        <v>0</v>
      </c>
      <c r="P53" s="851">
        <v>0</v>
      </c>
      <c r="Q53" s="851">
        <v>0</v>
      </c>
      <c r="R53" s="462"/>
      <c r="S53" s="844">
        <f t="shared" si="15"/>
        <v>0</v>
      </c>
      <c r="T53" s="836">
        <v>0</v>
      </c>
      <c r="U53" s="851">
        <v>0</v>
      </c>
      <c r="V53" s="851"/>
      <c r="W53" s="851"/>
      <c r="X53" s="851"/>
      <c r="Y53" s="845"/>
      <c r="Z53" s="409"/>
    </row>
    <row r="54" spans="2:26" x14ac:dyDescent="0.3">
      <c r="B54" s="451"/>
      <c r="C54" s="45"/>
      <c r="D54" s="44" t="s">
        <v>173</v>
      </c>
      <c r="E54" s="44"/>
      <c r="F54" s="44"/>
      <c r="G54" s="44"/>
      <c r="H54" s="44"/>
      <c r="I54" s="834">
        <f t="shared" si="12"/>
        <v>3.2001587792186391E-2</v>
      </c>
      <c r="J54" s="1391">
        <f t="shared" si="13"/>
        <v>1808931</v>
      </c>
      <c r="K54" s="850">
        <f t="shared" si="14"/>
        <v>1626853</v>
      </c>
      <c r="L54" s="836">
        <v>626853</v>
      </c>
      <c r="M54" s="851">
        <v>0</v>
      </c>
      <c r="N54" s="851">
        <v>0</v>
      </c>
      <c r="O54" s="851">
        <v>0</v>
      </c>
      <c r="P54" s="851">
        <v>0</v>
      </c>
      <c r="Q54" s="851">
        <v>1000000</v>
      </c>
      <c r="R54" s="462"/>
      <c r="S54" s="844">
        <f t="shared" si="15"/>
        <v>182078</v>
      </c>
      <c r="T54" s="836">
        <v>0</v>
      </c>
      <c r="U54" s="851">
        <v>182078</v>
      </c>
      <c r="V54" s="851"/>
      <c r="W54" s="851"/>
      <c r="X54" s="851"/>
      <c r="Y54" s="845"/>
      <c r="Z54" s="409"/>
    </row>
    <row r="55" spans="2:26" x14ac:dyDescent="0.3">
      <c r="B55" s="451"/>
      <c r="C55" s="45"/>
      <c r="D55" s="44" t="s">
        <v>174</v>
      </c>
      <c r="E55" s="44"/>
      <c r="F55" s="44"/>
      <c r="G55" s="44"/>
      <c r="H55" s="44"/>
      <c r="I55" s="834">
        <f t="shared" si="12"/>
        <v>0</v>
      </c>
      <c r="J55" s="1391">
        <f t="shared" si="13"/>
        <v>0</v>
      </c>
      <c r="K55" s="850">
        <f t="shared" si="14"/>
        <v>0</v>
      </c>
      <c r="L55" s="836">
        <v>0</v>
      </c>
      <c r="M55" s="851">
        <v>0</v>
      </c>
      <c r="N55" s="851">
        <v>0</v>
      </c>
      <c r="O55" s="851">
        <v>0</v>
      </c>
      <c r="P55" s="851">
        <v>0</v>
      </c>
      <c r="Q55" s="851">
        <v>0</v>
      </c>
      <c r="R55" s="462"/>
      <c r="S55" s="844">
        <f t="shared" si="15"/>
        <v>0</v>
      </c>
      <c r="T55" s="836">
        <v>0</v>
      </c>
      <c r="U55" s="851">
        <v>0</v>
      </c>
      <c r="V55" s="851"/>
      <c r="W55" s="851"/>
      <c r="X55" s="851"/>
      <c r="Y55" s="845"/>
      <c r="Z55" s="409"/>
    </row>
    <row r="56" spans="2:26" x14ac:dyDescent="0.3">
      <c r="B56" s="451"/>
      <c r="C56" s="45"/>
      <c r="D56" s="50" t="s">
        <v>175</v>
      </c>
      <c r="E56" s="50"/>
      <c r="F56" s="50"/>
      <c r="G56" s="50"/>
      <c r="H56" s="50"/>
      <c r="I56" s="834">
        <f t="shared" si="12"/>
        <v>0</v>
      </c>
      <c r="J56" s="1391">
        <f t="shared" si="13"/>
        <v>0</v>
      </c>
      <c r="K56" s="850">
        <f t="shared" si="14"/>
        <v>0</v>
      </c>
      <c r="L56" s="836">
        <v>0</v>
      </c>
      <c r="M56" s="851">
        <v>0</v>
      </c>
      <c r="N56" s="851">
        <v>0</v>
      </c>
      <c r="O56" s="851">
        <v>0</v>
      </c>
      <c r="P56" s="851">
        <v>0</v>
      </c>
      <c r="Q56" s="851">
        <v>0</v>
      </c>
      <c r="R56" s="462"/>
      <c r="S56" s="844">
        <f t="shared" si="15"/>
        <v>0</v>
      </c>
      <c r="T56" s="836">
        <v>0</v>
      </c>
      <c r="U56" s="851">
        <v>0</v>
      </c>
      <c r="V56" s="851"/>
      <c r="W56" s="851"/>
      <c r="X56" s="851"/>
      <c r="Y56" s="845"/>
      <c r="Z56" s="409"/>
    </row>
    <row r="57" spans="2:26" x14ac:dyDescent="0.3">
      <c r="B57" s="451"/>
      <c r="C57" s="45"/>
      <c r="D57" s="44" t="s">
        <v>176</v>
      </c>
      <c r="E57" s="44"/>
      <c r="F57" s="44"/>
      <c r="G57" s="44"/>
      <c r="H57" s="44"/>
      <c r="I57" s="834">
        <f t="shared" si="12"/>
        <v>2.9598617379605446E-4</v>
      </c>
      <c r="J57" s="1391">
        <f t="shared" si="13"/>
        <v>16731</v>
      </c>
      <c r="K57" s="850">
        <f t="shared" si="14"/>
        <v>15698</v>
      </c>
      <c r="L57" s="836">
        <v>15698</v>
      </c>
      <c r="M57" s="851">
        <v>0</v>
      </c>
      <c r="N57" s="851">
        <v>0</v>
      </c>
      <c r="O57" s="851">
        <v>0</v>
      </c>
      <c r="P57" s="851">
        <v>0</v>
      </c>
      <c r="Q57" s="851">
        <v>0</v>
      </c>
      <c r="R57" s="462"/>
      <c r="S57" s="844">
        <f t="shared" si="15"/>
        <v>1033</v>
      </c>
      <c r="T57" s="836">
        <v>0</v>
      </c>
      <c r="U57" s="851">
        <v>1033</v>
      </c>
      <c r="V57" s="851"/>
      <c r="W57" s="851"/>
      <c r="X57" s="851"/>
      <c r="Y57" s="845"/>
      <c r="Z57" s="409"/>
    </row>
    <row r="58" spans="2:26" x14ac:dyDescent="0.3">
      <c r="B58" s="451"/>
      <c r="C58" s="45"/>
      <c r="D58" s="44" t="s">
        <v>177</v>
      </c>
      <c r="E58" s="44"/>
      <c r="F58" s="44"/>
      <c r="G58" s="44"/>
      <c r="H58" s="44"/>
      <c r="I58" s="834">
        <f t="shared" si="12"/>
        <v>7.3999197081556158E-4</v>
      </c>
      <c r="J58" s="1391">
        <f t="shared" si="13"/>
        <v>41829</v>
      </c>
      <c r="K58" s="850">
        <f t="shared" si="14"/>
        <v>39246</v>
      </c>
      <c r="L58" s="836">
        <v>39246</v>
      </c>
      <c r="M58" s="851">
        <v>0</v>
      </c>
      <c r="N58" s="851">
        <v>0</v>
      </c>
      <c r="O58" s="851">
        <v>0</v>
      </c>
      <c r="P58" s="851">
        <v>0</v>
      </c>
      <c r="Q58" s="851">
        <v>0</v>
      </c>
      <c r="R58" s="462"/>
      <c r="S58" s="844">
        <f t="shared" si="15"/>
        <v>2583</v>
      </c>
      <c r="T58" s="836">
        <v>0</v>
      </c>
      <c r="U58" s="851">
        <v>2583</v>
      </c>
      <c r="V58" s="851"/>
      <c r="W58" s="851"/>
      <c r="X58" s="851"/>
      <c r="Y58" s="845"/>
      <c r="Z58" s="409"/>
    </row>
    <row r="59" spans="2:26" x14ac:dyDescent="0.3">
      <c r="B59" s="451"/>
      <c r="C59" s="45"/>
      <c r="D59" s="44" t="s">
        <v>178</v>
      </c>
      <c r="E59" s="44"/>
      <c r="F59" s="44"/>
      <c r="G59" s="44"/>
      <c r="H59" s="44"/>
      <c r="I59" s="834">
        <f t="shared" si="12"/>
        <v>1.5293238160389408E-3</v>
      </c>
      <c r="J59" s="1391">
        <f t="shared" si="13"/>
        <v>86447</v>
      </c>
      <c r="K59" s="850">
        <f t="shared" si="14"/>
        <v>81109</v>
      </c>
      <c r="L59" s="836">
        <v>81109</v>
      </c>
      <c r="M59" s="851">
        <v>0</v>
      </c>
      <c r="N59" s="851">
        <v>0</v>
      </c>
      <c r="O59" s="851">
        <v>0</v>
      </c>
      <c r="P59" s="851">
        <v>0</v>
      </c>
      <c r="Q59" s="851"/>
      <c r="R59" s="462"/>
      <c r="S59" s="844">
        <f t="shared" si="15"/>
        <v>5338</v>
      </c>
      <c r="T59" s="836">
        <v>0</v>
      </c>
      <c r="U59" s="851">
        <v>5338</v>
      </c>
      <c r="V59" s="851"/>
      <c r="W59" s="851"/>
      <c r="X59" s="851"/>
      <c r="Y59" s="845"/>
      <c r="Z59" s="409"/>
    </row>
    <row r="60" spans="2:26" x14ac:dyDescent="0.3">
      <c r="B60" s="451"/>
      <c r="C60" s="45"/>
      <c r="D60" s="50" t="s">
        <v>179</v>
      </c>
      <c r="E60" s="50"/>
      <c r="F60" s="50"/>
      <c r="G60" s="50"/>
      <c r="H60" s="50"/>
      <c r="I60" s="834">
        <f t="shared" si="12"/>
        <v>6.3638478018608294E-2</v>
      </c>
      <c r="J60" s="1391">
        <f t="shared" si="13"/>
        <v>3597247</v>
      </c>
      <c r="K60" s="850">
        <f t="shared" si="14"/>
        <v>3577247</v>
      </c>
      <c r="L60" s="836">
        <v>0</v>
      </c>
      <c r="M60" s="851">
        <v>0</v>
      </c>
      <c r="N60" s="851">
        <v>0</v>
      </c>
      <c r="O60" s="851">
        <v>0</v>
      </c>
      <c r="P60" s="851">
        <v>2100000</v>
      </c>
      <c r="Q60" s="851">
        <v>1477247</v>
      </c>
      <c r="R60" s="462"/>
      <c r="S60" s="844">
        <f t="shared" si="15"/>
        <v>20000</v>
      </c>
      <c r="T60" s="836">
        <v>0</v>
      </c>
      <c r="U60" s="851">
        <v>20000</v>
      </c>
      <c r="V60" s="851"/>
      <c r="W60" s="851"/>
      <c r="X60" s="851"/>
      <c r="Y60" s="845"/>
      <c r="Z60" s="409"/>
    </row>
    <row r="61" spans="2:26" x14ac:dyDescent="0.3">
      <c r="B61" s="451"/>
      <c r="C61" s="45"/>
      <c r="D61" s="50" t="s">
        <v>180</v>
      </c>
      <c r="E61" s="50"/>
      <c r="F61" s="50"/>
      <c r="G61" s="50"/>
      <c r="H61" s="50"/>
      <c r="I61" s="834">
        <f t="shared" si="12"/>
        <v>3.3336701087877891E-3</v>
      </c>
      <c r="J61" s="1391">
        <f t="shared" si="13"/>
        <v>188440</v>
      </c>
      <c r="K61" s="850">
        <f t="shared" si="14"/>
        <v>178440</v>
      </c>
      <c r="L61" s="836">
        <v>0</v>
      </c>
      <c r="M61" s="851">
        <v>0</v>
      </c>
      <c r="N61" s="851">
        <v>0</v>
      </c>
      <c r="O61" s="851">
        <v>0</v>
      </c>
      <c r="P61" s="851">
        <v>0</v>
      </c>
      <c r="Q61" s="851">
        <v>178440</v>
      </c>
      <c r="R61" s="462"/>
      <c r="S61" s="844">
        <f t="shared" si="15"/>
        <v>10000</v>
      </c>
      <c r="T61" s="836">
        <v>0</v>
      </c>
      <c r="U61" s="851">
        <v>10000</v>
      </c>
      <c r="V61" s="851"/>
      <c r="W61" s="851"/>
      <c r="X61" s="851"/>
      <c r="Y61" s="845"/>
      <c r="Z61" s="409"/>
    </row>
    <row r="62" spans="2:26" x14ac:dyDescent="0.3">
      <c r="B62" s="451"/>
      <c r="C62" s="45"/>
      <c r="D62" s="50" t="s">
        <v>181</v>
      </c>
      <c r="E62" s="50"/>
      <c r="F62" s="50"/>
      <c r="G62" s="50"/>
      <c r="H62" s="50"/>
      <c r="I62" s="834">
        <f t="shared" si="12"/>
        <v>1.5786636904467583E-3</v>
      </c>
      <c r="J62" s="1391">
        <f t="shared" si="13"/>
        <v>89236</v>
      </c>
      <c r="K62" s="850">
        <f t="shared" si="14"/>
        <v>83725</v>
      </c>
      <c r="L62" s="858">
        <v>83725</v>
      </c>
      <c r="M62" s="859">
        <v>0</v>
      </c>
      <c r="N62" s="859">
        <v>0</v>
      </c>
      <c r="O62" s="859">
        <v>0</v>
      </c>
      <c r="P62" s="859">
        <v>0</v>
      </c>
      <c r="Q62" s="859">
        <v>0</v>
      </c>
      <c r="R62" s="462"/>
      <c r="S62" s="844">
        <f t="shared" si="15"/>
        <v>5511</v>
      </c>
      <c r="T62" s="858">
        <v>0</v>
      </c>
      <c r="U62" s="859">
        <v>5511</v>
      </c>
      <c r="V62" s="859"/>
      <c r="W62" s="859"/>
      <c r="X62" s="859"/>
      <c r="Y62" s="861"/>
      <c r="Z62" s="409"/>
    </row>
    <row r="63" spans="2:26" x14ac:dyDescent="0.3">
      <c r="B63" s="451"/>
      <c r="C63" s="45"/>
      <c r="D63" s="83" t="s">
        <v>182</v>
      </c>
      <c r="E63" s="83"/>
      <c r="F63" s="83"/>
      <c r="G63" s="83"/>
      <c r="H63" s="83"/>
      <c r="I63" s="834">
        <f t="shared" si="12"/>
        <v>3.9466415352332786E-3</v>
      </c>
      <c r="J63" s="1391">
        <f t="shared" si="13"/>
        <v>223089</v>
      </c>
      <c r="K63" s="850">
        <f t="shared" si="14"/>
        <v>209312</v>
      </c>
      <c r="L63" s="858">
        <v>209312</v>
      </c>
      <c r="M63" s="859">
        <v>0</v>
      </c>
      <c r="N63" s="859">
        <v>0</v>
      </c>
      <c r="O63" s="859">
        <v>0</v>
      </c>
      <c r="P63" s="859">
        <v>0</v>
      </c>
      <c r="Q63" s="859">
        <v>0</v>
      </c>
      <c r="R63" s="462"/>
      <c r="S63" s="844">
        <f t="shared" si="15"/>
        <v>13777</v>
      </c>
      <c r="T63" s="858">
        <v>0</v>
      </c>
      <c r="U63" s="859">
        <v>13777</v>
      </c>
      <c r="V63" s="859"/>
      <c r="W63" s="859"/>
      <c r="X63" s="859"/>
      <c r="Y63" s="861"/>
      <c r="Z63" s="409"/>
    </row>
    <row r="64" spans="2:26" x14ac:dyDescent="0.3">
      <c r="B64" s="451"/>
      <c r="C64" s="45"/>
      <c r="D64" s="49" t="s">
        <v>422</v>
      </c>
      <c r="E64" s="2688" t="s">
        <v>2177</v>
      </c>
      <c r="F64" s="2689"/>
      <c r="G64" s="2690"/>
      <c r="H64" s="49"/>
      <c r="I64" s="838">
        <f t="shared" si="12"/>
        <v>1.974037248403128E-3</v>
      </c>
      <c r="J64" s="1392">
        <f t="shared" si="13"/>
        <v>111585</v>
      </c>
      <c r="K64" s="852">
        <f t="shared" si="14"/>
        <v>52328</v>
      </c>
      <c r="L64" s="840">
        <v>52328</v>
      </c>
      <c r="M64" s="860">
        <v>0</v>
      </c>
      <c r="N64" s="860">
        <v>0</v>
      </c>
      <c r="O64" s="860">
        <v>0</v>
      </c>
      <c r="P64" s="860">
        <v>0</v>
      </c>
      <c r="Q64" s="860">
        <v>0</v>
      </c>
      <c r="R64" s="462"/>
      <c r="S64" s="856">
        <f t="shared" si="15"/>
        <v>59257</v>
      </c>
      <c r="T64" s="840">
        <v>0</v>
      </c>
      <c r="U64" s="860">
        <v>59257</v>
      </c>
      <c r="V64" s="860"/>
      <c r="W64" s="860"/>
      <c r="X64" s="860"/>
      <c r="Y64" s="847"/>
      <c r="Z64" s="409"/>
    </row>
    <row r="65" spans="2:26" ht="15" thickBot="1" x14ac:dyDescent="0.35">
      <c r="B65" s="451"/>
      <c r="C65" s="45"/>
      <c r="D65" s="44"/>
      <c r="E65" s="44"/>
      <c r="F65" s="44"/>
      <c r="G65" s="48" t="s">
        <v>153</v>
      </c>
      <c r="H65" s="48"/>
      <c r="I65" s="353">
        <f t="shared" si="12"/>
        <v>0.10924446145757065</v>
      </c>
      <c r="J65" s="36">
        <f t="shared" ref="J65:Q65" si="16">SUM(J52:J64)</f>
        <v>6175184</v>
      </c>
      <c r="K65" s="22">
        <f t="shared" si="16"/>
        <v>5875194</v>
      </c>
      <c r="L65" s="1449">
        <f t="shared" si="16"/>
        <v>1119507</v>
      </c>
      <c r="M65" s="1450">
        <f t="shared" si="16"/>
        <v>0</v>
      </c>
      <c r="N65" s="1450">
        <f t="shared" si="16"/>
        <v>0</v>
      </c>
      <c r="O65" s="1450">
        <f t="shared" si="16"/>
        <v>0</v>
      </c>
      <c r="P65" s="1450">
        <f t="shared" si="16"/>
        <v>2100000</v>
      </c>
      <c r="Q65" s="1450">
        <f t="shared" si="16"/>
        <v>2655687</v>
      </c>
      <c r="R65" s="463"/>
      <c r="S65" s="464">
        <f t="shared" ref="S65:Y65" si="17">SUM(S52:S64)</f>
        <v>299990</v>
      </c>
      <c r="T65" s="1449">
        <f t="shared" si="17"/>
        <v>0</v>
      </c>
      <c r="U65" s="1450">
        <f t="shared" si="17"/>
        <v>299990</v>
      </c>
      <c r="V65" s="1450">
        <f t="shared" si="17"/>
        <v>0</v>
      </c>
      <c r="W65" s="1450">
        <f t="shared" si="17"/>
        <v>0</v>
      </c>
      <c r="X65" s="1450">
        <f t="shared" si="17"/>
        <v>0</v>
      </c>
      <c r="Y65" s="1451">
        <f t="shared" si="17"/>
        <v>0</v>
      </c>
      <c r="Z65" s="409"/>
    </row>
    <row r="66" spans="2:26" ht="3.75" customHeight="1" x14ac:dyDescent="0.3">
      <c r="B66" s="451"/>
      <c r="C66" s="44"/>
      <c r="D66" s="44"/>
      <c r="E66" s="44"/>
      <c r="F66" s="44"/>
      <c r="G66" s="44"/>
      <c r="H66" s="44"/>
      <c r="I66" s="410"/>
      <c r="J66" s="471"/>
      <c r="K66" s="472"/>
      <c r="L66" s="473"/>
      <c r="M66" s="362"/>
      <c r="N66" s="362"/>
      <c r="O66" s="362"/>
      <c r="P66" s="472"/>
      <c r="Q66" s="362"/>
      <c r="R66" s="474"/>
      <c r="S66" s="362"/>
      <c r="T66" s="473"/>
      <c r="U66" s="362"/>
      <c r="V66" s="362"/>
      <c r="W66" s="362"/>
      <c r="X66" s="472"/>
      <c r="Y66" s="362"/>
      <c r="Z66" s="409"/>
    </row>
    <row r="67" spans="2:26" ht="15" thickBot="1" x14ac:dyDescent="0.35">
      <c r="B67" s="451"/>
      <c r="C67" s="78" t="s">
        <v>183</v>
      </c>
      <c r="D67" s="78"/>
      <c r="E67" s="78"/>
      <c r="F67" s="78"/>
      <c r="G67" s="78"/>
      <c r="H67" s="47"/>
      <c r="I67" s="47"/>
      <c r="J67" s="47"/>
      <c r="K67" s="47"/>
      <c r="L67" s="453"/>
      <c r="M67" s="45"/>
      <c r="N67" s="45"/>
      <c r="O67" s="15"/>
      <c r="P67" s="460"/>
      <c r="Q67" s="460"/>
      <c r="R67" s="457"/>
      <c r="S67" s="68"/>
      <c r="T67" s="460"/>
      <c r="U67" s="45"/>
      <c r="V67" s="45"/>
      <c r="W67" s="15"/>
      <c r="X67" s="460"/>
      <c r="Y67" s="460"/>
      <c r="Z67" s="409"/>
    </row>
    <row r="68" spans="2:26" x14ac:dyDescent="0.3">
      <c r="B68" s="451"/>
      <c r="C68" s="45"/>
      <c r="D68" s="155" t="s">
        <v>184</v>
      </c>
      <c r="E68" s="155"/>
      <c r="F68" s="155"/>
      <c r="G68" s="155"/>
      <c r="H68" s="155"/>
      <c r="I68" s="830">
        <f>IFERROR(J68/J$122," ")</f>
        <v>0</v>
      </c>
      <c r="J68" s="1393">
        <f t="shared" ref="J68:J69" si="18">SUM(K68+S68)</f>
        <v>0</v>
      </c>
      <c r="K68" s="848">
        <f>SUM(L68:Q68)</f>
        <v>0</v>
      </c>
      <c r="L68" s="832">
        <v>0</v>
      </c>
      <c r="M68" s="849">
        <v>0</v>
      </c>
      <c r="N68" s="849">
        <v>0</v>
      </c>
      <c r="O68" s="849">
        <v>0</v>
      </c>
      <c r="P68" s="849">
        <v>0</v>
      </c>
      <c r="Q68" s="849">
        <v>0</v>
      </c>
      <c r="R68" s="461"/>
      <c r="S68" s="855">
        <f>SUM(T68:Y68)</f>
        <v>0</v>
      </c>
      <c r="T68" s="832">
        <v>0</v>
      </c>
      <c r="U68" s="849">
        <v>0</v>
      </c>
      <c r="V68" s="849"/>
      <c r="W68" s="849"/>
      <c r="X68" s="849"/>
      <c r="Y68" s="843"/>
      <c r="Z68" s="409"/>
    </row>
    <row r="69" spans="2:26" x14ac:dyDescent="0.3">
      <c r="B69" s="451"/>
      <c r="C69" s="45"/>
      <c r="D69" s="44" t="s">
        <v>185</v>
      </c>
      <c r="E69" s="44"/>
      <c r="F69" s="44"/>
      <c r="G69" s="44"/>
      <c r="H69" s="44"/>
      <c r="I69" s="838">
        <f>IFERROR(J69/J$122," ")</f>
        <v>1.1346578934272511E-3</v>
      </c>
      <c r="J69" s="1392">
        <f t="shared" si="18"/>
        <v>64138</v>
      </c>
      <c r="K69" s="852">
        <f>SUM(L69:Q69)</f>
        <v>60177</v>
      </c>
      <c r="L69" s="853">
        <v>60177</v>
      </c>
      <c r="M69" s="854">
        <v>0</v>
      </c>
      <c r="N69" s="854">
        <v>0</v>
      </c>
      <c r="O69" s="854">
        <v>0</v>
      </c>
      <c r="P69" s="854">
        <v>0</v>
      </c>
      <c r="Q69" s="854">
        <v>0</v>
      </c>
      <c r="R69" s="462"/>
      <c r="S69" s="856">
        <f>SUM(T69:Y69)</f>
        <v>3961</v>
      </c>
      <c r="T69" s="853">
        <v>0</v>
      </c>
      <c r="U69" s="854">
        <v>3961</v>
      </c>
      <c r="V69" s="854"/>
      <c r="W69" s="854"/>
      <c r="X69" s="854"/>
      <c r="Y69" s="857"/>
      <c r="Z69" s="409"/>
    </row>
    <row r="70" spans="2:26" ht="15" thickBot="1" x14ac:dyDescent="0.35">
      <c r="B70" s="451"/>
      <c r="C70" s="45"/>
      <c r="D70" s="44"/>
      <c r="E70" s="44"/>
      <c r="F70" s="44"/>
      <c r="G70" s="48" t="s">
        <v>153</v>
      </c>
      <c r="H70" s="48"/>
      <c r="I70" s="353">
        <f>IFERROR(J70/J$122," ")</f>
        <v>1.1346578934272511E-3</v>
      </c>
      <c r="J70" s="36">
        <f t="shared" ref="J70:Q70" si="19">SUM(J68:J69)</f>
        <v>64138</v>
      </c>
      <c r="K70" s="22">
        <f t="shared" si="19"/>
        <v>60177</v>
      </c>
      <c r="L70" s="1449">
        <f t="shared" si="19"/>
        <v>60177</v>
      </c>
      <c r="M70" s="1450">
        <f t="shared" si="19"/>
        <v>0</v>
      </c>
      <c r="N70" s="1450">
        <f t="shared" si="19"/>
        <v>0</v>
      </c>
      <c r="O70" s="1450">
        <f t="shared" si="19"/>
        <v>0</v>
      </c>
      <c r="P70" s="1450">
        <f t="shared" si="19"/>
        <v>0</v>
      </c>
      <c r="Q70" s="1450">
        <f t="shared" si="19"/>
        <v>0</v>
      </c>
      <c r="R70" s="463"/>
      <c r="S70" s="464">
        <f t="shared" ref="S70:Y70" si="20">SUM(S68:S69)</f>
        <v>3961</v>
      </c>
      <c r="T70" s="1449">
        <f t="shared" si="20"/>
        <v>0</v>
      </c>
      <c r="U70" s="1450">
        <f t="shared" si="20"/>
        <v>3961</v>
      </c>
      <c r="V70" s="1450">
        <f t="shared" si="20"/>
        <v>0</v>
      </c>
      <c r="W70" s="1450">
        <f t="shared" si="20"/>
        <v>0</v>
      </c>
      <c r="X70" s="1450">
        <f t="shared" si="20"/>
        <v>0</v>
      </c>
      <c r="Y70" s="1451">
        <f t="shared" si="20"/>
        <v>0</v>
      </c>
      <c r="Z70" s="409"/>
    </row>
    <row r="71" spans="2:26" ht="3.75" customHeight="1" x14ac:dyDescent="0.3">
      <c r="B71" s="451"/>
      <c r="C71" s="44"/>
      <c r="D71" s="48"/>
      <c r="E71" s="48"/>
      <c r="F71" s="48"/>
      <c r="G71" s="48"/>
      <c r="H71" s="48"/>
      <c r="I71" s="453"/>
      <c r="J71" s="453"/>
      <c r="K71" s="45"/>
      <c r="L71" s="16"/>
      <c r="M71" s="16"/>
      <c r="N71" s="16"/>
      <c r="O71" s="16"/>
      <c r="P71" s="45"/>
      <c r="Q71" s="16"/>
      <c r="R71" s="462"/>
      <c r="S71" s="16"/>
      <c r="T71" s="16"/>
      <c r="U71" s="16"/>
      <c r="V71" s="16"/>
      <c r="W71" s="16"/>
      <c r="X71" s="45"/>
      <c r="Y71" s="16"/>
      <c r="Z71" s="409"/>
    </row>
    <row r="72" spans="2:26" ht="15" thickBot="1" x14ac:dyDescent="0.35">
      <c r="B72" s="451"/>
      <c r="C72" s="78" t="s">
        <v>186</v>
      </c>
      <c r="D72" s="78"/>
      <c r="E72" s="78"/>
      <c r="F72" s="78"/>
      <c r="G72" s="78"/>
      <c r="H72" s="47"/>
      <c r="I72" s="47"/>
      <c r="J72" s="47"/>
      <c r="K72" s="47"/>
      <c r="L72" s="453"/>
      <c r="M72" s="45"/>
      <c r="N72" s="45"/>
      <c r="O72" s="15"/>
      <c r="P72" s="460"/>
      <c r="Q72" s="460"/>
      <c r="R72" s="457"/>
      <c r="S72" s="68"/>
      <c r="T72" s="460"/>
      <c r="U72" s="45"/>
      <c r="V72" s="45"/>
      <c r="W72" s="15"/>
      <c r="X72" s="460"/>
      <c r="Y72" s="460"/>
      <c r="Z72" s="409"/>
    </row>
    <row r="73" spans="2:26" x14ac:dyDescent="0.3">
      <c r="B73" s="451"/>
      <c r="C73" s="45"/>
      <c r="D73" s="155" t="s">
        <v>187</v>
      </c>
      <c r="E73" s="155"/>
      <c r="F73" s="155"/>
      <c r="G73" s="155"/>
      <c r="H73" s="155"/>
      <c r="I73" s="830">
        <f t="shared" ref="I73:I78" si="21">IFERROR(J73/J$122," ")</f>
        <v>1.4152706893601312E-3</v>
      </c>
      <c r="J73" s="1393">
        <f t="shared" ref="J73:J77" si="22">SUM(K73+S73)</f>
        <v>80000</v>
      </c>
      <c r="K73" s="848">
        <f>SUM(L73:Q73)</f>
        <v>70000</v>
      </c>
      <c r="L73" s="832">
        <v>70000</v>
      </c>
      <c r="M73" s="849">
        <v>0</v>
      </c>
      <c r="N73" s="849">
        <v>0</v>
      </c>
      <c r="O73" s="849">
        <v>0</v>
      </c>
      <c r="P73" s="849">
        <v>0</v>
      </c>
      <c r="Q73" s="849">
        <v>0</v>
      </c>
      <c r="R73" s="461"/>
      <c r="S73" s="855">
        <f>SUM(T73:Y73)</f>
        <v>10000</v>
      </c>
      <c r="T73" s="832">
        <v>0</v>
      </c>
      <c r="U73" s="849">
        <v>10000</v>
      </c>
      <c r="V73" s="849"/>
      <c r="W73" s="849"/>
      <c r="X73" s="849"/>
      <c r="Y73" s="843"/>
      <c r="Z73" s="409"/>
    </row>
    <row r="74" spans="2:26" x14ac:dyDescent="0.3">
      <c r="B74" s="451"/>
      <c r="C74" s="45"/>
      <c r="D74" s="44" t="s">
        <v>188</v>
      </c>
      <c r="E74" s="44"/>
      <c r="F74" s="44"/>
      <c r="G74" s="44"/>
      <c r="H74" s="44"/>
      <c r="I74" s="834">
        <f t="shared" si="21"/>
        <v>0</v>
      </c>
      <c r="J74" s="1391">
        <f t="shared" si="22"/>
        <v>0</v>
      </c>
      <c r="K74" s="850">
        <f>SUM(L74:Q74)</f>
        <v>0</v>
      </c>
      <c r="L74" s="836">
        <v>0</v>
      </c>
      <c r="M74" s="851">
        <v>0</v>
      </c>
      <c r="N74" s="851">
        <v>0</v>
      </c>
      <c r="O74" s="851">
        <v>0</v>
      </c>
      <c r="P74" s="851">
        <v>0</v>
      </c>
      <c r="Q74" s="851">
        <v>0</v>
      </c>
      <c r="R74" s="462"/>
      <c r="S74" s="844">
        <f>SUM(T74:Y74)</f>
        <v>0</v>
      </c>
      <c r="T74" s="836">
        <v>0</v>
      </c>
      <c r="U74" s="851">
        <v>0</v>
      </c>
      <c r="V74" s="851"/>
      <c r="W74" s="851"/>
      <c r="X74" s="851"/>
      <c r="Y74" s="845"/>
      <c r="Z74" s="409"/>
    </row>
    <row r="75" spans="2:26" x14ac:dyDescent="0.3">
      <c r="B75" s="451"/>
      <c r="C75" s="45"/>
      <c r="D75" s="44" t="s">
        <v>189</v>
      </c>
      <c r="E75" s="44"/>
      <c r="F75" s="44"/>
      <c r="G75" s="44"/>
      <c r="H75" s="44"/>
      <c r="I75" s="834">
        <f t="shared" si="21"/>
        <v>4.864992994675451E-4</v>
      </c>
      <c r="J75" s="1391">
        <f t="shared" si="22"/>
        <v>27500</v>
      </c>
      <c r="K75" s="850">
        <f>SUM(L75:Q75)</f>
        <v>25000</v>
      </c>
      <c r="L75" s="836">
        <v>25000</v>
      </c>
      <c r="M75" s="851">
        <v>0</v>
      </c>
      <c r="N75" s="851">
        <v>0</v>
      </c>
      <c r="O75" s="851">
        <v>0</v>
      </c>
      <c r="P75" s="851">
        <v>0</v>
      </c>
      <c r="Q75" s="851">
        <v>0</v>
      </c>
      <c r="R75" s="462"/>
      <c r="S75" s="844">
        <f>SUM(T75:Y75)</f>
        <v>2500</v>
      </c>
      <c r="T75" s="836">
        <v>0</v>
      </c>
      <c r="U75" s="851">
        <v>2500</v>
      </c>
      <c r="V75" s="851"/>
      <c r="W75" s="851"/>
      <c r="X75" s="851"/>
      <c r="Y75" s="845"/>
      <c r="Z75" s="409"/>
    </row>
    <row r="76" spans="2:26" x14ac:dyDescent="0.3">
      <c r="B76" s="451"/>
      <c r="C76" s="45"/>
      <c r="D76" s="44" t="s">
        <v>190</v>
      </c>
      <c r="E76" s="44"/>
      <c r="F76" s="44"/>
      <c r="G76" s="44"/>
      <c r="H76" s="44"/>
      <c r="I76" s="834">
        <f t="shared" si="21"/>
        <v>9.5464784535917446E-3</v>
      </c>
      <c r="J76" s="1391">
        <f t="shared" si="22"/>
        <v>539627</v>
      </c>
      <c r="K76" s="850">
        <f>SUM(L76:Q76)</f>
        <v>500000</v>
      </c>
      <c r="L76" s="836">
        <v>100000</v>
      </c>
      <c r="M76" s="851">
        <v>0</v>
      </c>
      <c r="N76" s="851">
        <v>0</v>
      </c>
      <c r="O76" s="851">
        <v>400000</v>
      </c>
      <c r="P76" s="851">
        <v>0</v>
      </c>
      <c r="Q76" s="851">
        <v>0</v>
      </c>
      <c r="R76" s="462"/>
      <c r="S76" s="844">
        <f>SUM(T76:Y76)</f>
        <v>39627</v>
      </c>
      <c r="T76" s="836">
        <v>0</v>
      </c>
      <c r="U76" s="851">
        <v>39627</v>
      </c>
      <c r="V76" s="851"/>
      <c r="W76" s="851"/>
      <c r="X76" s="851"/>
      <c r="Y76" s="845"/>
      <c r="Z76" s="409"/>
    </row>
    <row r="77" spans="2:26" x14ac:dyDescent="0.3">
      <c r="B77" s="451"/>
      <c r="C77" s="45"/>
      <c r="D77" s="44" t="s">
        <v>191</v>
      </c>
      <c r="E77" s="44"/>
      <c r="F77" s="44"/>
      <c r="G77" s="44"/>
      <c r="H77" s="44"/>
      <c r="I77" s="838">
        <f t="shared" si="21"/>
        <v>4.5904304809395854E-3</v>
      </c>
      <c r="J77" s="1392">
        <f t="shared" si="22"/>
        <v>259480</v>
      </c>
      <c r="K77" s="862">
        <f>SUM(L77:Q77)</f>
        <v>259480</v>
      </c>
      <c r="L77" s="853">
        <v>200000</v>
      </c>
      <c r="M77" s="854">
        <v>0</v>
      </c>
      <c r="N77" s="854">
        <v>0</v>
      </c>
      <c r="O77" s="854">
        <v>0</v>
      </c>
      <c r="P77" s="854">
        <v>0</v>
      </c>
      <c r="Q77" s="854">
        <v>59480</v>
      </c>
      <c r="R77" s="462"/>
      <c r="S77" s="856">
        <f>SUM(T77:Y77)</f>
        <v>0</v>
      </c>
      <c r="T77" s="853">
        <v>0</v>
      </c>
      <c r="U77" s="854">
        <v>0</v>
      </c>
      <c r="V77" s="854"/>
      <c r="W77" s="854"/>
      <c r="X77" s="854"/>
      <c r="Y77" s="857"/>
      <c r="Z77" s="409"/>
    </row>
    <row r="78" spans="2:26" ht="15" thickBot="1" x14ac:dyDescent="0.35">
      <c r="B78" s="451"/>
      <c r="C78" s="45"/>
      <c r="D78" s="44"/>
      <c r="E78" s="44"/>
      <c r="F78" s="44"/>
      <c r="G78" s="48" t="s">
        <v>153</v>
      </c>
      <c r="H78" s="48"/>
      <c r="I78" s="353">
        <f t="shared" si="21"/>
        <v>1.6038678923359004E-2</v>
      </c>
      <c r="J78" s="36">
        <f t="shared" ref="J78:Q78" si="23">SUM(J73:J77)</f>
        <v>906607</v>
      </c>
      <c r="K78" s="22">
        <f t="shared" si="23"/>
        <v>854480</v>
      </c>
      <c r="L78" s="1449">
        <f t="shared" si="23"/>
        <v>395000</v>
      </c>
      <c r="M78" s="1450">
        <f t="shared" si="23"/>
        <v>0</v>
      </c>
      <c r="N78" s="1450">
        <f t="shared" si="23"/>
        <v>0</v>
      </c>
      <c r="O78" s="1450">
        <f t="shared" si="23"/>
        <v>400000</v>
      </c>
      <c r="P78" s="1450">
        <f t="shared" si="23"/>
        <v>0</v>
      </c>
      <c r="Q78" s="1450">
        <f t="shared" si="23"/>
        <v>59480</v>
      </c>
      <c r="R78" s="463"/>
      <c r="S78" s="464">
        <f t="shared" ref="S78:Y78" si="24">SUM(S73:S77)</f>
        <v>52127</v>
      </c>
      <c r="T78" s="1449">
        <f t="shared" si="24"/>
        <v>0</v>
      </c>
      <c r="U78" s="1450">
        <f t="shared" si="24"/>
        <v>52127</v>
      </c>
      <c r="V78" s="1450">
        <f t="shared" si="24"/>
        <v>0</v>
      </c>
      <c r="W78" s="1450">
        <f t="shared" si="24"/>
        <v>0</v>
      </c>
      <c r="X78" s="1450">
        <f t="shared" si="24"/>
        <v>0</v>
      </c>
      <c r="Y78" s="1451">
        <f t="shared" si="24"/>
        <v>0</v>
      </c>
      <c r="Z78" s="409"/>
    </row>
    <row r="79" spans="2:26" ht="9" customHeight="1" thickBot="1" x14ac:dyDescent="0.35">
      <c r="B79" s="466"/>
      <c r="C79" s="28"/>
      <c r="D79" s="31"/>
      <c r="E79" s="31"/>
      <c r="F79" s="31"/>
      <c r="G79" s="31"/>
      <c r="H79" s="31"/>
      <c r="I79" s="415"/>
      <c r="J79" s="467"/>
      <c r="K79" s="468"/>
      <c r="L79" s="29"/>
      <c r="M79" s="29"/>
      <c r="N79" s="29"/>
      <c r="O79" s="29"/>
      <c r="P79" s="468"/>
      <c r="Q79" s="29"/>
      <c r="R79" s="470"/>
      <c r="S79" s="29"/>
      <c r="T79" s="29"/>
      <c r="U79" s="29"/>
      <c r="V79" s="29"/>
      <c r="W79" s="29"/>
      <c r="X79" s="468"/>
      <c r="Y79" s="29"/>
      <c r="Z79" s="416"/>
    </row>
    <row r="80" spans="2:26" ht="15" thickBot="1" x14ac:dyDescent="0.35">
      <c r="B80" s="451"/>
      <c r="C80" s="78" t="s">
        <v>192</v>
      </c>
      <c r="D80" s="78"/>
      <c r="E80" s="78"/>
      <c r="F80" s="78"/>
      <c r="G80" s="78"/>
      <c r="H80" s="47"/>
      <c r="I80" s="47"/>
      <c r="J80" s="47"/>
      <c r="K80" s="47"/>
      <c r="L80" s="16"/>
      <c r="M80" s="16"/>
      <c r="N80" s="16"/>
      <c r="O80" s="16"/>
      <c r="P80" s="45"/>
      <c r="Q80" s="16"/>
      <c r="R80" s="462"/>
      <c r="S80" s="16"/>
      <c r="T80" s="16"/>
      <c r="U80" s="16"/>
      <c r="V80" s="16"/>
      <c r="W80" s="16"/>
      <c r="X80" s="45"/>
      <c r="Y80" s="16"/>
      <c r="Z80" s="409"/>
    </row>
    <row r="81" spans="2:26" x14ac:dyDescent="0.3">
      <c r="B81" s="451"/>
      <c r="C81" s="45"/>
      <c r="D81" s="155" t="s">
        <v>193</v>
      </c>
      <c r="E81" s="155"/>
      <c r="F81" s="155"/>
      <c r="G81" s="155"/>
      <c r="H81" s="155"/>
      <c r="I81" s="830">
        <f t="shared" ref="I81:I89" si="25">IFERROR(J81/J$122," ")</f>
        <v>1.769088361700164E-3</v>
      </c>
      <c r="J81" s="1393">
        <f t="shared" ref="J81:J88" si="26">SUM(K81+S81)</f>
        <v>100000</v>
      </c>
      <c r="K81" s="848">
        <f t="shared" ref="K81:K88" si="27">SUM(L81:Q81)</f>
        <v>70000</v>
      </c>
      <c r="L81" s="832"/>
      <c r="M81" s="849">
        <v>0</v>
      </c>
      <c r="N81" s="849">
        <v>0</v>
      </c>
      <c r="O81" s="849">
        <v>70000</v>
      </c>
      <c r="P81" s="849">
        <v>0</v>
      </c>
      <c r="Q81" s="849">
        <v>0</v>
      </c>
      <c r="R81" s="461"/>
      <c r="S81" s="855">
        <f t="shared" ref="S81:S88" si="28">SUM(T81:Y81)</f>
        <v>30000</v>
      </c>
      <c r="T81" s="832">
        <v>0</v>
      </c>
      <c r="U81" s="849">
        <v>30000</v>
      </c>
      <c r="V81" s="849"/>
      <c r="W81" s="849"/>
      <c r="X81" s="849"/>
      <c r="Y81" s="843"/>
      <c r="Z81" s="409"/>
    </row>
    <row r="82" spans="2:26" x14ac:dyDescent="0.3">
      <c r="B82" s="451"/>
      <c r="C82" s="45"/>
      <c r="D82" s="44" t="s">
        <v>194</v>
      </c>
      <c r="E82" s="44"/>
      <c r="F82" s="44"/>
      <c r="G82" s="44"/>
      <c r="H82" s="44"/>
      <c r="I82" s="834">
        <f t="shared" si="25"/>
        <v>0</v>
      </c>
      <c r="J82" s="1391">
        <f t="shared" si="26"/>
        <v>0</v>
      </c>
      <c r="K82" s="850">
        <f t="shared" si="27"/>
        <v>0</v>
      </c>
      <c r="L82" s="836">
        <v>0</v>
      </c>
      <c r="M82" s="851">
        <v>0</v>
      </c>
      <c r="N82" s="851">
        <v>0</v>
      </c>
      <c r="O82" s="851">
        <v>0</v>
      </c>
      <c r="P82" s="851">
        <v>0</v>
      </c>
      <c r="Q82" s="851">
        <v>0</v>
      </c>
      <c r="R82" s="462"/>
      <c r="S82" s="844">
        <f t="shared" si="28"/>
        <v>0</v>
      </c>
      <c r="T82" s="836">
        <v>0</v>
      </c>
      <c r="U82" s="851">
        <v>0</v>
      </c>
      <c r="V82" s="851"/>
      <c r="W82" s="851"/>
      <c r="X82" s="851"/>
      <c r="Y82" s="845"/>
      <c r="Z82" s="409"/>
    </row>
    <row r="83" spans="2:26" x14ac:dyDescent="0.3">
      <c r="B83" s="451"/>
      <c r="C83" s="45"/>
      <c r="D83" s="44" t="s">
        <v>195</v>
      </c>
      <c r="E83" s="44"/>
      <c r="F83" s="44"/>
      <c r="G83" s="44"/>
      <c r="H83" s="44"/>
      <c r="I83" s="834">
        <f t="shared" si="25"/>
        <v>4.864992994675451E-4</v>
      </c>
      <c r="J83" s="1391">
        <f t="shared" si="26"/>
        <v>27500</v>
      </c>
      <c r="K83" s="850">
        <f t="shared" si="27"/>
        <v>25000</v>
      </c>
      <c r="L83" s="836"/>
      <c r="M83" s="851">
        <v>0</v>
      </c>
      <c r="N83" s="851">
        <v>0</v>
      </c>
      <c r="O83" s="851">
        <v>25000</v>
      </c>
      <c r="P83" s="851">
        <v>0</v>
      </c>
      <c r="Q83" s="851">
        <v>0</v>
      </c>
      <c r="R83" s="462"/>
      <c r="S83" s="844">
        <f t="shared" si="28"/>
        <v>2500</v>
      </c>
      <c r="T83" s="836">
        <v>0</v>
      </c>
      <c r="U83" s="851">
        <v>2500</v>
      </c>
      <c r="V83" s="851"/>
      <c r="W83" s="851"/>
      <c r="X83" s="851"/>
      <c r="Y83" s="845"/>
      <c r="Z83" s="409"/>
    </row>
    <row r="84" spans="2:26" x14ac:dyDescent="0.3">
      <c r="B84" s="451"/>
      <c r="C84" s="45"/>
      <c r="D84" s="49" t="s">
        <v>196</v>
      </c>
      <c r="E84" s="49"/>
      <c r="F84" s="49"/>
      <c r="G84" s="49"/>
      <c r="H84" s="49"/>
      <c r="I84" s="834">
        <f t="shared" si="25"/>
        <v>3.538176723400328E-3</v>
      </c>
      <c r="J84" s="1391">
        <f t="shared" si="26"/>
        <v>200000</v>
      </c>
      <c r="K84" s="850">
        <f t="shared" si="27"/>
        <v>200000</v>
      </c>
      <c r="L84" s="836">
        <v>200000</v>
      </c>
      <c r="M84" s="851">
        <v>0</v>
      </c>
      <c r="N84" s="851">
        <v>0</v>
      </c>
      <c r="O84" s="851">
        <v>0</v>
      </c>
      <c r="P84" s="851">
        <v>0</v>
      </c>
      <c r="Q84" s="851">
        <v>0</v>
      </c>
      <c r="R84" s="462"/>
      <c r="S84" s="844">
        <f t="shared" si="28"/>
        <v>0</v>
      </c>
      <c r="T84" s="836">
        <v>0</v>
      </c>
      <c r="U84" s="851">
        <v>0</v>
      </c>
      <c r="V84" s="851"/>
      <c r="W84" s="851"/>
      <c r="X84" s="851"/>
      <c r="Y84" s="845"/>
      <c r="Z84" s="409"/>
    </row>
    <row r="85" spans="2:26" x14ac:dyDescent="0.3">
      <c r="B85" s="451"/>
      <c r="C85" s="45"/>
      <c r="D85" s="49" t="s">
        <v>197</v>
      </c>
      <c r="E85" s="49"/>
      <c r="F85" s="49"/>
      <c r="G85" s="49"/>
      <c r="H85" s="49"/>
      <c r="I85" s="834">
        <f t="shared" si="25"/>
        <v>7.076353446800656E-4</v>
      </c>
      <c r="J85" s="1391">
        <f t="shared" si="26"/>
        <v>40000</v>
      </c>
      <c r="K85" s="850">
        <f t="shared" si="27"/>
        <v>40000</v>
      </c>
      <c r="L85" s="836">
        <v>40000</v>
      </c>
      <c r="M85" s="851">
        <v>0</v>
      </c>
      <c r="N85" s="851">
        <v>0</v>
      </c>
      <c r="O85" s="851">
        <v>0</v>
      </c>
      <c r="P85" s="851">
        <v>0</v>
      </c>
      <c r="Q85" s="851">
        <v>0</v>
      </c>
      <c r="R85" s="462"/>
      <c r="S85" s="844">
        <f t="shared" si="28"/>
        <v>0</v>
      </c>
      <c r="T85" s="836">
        <v>0</v>
      </c>
      <c r="U85" s="851">
        <v>0</v>
      </c>
      <c r="V85" s="851"/>
      <c r="W85" s="851"/>
      <c r="X85" s="851"/>
      <c r="Y85" s="845"/>
      <c r="Z85" s="409"/>
    </row>
    <row r="86" spans="2:26" x14ac:dyDescent="0.3">
      <c r="B86" s="451"/>
      <c r="C86" s="45"/>
      <c r="D86" s="49" t="s">
        <v>198</v>
      </c>
      <c r="E86" s="49"/>
      <c r="F86" s="49"/>
      <c r="G86" s="49"/>
      <c r="H86" s="49"/>
      <c r="I86" s="834">
        <f t="shared" si="25"/>
        <v>0</v>
      </c>
      <c r="J86" s="1391">
        <f t="shared" si="26"/>
        <v>0</v>
      </c>
      <c r="K86" s="850">
        <f t="shared" si="27"/>
        <v>0</v>
      </c>
      <c r="L86" s="836">
        <v>0</v>
      </c>
      <c r="M86" s="851">
        <v>0</v>
      </c>
      <c r="N86" s="851">
        <v>0</v>
      </c>
      <c r="O86" s="851">
        <v>0</v>
      </c>
      <c r="P86" s="851">
        <v>0</v>
      </c>
      <c r="Q86" s="851">
        <v>0</v>
      </c>
      <c r="R86" s="462"/>
      <c r="S86" s="844">
        <f t="shared" si="28"/>
        <v>0</v>
      </c>
      <c r="T86" s="836">
        <v>0</v>
      </c>
      <c r="U86" s="851">
        <v>0</v>
      </c>
      <c r="V86" s="851"/>
      <c r="W86" s="851"/>
      <c r="X86" s="851"/>
      <c r="Y86" s="845"/>
      <c r="Z86" s="409"/>
    </row>
    <row r="87" spans="2:26" x14ac:dyDescent="0.3">
      <c r="B87" s="451"/>
      <c r="C87" s="45"/>
      <c r="D87" s="50" t="s">
        <v>199</v>
      </c>
      <c r="E87" s="50"/>
      <c r="F87" s="50"/>
      <c r="G87" s="50"/>
      <c r="H87" s="50"/>
      <c r="I87" s="834">
        <f t="shared" si="25"/>
        <v>0</v>
      </c>
      <c r="J87" s="1391">
        <f t="shared" si="26"/>
        <v>0</v>
      </c>
      <c r="K87" s="850">
        <f t="shared" si="27"/>
        <v>0</v>
      </c>
      <c r="L87" s="836">
        <v>0</v>
      </c>
      <c r="M87" s="851">
        <v>0</v>
      </c>
      <c r="N87" s="851">
        <v>0</v>
      </c>
      <c r="O87" s="851">
        <v>0</v>
      </c>
      <c r="P87" s="851">
        <v>0</v>
      </c>
      <c r="Q87" s="851">
        <v>0</v>
      </c>
      <c r="R87" s="462"/>
      <c r="S87" s="844">
        <f t="shared" si="28"/>
        <v>0</v>
      </c>
      <c r="T87" s="836">
        <v>0</v>
      </c>
      <c r="U87" s="851">
        <v>0</v>
      </c>
      <c r="V87" s="851"/>
      <c r="W87" s="851"/>
      <c r="X87" s="851"/>
      <c r="Y87" s="845"/>
      <c r="Z87" s="409"/>
    </row>
    <row r="88" spans="2:26" x14ac:dyDescent="0.3">
      <c r="B88" s="451"/>
      <c r="C88" s="45"/>
      <c r="D88" s="49" t="s">
        <v>422</v>
      </c>
      <c r="E88" s="2688" t="s">
        <v>2055</v>
      </c>
      <c r="F88" s="2689"/>
      <c r="G88" s="2690"/>
      <c r="H88" s="49"/>
      <c r="I88" s="838">
        <f t="shared" si="25"/>
        <v>7.7739049878190302E-4</v>
      </c>
      <c r="J88" s="1392">
        <f t="shared" si="26"/>
        <v>43943</v>
      </c>
      <c r="K88" s="862">
        <f t="shared" si="27"/>
        <v>38082</v>
      </c>
      <c r="L88" s="853">
        <v>38082</v>
      </c>
      <c r="M88" s="854">
        <v>0</v>
      </c>
      <c r="N88" s="854">
        <v>0</v>
      </c>
      <c r="O88" s="854">
        <v>0</v>
      </c>
      <c r="P88" s="854">
        <v>0</v>
      </c>
      <c r="Q88" s="854">
        <v>0</v>
      </c>
      <c r="R88" s="462"/>
      <c r="S88" s="856">
        <f t="shared" si="28"/>
        <v>5861</v>
      </c>
      <c r="T88" s="853">
        <v>0</v>
      </c>
      <c r="U88" s="854">
        <v>5861</v>
      </c>
      <c r="V88" s="854"/>
      <c r="W88" s="854"/>
      <c r="X88" s="854"/>
      <c r="Y88" s="857"/>
      <c r="Z88" s="409"/>
    </row>
    <row r="89" spans="2:26" ht="15" thickBot="1" x14ac:dyDescent="0.35">
      <c r="B89" s="451"/>
      <c r="C89" s="45"/>
      <c r="D89" s="44"/>
      <c r="E89" s="44"/>
      <c r="F89" s="44"/>
      <c r="G89" s="48" t="s">
        <v>153</v>
      </c>
      <c r="H89" s="48"/>
      <c r="I89" s="353">
        <f t="shared" si="25"/>
        <v>7.2787902280300057E-3</v>
      </c>
      <c r="J89" s="36">
        <f t="shared" ref="J89:Q89" si="29">SUM(J81:J88)</f>
        <v>411443</v>
      </c>
      <c r="K89" s="22">
        <f t="shared" si="29"/>
        <v>373082</v>
      </c>
      <c r="L89" s="1449">
        <f t="shared" si="29"/>
        <v>278082</v>
      </c>
      <c r="M89" s="1450">
        <f t="shared" si="29"/>
        <v>0</v>
      </c>
      <c r="N89" s="1450">
        <f t="shared" si="29"/>
        <v>0</v>
      </c>
      <c r="O89" s="1450">
        <f t="shared" si="29"/>
        <v>95000</v>
      </c>
      <c r="P89" s="1450">
        <f t="shared" si="29"/>
        <v>0</v>
      </c>
      <c r="Q89" s="1450">
        <f t="shared" si="29"/>
        <v>0</v>
      </c>
      <c r="R89" s="463"/>
      <c r="S89" s="464">
        <f t="shared" ref="S89:Y89" si="30">SUM(S81:S88)</f>
        <v>38361</v>
      </c>
      <c r="T89" s="1449">
        <f t="shared" si="30"/>
        <v>0</v>
      </c>
      <c r="U89" s="1450">
        <f t="shared" si="30"/>
        <v>38361</v>
      </c>
      <c r="V89" s="1450">
        <f t="shared" si="30"/>
        <v>0</v>
      </c>
      <c r="W89" s="1450">
        <f t="shared" si="30"/>
        <v>0</v>
      </c>
      <c r="X89" s="1450">
        <f t="shared" si="30"/>
        <v>0</v>
      </c>
      <c r="Y89" s="1451">
        <f t="shared" si="30"/>
        <v>0</v>
      </c>
      <c r="Z89" s="409"/>
    </row>
    <row r="90" spans="2:26" ht="3.75" customHeight="1" x14ac:dyDescent="0.3">
      <c r="B90" s="451"/>
      <c r="C90" s="44"/>
      <c r="D90" s="44"/>
      <c r="E90" s="44"/>
      <c r="F90" s="44"/>
      <c r="G90" s="44"/>
      <c r="H90" s="44"/>
      <c r="I90" s="453"/>
      <c r="J90" s="465"/>
      <c r="K90" s="45"/>
      <c r="L90" s="16"/>
      <c r="M90" s="16"/>
      <c r="N90" s="16"/>
      <c r="O90" s="16"/>
      <c r="P90" s="45"/>
      <c r="Q90" s="16"/>
      <c r="R90" s="462"/>
      <c r="S90" s="16"/>
      <c r="T90" s="16"/>
      <c r="U90" s="16"/>
      <c r="V90" s="16"/>
      <c r="W90" s="16"/>
      <c r="X90" s="45"/>
      <c r="Y90" s="16"/>
      <c r="Z90" s="409"/>
    </row>
    <row r="91" spans="2:26" ht="15" thickBot="1" x14ac:dyDescent="0.35">
      <c r="B91" s="451"/>
      <c r="C91" s="78" t="s">
        <v>200</v>
      </c>
      <c r="D91" s="78"/>
      <c r="E91" s="78"/>
      <c r="F91" s="78"/>
      <c r="G91" s="78"/>
      <c r="H91" s="47"/>
      <c r="I91" s="47"/>
      <c r="J91" s="47"/>
      <c r="K91" s="47"/>
      <c r="L91" s="475"/>
      <c r="M91" s="19"/>
      <c r="N91" s="19"/>
      <c r="O91" s="19"/>
      <c r="P91" s="45"/>
      <c r="Q91" s="19"/>
      <c r="R91" s="462"/>
      <c r="S91" s="19"/>
      <c r="T91" s="19"/>
      <c r="U91" s="19"/>
      <c r="V91" s="19"/>
      <c r="W91" s="19"/>
      <c r="X91" s="45"/>
      <c r="Y91" s="19"/>
      <c r="Z91" s="409"/>
    </row>
    <row r="92" spans="2:26" x14ac:dyDescent="0.3">
      <c r="B92" s="451"/>
      <c r="C92" s="45"/>
      <c r="D92" s="156" t="s">
        <v>201</v>
      </c>
      <c r="E92" s="156"/>
      <c r="F92" s="156"/>
      <c r="G92" s="156"/>
      <c r="H92" s="156"/>
      <c r="I92" s="830">
        <f>IFERROR(J92/J$122," ")</f>
        <v>1.0879893424456008E-2</v>
      </c>
      <c r="J92" s="1393">
        <f t="shared" ref="J92:J94" si="31">SUM(K92+S92)</f>
        <v>615000</v>
      </c>
      <c r="K92" s="848">
        <f>SUM(L92:Q92)</f>
        <v>615000</v>
      </c>
      <c r="L92" s="832">
        <v>155265</v>
      </c>
      <c r="M92" s="849">
        <v>0</v>
      </c>
      <c r="N92" s="849">
        <v>0</v>
      </c>
      <c r="O92" s="849">
        <v>0</v>
      </c>
      <c r="P92" s="849">
        <v>0</v>
      </c>
      <c r="Q92" s="849">
        <v>459735</v>
      </c>
      <c r="R92" s="461"/>
      <c r="S92" s="855">
        <f>SUM(T92:Y92)</f>
        <v>0</v>
      </c>
      <c r="T92" s="832">
        <v>0</v>
      </c>
      <c r="U92" s="849">
        <v>0</v>
      </c>
      <c r="V92" s="849"/>
      <c r="W92" s="849"/>
      <c r="X92" s="849"/>
      <c r="Y92" s="843"/>
      <c r="Z92" s="409"/>
    </row>
    <row r="93" spans="2:26" x14ac:dyDescent="0.3">
      <c r="B93" s="451"/>
      <c r="C93" s="45"/>
      <c r="D93" s="50" t="s">
        <v>202</v>
      </c>
      <c r="E93" s="50"/>
      <c r="F93" s="50"/>
      <c r="G93" s="50"/>
      <c r="H93" s="50"/>
      <c r="I93" s="834">
        <f>IFERROR(J93/J$122," ")</f>
        <v>0</v>
      </c>
      <c r="J93" s="1391">
        <f t="shared" si="31"/>
        <v>0</v>
      </c>
      <c r="K93" s="850">
        <f>SUM(L93:Q93)</f>
        <v>0</v>
      </c>
      <c r="L93" s="836">
        <v>0</v>
      </c>
      <c r="M93" s="851">
        <v>0</v>
      </c>
      <c r="N93" s="851">
        <v>0</v>
      </c>
      <c r="O93" s="851">
        <v>0</v>
      </c>
      <c r="P93" s="851">
        <v>0</v>
      </c>
      <c r="Q93" s="851">
        <v>0</v>
      </c>
      <c r="R93" s="462"/>
      <c r="S93" s="844">
        <f>SUM(T93:Y93)</f>
        <v>0</v>
      </c>
      <c r="T93" s="836">
        <v>0</v>
      </c>
      <c r="U93" s="851">
        <v>0</v>
      </c>
      <c r="V93" s="851"/>
      <c r="W93" s="851"/>
      <c r="X93" s="851"/>
      <c r="Y93" s="845"/>
      <c r="Z93" s="409"/>
    </row>
    <row r="94" spans="2:26" x14ac:dyDescent="0.3">
      <c r="B94" s="451"/>
      <c r="C94" s="45"/>
      <c r="D94" s="49" t="s">
        <v>422</v>
      </c>
      <c r="E94" s="2688"/>
      <c r="F94" s="2689"/>
      <c r="G94" s="2690"/>
      <c r="H94" s="49"/>
      <c r="I94" s="838">
        <f>IFERROR(J94/J$122," ")</f>
        <v>0</v>
      </c>
      <c r="J94" s="1392">
        <f t="shared" si="31"/>
        <v>0</v>
      </c>
      <c r="K94" s="862">
        <f>SUM(L94:Q94)</f>
        <v>0</v>
      </c>
      <c r="L94" s="853">
        <v>0</v>
      </c>
      <c r="M94" s="854">
        <v>0</v>
      </c>
      <c r="N94" s="854">
        <v>0</v>
      </c>
      <c r="O94" s="854">
        <v>0</v>
      </c>
      <c r="P94" s="854">
        <v>0</v>
      </c>
      <c r="Q94" s="854">
        <v>0</v>
      </c>
      <c r="R94" s="462"/>
      <c r="S94" s="856">
        <f>SUM(T94:Y94)</f>
        <v>0</v>
      </c>
      <c r="T94" s="853">
        <v>0</v>
      </c>
      <c r="U94" s="854">
        <v>0</v>
      </c>
      <c r="V94" s="854"/>
      <c r="W94" s="854"/>
      <c r="X94" s="854"/>
      <c r="Y94" s="857"/>
      <c r="Z94" s="409"/>
    </row>
    <row r="95" spans="2:26" ht="15" thickBot="1" x14ac:dyDescent="0.35">
      <c r="B95" s="451"/>
      <c r="C95" s="45"/>
      <c r="D95" s="44"/>
      <c r="E95" s="44"/>
      <c r="F95" s="44"/>
      <c r="G95" s="48" t="s">
        <v>153</v>
      </c>
      <c r="H95" s="48"/>
      <c r="I95" s="353">
        <f>IFERROR(J95/J$122," ")</f>
        <v>1.0879893424456008E-2</v>
      </c>
      <c r="J95" s="36">
        <f t="shared" ref="J95:Q95" si="32">SUM(J92:J94)</f>
        <v>615000</v>
      </c>
      <c r="K95" s="22">
        <f t="shared" si="32"/>
        <v>615000</v>
      </c>
      <c r="L95" s="1449">
        <f t="shared" si="32"/>
        <v>155265</v>
      </c>
      <c r="M95" s="1450">
        <f t="shared" si="32"/>
        <v>0</v>
      </c>
      <c r="N95" s="1450">
        <f t="shared" si="32"/>
        <v>0</v>
      </c>
      <c r="O95" s="1450">
        <f t="shared" si="32"/>
        <v>0</v>
      </c>
      <c r="P95" s="1450">
        <f t="shared" si="32"/>
        <v>0</v>
      </c>
      <c r="Q95" s="1450">
        <f t="shared" si="32"/>
        <v>459735</v>
      </c>
      <c r="R95" s="463"/>
      <c r="S95" s="464">
        <f t="shared" ref="S95:Y95" si="33">SUM(S92:S94)</f>
        <v>0</v>
      </c>
      <c r="T95" s="1449">
        <f t="shared" si="33"/>
        <v>0</v>
      </c>
      <c r="U95" s="1450">
        <f t="shared" si="33"/>
        <v>0</v>
      </c>
      <c r="V95" s="1450">
        <f t="shared" si="33"/>
        <v>0</v>
      </c>
      <c r="W95" s="1450">
        <f t="shared" si="33"/>
        <v>0</v>
      </c>
      <c r="X95" s="1450">
        <f t="shared" si="33"/>
        <v>0</v>
      </c>
      <c r="Y95" s="1451">
        <f t="shared" si="33"/>
        <v>0</v>
      </c>
      <c r="Z95" s="409"/>
    </row>
    <row r="96" spans="2:26" ht="3.75" customHeight="1" x14ac:dyDescent="0.3">
      <c r="B96" s="451"/>
      <c r="C96" s="44"/>
      <c r="D96" s="44"/>
      <c r="E96" s="44"/>
      <c r="F96" s="44"/>
      <c r="G96" s="44"/>
      <c r="H96" s="44"/>
      <c r="I96" s="453"/>
      <c r="J96" s="465"/>
      <c r="K96" s="45"/>
      <c r="L96" s="76"/>
      <c r="M96" s="76"/>
      <c r="N96" s="76"/>
      <c r="O96" s="76"/>
      <c r="P96" s="45"/>
      <c r="Q96" s="76"/>
      <c r="R96" s="462"/>
      <c r="S96" s="76"/>
      <c r="T96" s="76"/>
      <c r="U96" s="76"/>
      <c r="V96" s="76"/>
      <c r="W96" s="76"/>
      <c r="X96" s="45"/>
      <c r="Y96" s="76"/>
      <c r="Z96" s="409"/>
    </row>
    <row r="97" spans="2:26" ht="15" thickBot="1" x14ac:dyDescent="0.35">
      <c r="B97" s="451"/>
      <c r="C97" s="78" t="s">
        <v>203</v>
      </c>
      <c r="D97" s="78"/>
      <c r="E97" s="78"/>
      <c r="F97" s="78"/>
      <c r="G97" s="78"/>
      <c r="H97" s="47"/>
      <c r="I97" s="47"/>
      <c r="J97" s="47"/>
      <c r="K97" s="47"/>
      <c r="L97" s="19"/>
      <c r="M97" s="19"/>
      <c r="N97" s="19"/>
      <c r="O97" s="19"/>
      <c r="P97" s="45"/>
      <c r="Q97" s="19"/>
      <c r="R97" s="462"/>
      <c r="S97" s="19"/>
      <c r="T97" s="19"/>
      <c r="U97" s="19"/>
      <c r="V97" s="19"/>
      <c r="W97" s="19"/>
      <c r="X97" s="45"/>
      <c r="Y97" s="19"/>
      <c r="Z97" s="409"/>
    </row>
    <row r="98" spans="2:26" x14ac:dyDescent="0.3">
      <c r="B98" s="451"/>
      <c r="C98" s="45"/>
      <c r="D98" s="156" t="s">
        <v>204</v>
      </c>
      <c r="E98" s="156"/>
      <c r="F98" s="156"/>
      <c r="G98" s="156"/>
      <c r="H98" s="156"/>
      <c r="I98" s="830">
        <f t="shared" ref="I98:I109" si="34">IFERROR(J98/J$122," ")</f>
        <v>1.2826598257670869E-3</v>
      </c>
      <c r="J98" s="1393">
        <f t="shared" ref="J98:J108" si="35">SUM(K98+S98)</f>
        <v>72504</v>
      </c>
      <c r="K98" s="848">
        <f t="shared" ref="K98:K108" si="36">SUM(L98:Q98)</f>
        <v>68027</v>
      </c>
      <c r="L98" s="832">
        <v>0</v>
      </c>
      <c r="M98" s="849">
        <v>0</v>
      </c>
      <c r="N98" s="849">
        <v>0</v>
      </c>
      <c r="O98" s="849">
        <v>0</v>
      </c>
      <c r="P98" s="849">
        <v>0</v>
      </c>
      <c r="Q98" s="849">
        <v>68027</v>
      </c>
      <c r="R98" s="461"/>
      <c r="S98" s="855">
        <f t="shared" ref="S98:S108" si="37">SUM(T98:Y98)</f>
        <v>4477</v>
      </c>
      <c r="T98" s="832">
        <v>0</v>
      </c>
      <c r="U98" s="849">
        <v>4477</v>
      </c>
      <c r="V98" s="849"/>
      <c r="W98" s="849"/>
      <c r="X98" s="849"/>
      <c r="Y98" s="843"/>
      <c r="Z98" s="409"/>
    </row>
    <row r="99" spans="2:26" x14ac:dyDescent="0.3">
      <c r="B99" s="451"/>
      <c r="C99" s="45"/>
      <c r="D99" s="50" t="s">
        <v>205</v>
      </c>
      <c r="E99" s="50"/>
      <c r="F99" s="50"/>
      <c r="G99" s="50"/>
      <c r="H99" s="50"/>
      <c r="I99" s="834">
        <f t="shared" si="34"/>
        <v>3.9053863946384311E-3</v>
      </c>
      <c r="J99" s="1391">
        <f t="shared" si="35"/>
        <v>220757</v>
      </c>
      <c r="K99" s="850">
        <f t="shared" si="36"/>
        <v>207124</v>
      </c>
      <c r="L99" s="836">
        <v>0</v>
      </c>
      <c r="M99" s="851">
        <v>0</v>
      </c>
      <c r="N99" s="851">
        <v>0</v>
      </c>
      <c r="O99" s="851">
        <v>0</v>
      </c>
      <c r="P99" s="851">
        <v>0</v>
      </c>
      <c r="Q99" s="851">
        <v>207124</v>
      </c>
      <c r="R99" s="462"/>
      <c r="S99" s="844">
        <f t="shared" si="37"/>
        <v>13633</v>
      </c>
      <c r="T99" s="836">
        <v>0</v>
      </c>
      <c r="U99" s="851">
        <v>13633</v>
      </c>
      <c r="V99" s="851"/>
      <c r="W99" s="851"/>
      <c r="X99" s="851"/>
      <c r="Y99" s="845"/>
      <c r="Z99" s="409"/>
    </row>
    <row r="100" spans="2:26" x14ac:dyDescent="0.3">
      <c r="B100" s="451"/>
      <c r="C100" s="45"/>
      <c r="D100" s="50" t="s">
        <v>103</v>
      </c>
      <c r="E100" s="50"/>
      <c r="F100" s="50"/>
      <c r="G100" s="50"/>
      <c r="H100" s="50"/>
      <c r="I100" s="834">
        <f t="shared" si="34"/>
        <v>0</v>
      </c>
      <c r="J100" s="1391">
        <f t="shared" si="35"/>
        <v>0</v>
      </c>
      <c r="K100" s="850">
        <f t="shared" si="36"/>
        <v>0</v>
      </c>
      <c r="L100" s="836">
        <v>0</v>
      </c>
      <c r="M100" s="851">
        <v>0</v>
      </c>
      <c r="N100" s="851">
        <v>0</v>
      </c>
      <c r="O100" s="851">
        <v>0</v>
      </c>
      <c r="P100" s="851">
        <v>0</v>
      </c>
      <c r="Q100" s="851">
        <v>0</v>
      </c>
      <c r="R100" s="462"/>
      <c r="S100" s="844">
        <f t="shared" si="37"/>
        <v>0</v>
      </c>
      <c r="T100" s="836">
        <v>0</v>
      </c>
      <c r="U100" s="851">
        <v>0</v>
      </c>
      <c r="V100" s="851"/>
      <c r="W100" s="851"/>
      <c r="X100" s="851"/>
      <c r="Y100" s="845"/>
      <c r="Z100" s="409"/>
    </row>
    <row r="101" spans="2:26" x14ac:dyDescent="0.3">
      <c r="B101" s="451"/>
      <c r="C101" s="45"/>
      <c r="D101" s="50" t="s">
        <v>206</v>
      </c>
      <c r="E101" s="50"/>
      <c r="F101" s="50"/>
      <c r="G101" s="50"/>
      <c r="H101" s="50"/>
      <c r="I101" s="834">
        <f t="shared" si="34"/>
        <v>0</v>
      </c>
      <c r="J101" s="1391">
        <f t="shared" si="35"/>
        <v>0</v>
      </c>
      <c r="K101" s="850">
        <f t="shared" si="36"/>
        <v>0</v>
      </c>
      <c r="L101" s="836">
        <v>0</v>
      </c>
      <c r="M101" s="851">
        <v>0</v>
      </c>
      <c r="N101" s="851">
        <v>0</v>
      </c>
      <c r="O101" s="851">
        <v>0</v>
      </c>
      <c r="P101" s="851">
        <v>0</v>
      </c>
      <c r="Q101" s="851">
        <v>0</v>
      </c>
      <c r="R101" s="462"/>
      <c r="S101" s="844">
        <f t="shared" si="37"/>
        <v>0</v>
      </c>
      <c r="T101" s="836">
        <v>0</v>
      </c>
      <c r="U101" s="851">
        <v>0</v>
      </c>
      <c r="V101" s="851"/>
      <c r="W101" s="851"/>
      <c r="X101" s="851"/>
      <c r="Y101" s="845"/>
      <c r="Z101" s="409"/>
    </row>
    <row r="102" spans="2:26" x14ac:dyDescent="0.3">
      <c r="B102" s="451"/>
      <c r="C102" s="45"/>
      <c r="D102" s="50" t="s">
        <v>207</v>
      </c>
      <c r="E102" s="50"/>
      <c r="F102" s="50"/>
      <c r="G102" s="354" t="str">
        <f>IF(AND(J102&lt;&gt;0,'6E - 4% Building'!H60=0),"Complete Form 6E","")</f>
        <v/>
      </c>
      <c r="H102" s="50"/>
      <c r="I102" s="834">
        <f t="shared" si="34"/>
        <v>2.545086587941409E-2</v>
      </c>
      <c r="J102" s="1391">
        <f t="shared" si="35"/>
        <v>1438643</v>
      </c>
      <c r="K102" s="850">
        <f t="shared" si="36"/>
        <v>1405400</v>
      </c>
      <c r="L102" s="836">
        <v>1000000</v>
      </c>
      <c r="M102" s="851">
        <v>0</v>
      </c>
      <c r="N102" s="851">
        <v>0</v>
      </c>
      <c r="O102" s="851">
        <v>0</v>
      </c>
      <c r="P102" s="851">
        <v>0</v>
      </c>
      <c r="Q102" s="851">
        <v>405400</v>
      </c>
      <c r="R102" s="462"/>
      <c r="S102" s="844">
        <f t="shared" si="37"/>
        <v>33243</v>
      </c>
      <c r="T102" s="836">
        <v>0</v>
      </c>
      <c r="U102" s="851">
        <v>33243</v>
      </c>
      <c r="V102" s="851"/>
      <c r="W102" s="851"/>
      <c r="X102" s="851"/>
      <c r="Y102" s="845"/>
      <c r="Z102" s="409"/>
    </row>
    <row r="103" spans="2:26" x14ac:dyDescent="0.3">
      <c r="B103" s="451"/>
      <c r="C103" s="45"/>
      <c r="D103" s="49" t="s">
        <v>208</v>
      </c>
      <c r="E103" s="49"/>
      <c r="F103" s="49"/>
      <c r="G103" s="354" t="str">
        <f>IF(AND(J103&lt;&gt;0,'6E - 4% Building'!H60=0),"Complete Form 6E","")</f>
        <v/>
      </c>
      <c r="H103" s="49"/>
      <c r="I103" s="834">
        <f t="shared" si="34"/>
        <v>0</v>
      </c>
      <c r="J103" s="1391">
        <f t="shared" si="35"/>
        <v>0</v>
      </c>
      <c r="K103" s="850">
        <f t="shared" si="36"/>
        <v>0</v>
      </c>
      <c r="L103" s="836">
        <v>0</v>
      </c>
      <c r="M103" s="851">
        <v>0</v>
      </c>
      <c r="N103" s="851">
        <v>0</v>
      </c>
      <c r="O103" s="851">
        <v>0</v>
      </c>
      <c r="P103" s="851">
        <v>0</v>
      </c>
      <c r="Q103" s="851">
        <v>0</v>
      </c>
      <c r="R103" s="462"/>
      <c r="S103" s="844">
        <f t="shared" si="37"/>
        <v>0</v>
      </c>
      <c r="T103" s="836">
        <v>0</v>
      </c>
      <c r="U103" s="851">
        <v>0</v>
      </c>
      <c r="V103" s="851"/>
      <c r="W103" s="851"/>
      <c r="X103" s="851"/>
      <c r="Y103" s="845"/>
      <c r="Z103" s="409"/>
    </row>
    <row r="104" spans="2:26" x14ac:dyDescent="0.3">
      <c r="B104" s="451"/>
      <c r="C104" s="45"/>
      <c r="D104" s="49" t="s">
        <v>209</v>
      </c>
      <c r="E104" s="49"/>
      <c r="F104" s="49"/>
      <c r="G104" s="49"/>
      <c r="H104" s="49"/>
      <c r="I104" s="834">
        <f t="shared" si="34"/>
        <v>0</v>
      </c>
      <c r="J104" s="1391">
        <f t="shared" si="35"/>
        <v>0</v>
      </c>
      <c r="K104" s="850">
        <f t="shared" si="36"/>
        <v>0</v>
      </c>
      <c r="L104" s="836">
        <v>0</v>
      </c>
      <c r="M104" s="851">
        <v>0</v>
      </c>
      <c r="N104" s="851">
        <v>0</v>
      </c>
      <c r="O104" s="851">
        <v>0</v>
      </c>
      <c r="P104" s="851">
        <v>0</v>
      </c>
      <c r="Q104" s="851">
        <v>0</v>
      </c>
      <c r="R104" s="462"/>
      <c r="S104" s="844">
        <f t="shared" si="37"/>
        <v>0</v>
      </c>
      <c r="T104" s="836">
        <v>0</v>
      </c>
      <c r="U104" s="851">
        <v>0</v>
      </c>
      <c r="V104" s="851"/>
      <c r="W104" s="851"/>
      <c r="X104" s="851"/>
      <c r="Y104" s="845"/>
      <c r="Z104" s="409"/>
    </row>
    <row r="105" spans="2:26" x14ac:dyDescent="0.3">
      <c r="B105" s="451"/>
      <c r="C105" s="45"/>
      <c r="D105" s="49" t="s">
        <v>210</v>
      </c>
      <c r="E105" s="49"/>
      <c r="F105" s="49"/>
      <c r="G105" s="49"/>
      <c r="H105" s="49"/>
      <c r="I105" s="834">
        <f t="shared" si="34"/>
        <v>0</v>
      </c>
      <c r="J105" s="1391">
        <f t="shared" si="35"/>
        <v>0</v>
      </c>
      <c r="K105" s="850">
        <f t="shared" si="36"/>
        <v>0</v>
      </c>
      <c r="L105" s="836">
        <v>0</v>
      </c>
      <c r="M105" s="851">
        <v>0</v>
      </c>
      <c r="N105" s="851">
        <v>0</v>
      </c>
      <c r="O105" s="851">
        <v>0</v>
      </c>
      <c r="P105" s="851">
        <v>0</v>
      </c>
      <c r="Q105" s="851">
        <v>0</v>
      </c>
      <c r="R105" s="462"/>
      <c r="S105" s="844">
        <f t="shared" si="37"/>
        <v>0</v>
      </c>
      <c r="T105" s="836">
        <v>0</v>
      </c>
      <c r="U105" s="851">
        <v>0</v>
      </c>
      <c r="V105" s="851"/>
      <c r="W105" s="851"/>
      <c r="X105" s="851"/>
      <c r="Y105" s="845"/>
      <c r="Z105" s="409"/>
    </row>
    <row r="106" spans="2:26" x14ac:dyDescent="0.3">
      <c r="B106" s="451"/>
      <c r="C106" s="45"/>
      <c r="D106" s="50" t="s">
        <v>211</v>
      </c>
      <c r="E106" s="50"/>
      <c r="F106" s="50"/>
      <c r="G106" s="50"/>
      <c r="H106" s="50"/>
      <c r="I106" s="834">
        <f t="shared" si="34"/>
        <v>2.3882692882952215E-4</v>
      </c>
      <c r="J106" s="1391">
        <f t="shared" si="35"/>
        <v>13500</v>
      </c>
      <c r="K106" s="850">
        <f t="shared" si="36"/>
        <v>8500</v>
      </c>
      <c r="L106" s="836">
        <v>0</v>
      </c>
      <c r="M106" s="851">
        <v>0</v>
      </c>
      <c r="N106" s="851">
        <v>0</v>
      </c>
      <c r="O106" s="851">
        <v>0</v>
      </c>
      <c r="P106" s="851">
        <v>0</v>
      </c>
      <c r="Q106" s="851">
        <v>8500</v>
      </c>
      <c r="R106" s="462"/>
      <c r="S106" s="844">
        <f t="shared" si="37"/>
        <v>5000</v>
      </c>
      <c r="T106" s="836">
        <v>0</v>
      </c>
      <c r="U106" s="851">
        <v>5000</v>
      </c>
      <c r="V106" s="851"/>
      <c r="W106" s="851"/>
      <c r="X106" s="851"/>
      <c r="Y106" s="845"/>
      <c r="Z106" s="409"/>
    </row>
    <row r="107" spans="2:26" x14ac:dyDescent="0.3">
      <c r="B107" s="451"/>
      <c r="C107" s="45"/>
      <c r="D107" s="49" t="s">
        <v>212</v>
      </c>
      <c r="E107" s="49"/>
      <c r="F107" s="49"/>
      <c r="G107" s="49"/>
      <c r="H107" s="49"/>
      <c r="I107" s="834">
        <f t="shared" si="34"/>
        <v>1.5783806363088863E-3</v>
      </c>
      <c r="J107" s="1391">
        <f t="shared" si="35"/>
        <v>89220</v>
      </c>
      <c r="K107" s="850">
        <f t="shared" si="36"/>
        <v>89220</v>
      </c>
      <c r="L107" s="836">
        <v>0</v>
      </c>
      <c r="M107" s="851">
        <v>0</v>
      </c>
      <c r="N107" s="851">
        <v>0</v>
      </c>
      <c r="O107" s="851">
        <v>0</v>
      </c>
      <c r="P107" s="851">
        <v>0</v>
      </c>
      <c r="Q107" s="851">
        <v>89220</v>
      </c>
      <c r="R107" s="462"/>
      <c r="S107" s="844">
        <f t="shared" si="37"/>
        <v>0</v>
      </c>
      <c r="T107" s="836">
        <v>0</v>
      </c>
      <c r="U107" s="851">
        <v>0</v>
      </c>
      <c r="V107" s="851"/>
      <c r="W107" s="851"/>
      <c r="X107" s="851"/>
      <c r="Y107" s="845"/>
      <c r="Z107" s="409"/>
    </row>
    <row r="108" spans="2:26" x14ac:dyDescent="0.3">
      <c r="B108" s="451"/>
      <c r="C108" s="45"/>
      <c r="D108" s="50" t="s">
        <v>497</v>
      </c>
      <c r="E108" s="50"/>
      <c r="F108" s="50"/>
      <c r="G108" s="50"/>
      <c r="H108" s="50"/>
      <c r="I108" s="838">
        <f t="shared" si="34"/>
        <v>0</v>
      </c>
      <c r="J108" s="1392">
        <f t="shared" si="35"/>
        <v>0</v>
      </c>
      <c r="K108" s="862">
        <f t="shared" si="36"/>
        <v>0</v>
      </c>
      <c r="L108" s="853">
        <v>0</v>
      </c>
      <c r="M108" s="854">
        <v>0</v>
      </c>
      <c r="N108" s="854">
        <v>0</v>
      </c>
      <c r="O108" s="854">
        <v>0</v>
      </c>
      <c r="P108" s="854">
        <v>0</v>
      </c>
      <c r="Q108" s="854">
        <v>0</v>
      </c>
      <c r="R108" s="462"/>
      <c r="S108" s="856">
        <f t="shared" si="37"/>
        <v>0</v>
      </c>
      <c r="T108" s="853">
        <v>0</v>
      </c>
      <c r="U108" s="854">
        <v>0</v>
      </c>
      <c r="V108" s="854"/>
      <c r="W108" s="854"/>
      <c r="X108" s="854"/>
      <c r="Y108" s="857"/>
      <c r="Z108" s="409"/>
    </row>
    <row r="109" spans="2:26" ht="15" thickBot="1" x14ac:dyDescent="0.35">
      <c r="B109" s="451"/>
      <c r="C109" s="45"/>
      <c r="D109" s="44"/>
      <c r="E109" s="44"/>
      <c r="F109" s="44"/>
      <c r="G109" s="48" t="s">
        <v>153</v>
      </c>
      <c r="H109" s="48"/>
      <c r="I109" s="353">
        <f t="shared" si="34"/>
        <v>3.2456119664958018E-2</v>
      </c>
      <c r="J109" s="36">
        <f t="shared" ref="J109:Q109" si="38">SUM(J98:J108)</f>
        <v>1834624</v>
      </c>
      <c r="K109" s="22">
        <f t="shared" si="38"/>
        <v>1778271</v>
      </c>
      <c r="L109" s="1449">
        <f t="shared" si="38"/>
        <v>1000000</v>
      </c>
      <c r="M109" s="1450">
        <f t="shared" si="38"/>
        <v>0</v>
      </c>
      <c r="N109" s="1450">
        <f t="shared" si="38"/>
        <v>0</v>
      </c>
      <c r="O109" s="1450">
        <f t="shared" si="38"/>
        <v>0</v>
      </c>
      <c r="P109" s="1450">
        <f t="shared" si="38"/>
        <v>0</v>
      </c>
      <c r="Q109" s="1450">
        <f t="shared" si="38"/>
        <v>778271</v>
      </c>
      <c r="R109" s="463"/>
      <c r="S109" s="464">
        <f t="shared" ref="S109:Y109" si="39">SUM(S98:S108)</f>
        <v>56353</v>
      </c>
      <c r="T109" s="1449">
        <f t="shared" si="39"/>
        <v>0</v>
      </c>
      <c r="U109" s="1450">
        <f t="shared" si="39"/>
        <v>56353</v>
      </c>
      <c r="V109" s="1450">
        <f t="shared" si="39"/>
        <v>0</v>
      </c>
      <c r="W109" s="1450">
        <f t="shared" si="39"/>
        <v>0</v>
      </c>
      <c r="X109" s="1450">
        <f t="shared" si="39"/>
        <v>0</v>
      </c>
      <c r="Y109" s="1451">
        <f t="shared" si="39"/>
        <v>0</v>
      </c>
      <c r="Z109" s="409"/>
    </row>
    <row r="110" spans="2:26" ht="9" customHeight="1" thickBot="1" x14ac:dyDescent="0.35">
      <c r="B110" s="466"/>
      <c r="C110" s="30"/>
      <c r="D110" s="31"/>
      <c r="E110" s="31"/>
      <c r="F110" s="31"/>
      <c r="G110" s="31"/>
      <c r="H110" s="31"/>
      <c r="I110" s="415"/>
      <c r="J110" s="467"/>
      <c r="K110" s="476"/>
      <c r="L110" s="32"/>
      <c r="M110" s="32"/>
      <c r="N110" s="32"/>
      <c r="O110" s="32"/>
      <c r="P110" s="476"/>
      <c r="Q110" s="32"/>
      <c r="R110" s="477"/>
      <c r="S110" s="32"/>
      <c r="T110" s="32"/>
      <c r="U110" s="32"/>
      <c r="V110" s="32"/>
      <c r="W110" s="32"/>
      <c r="X110" s="476"/>
      <c r="Y110" s="32"/>
      <c r="Z110" s="416"/>
    </row>
    <row r="111" spans="2:26" ht="3.75" customHeight="1" x14ac:dyDescent="0.3">
      <c r="B111" s="451"/>
      <c r="C111" s="47"/>
      <c r="D111" s="48"/>
      <c r="E111" s="48"/>
      <c r="F111" s="48"/>
      <c r="G111" s="48"/>
      <c r="H111" s="48"/>
      <c r="I111" s="453"/>
      <c r="J111" s="453"/>
      <c r="K111" s="45"/>
      <c r="L111" s="16"/>
      <c r="M111" s="16"/>
      <c r="N111" s="16"/>
      <c r="O111" s="16"/>
      <c r="P111" s="45"/>
      <c r="Q111" s="16"/>
      <c r="R111" s="462"/>
      <c r="S111" s="16"/>
      <c r="T111" s="16"/>
      <c r="U111" s="16"/>
      <c r="V111" s="16"/>
      <c r="W111" s="16"/>
      <c r="X111" s="45"/>
      <c r="Y111" s="16"/>
      <c r="Z111" s="409"/>
    </row>
    <row r="112" spans="2:26" ht="15" thickBot="1" x14ac:dyDescent="0.35">
      <c r="B112" s="451"/>
      <c r="C112" s="78" t="s">
        <v>214</v>
      </c>
      <c r="D112" s="78"/>
      <c r="E112" s="78"/>
      <c r="F112" s="78"/>
      <c r="G112" s="78"/>
      <c r="H112" s="47"/>
      <c r="I112" s="47"/>
      <c r="J112" s="47"/>
      <c r="K112" s="47"/>
      <c r="L112" s="16"/>
      <c r="M112" s="16"/>
      <c r="N112" s="16"/>
      <c r="O112" s="16"/>
      <c r="P112" s="68"/>
      <c r="Q112" s="16"/>
      <c r="R112" s="462"/>
      <c r="S112" s="16"/>
      <c r="T112" s="16"/>
      <c r="U112" s="16"/>
      <c r="V112" s="16"/>
      <c r="W112" s="16"/>
      <c r="X112" s="68"/>
      <c r="Y112" s="16"/>
      <c r="Z112" s="409"/>
    </row>
    <row r="113" spans="2:26" x14ac:dyDescent="0.3">
      <c r="B113" s="451"/>
      <c r="C113" s="68"/>
      <c r="D113" s="155" t="s">
        <v>215</v>
      </c>
      <c r="E113" s="155"/>
      <c r="F113" s="155"/>
      <c r="G113" s="155"/>
      <c r="H113" s="155"/>
      <c r="I113" s="830">
        <f t="shared" ref="I113:I120" si="40">IFERROR(J113/J$122," ")</f>
        <v>1.0791439006371001E-3</v>
      </c>
      <c r="J113" s="1393">
        <f t="shared" ref="J113:J119" si="41">SUM(K113+S113)</f>
        <v>61000</v>
      </c>
      <c r="K113" s="848">
        <f t="shared" ref="K113:K119" si="42">SUM(L113:Q113)</f>
        <v>61000</v>
      </c>
      <c r="L113" s="832">
        <v>0</v>
      </c>
      <c r="M113" s="849">
        <v>0</v>
      </c>
      <c r="N113" s="849">
        <v>0</v>
      </c>
      <c r="O113" s="849">
        <v>0</v>
      </c>
      <c r="P113" s="849">
        <v>0</v>
      </c>
      <c r="Q113" s="849">
        <v>61000</v>
      </c>
      <c r="R113" s="461"/>
      <c r="S113" s="855">
        <f t="shared" ref="S113:S119" si="43">SUM(T113:Y113)</f>
        <v>0</v>
      </c>
      <c r="T113" s="832">
        <v>0</v>
      </c>
      <c r="U113" s="849">
        <v>0</v>
      </c>
      <c r="V113" s="849"/>
      <c r="W113" s="849"/>
      <c r="X113" s="849"/>
      <c r="Y113" s="843"/>
      <c r="Z113" s="409"/>
    </row>
    <row r="114" spans="2:26" x14ac:dyDescent="0.3">
      <c r="B114" s="451"/>
      <c r="C114" s="68"/>
      <c r="D114" s="44" t="s">
        <v>216</v>
      </c>
      <c r="E114" s="44"/>
      <c r="F114" s="44"/>
      <c r="G114" s="44"/>
      <c r="H114" s="44"/>
      <c r="I114" s="834">
        <f t="shared" si="40"/>
        <v>8.84544180850082E-4</v>
      </c>
      <c r="J114" s="1391">
        <f t="shared" si="41"/>
        <v>50000</v>
      </c>
      <c r="K114" s="863">
        <f t="shared" si="42"/>
        <v>50000</v>
      </c>
      <c r="L114" s="836">
        <v>50000</v>
      </c>
      <c r="M114" s="851">
        <v>0</v>
      </c>
      <c r="N114" s="851">
        <v>0</v>
      </c>
      <c r="O114" s="851">
        <v>0</v>
      </c>
      <c r="P114" s="851">
        <v>0</v>
      </c>
      <c r="Q114" s="851"/>
      <c r="R114" s="462"/>
      <c r="S114" s="866">
        <f t="shared" si="43"/>
        <v>0</v>
      </c>
      <c r="T114" s="836">
        <v>0</v>
      </c>
      <c r="U114" s="851">
        <v>0</v>
      </c>
      <c r="V114" s="851"/>
      <c r="W114" s="851"/>
      <c r="X114" s="851"/>
      <c r="Y114" s="845"/>
      <c r="Z114" s="409"/>
    </row>
    <row r="115" spans="2:26" x14ac:dyDescent="0.3">
      <c r="B115" s="451"/>
      <c r="C115" s="45"/>
      <c r="D115" s="44" t="s">
        <v>217</v>
      </c>
      <c r="E115" s="44"/>
      <c r="F115" s="44"/>
      <c r="G115" s="44"/>
      <c r="H115" s="44"/>
      <c r="I115" s="834">
        <f t="shared" si="40"/>
        <v>0</v>
      </c>
      <c r="J115" s="1391">
        <f t="shared" si="41"/>
        <v>0</v>
      </c>
      <c r="K115" s="863">
        <f t="shared" si="42"/>
        <v>0</v>
      </c>
      <c r="L115" s="836">
        <v>0</v>
      </c>
      <c r="M115" s="851">
        <v>0</v>
      </c>
      <c r="N115" s="851">
        <v>0</v>
      </c>
      <c r="O115" s="851">
        <v>0</v>
      </c>
      <c r="P115" s="851">
        <v>0</v>
      </c>
      <c r="Q115" s="851">
        <v>0</v>
      </c>
      <c r="R115" s="462"/>
      <c r="S115" s="866">
        <f t="shared" si="43"/>
        <v>0</v>
      </c>
      <c r="T115" s="836">
        <v>0</v>
      </c>
      <c r="U115" s="851">
        <v>0</v>
      </c>
      <c r="V115" s="851"/>
      <c r="W115" s="851"/>
      <c r="X115" s="851"/>
      <c r="Y115" s="845"/>
      <c r="Z115" s="409"/>
    </row>
    <row r="116" spans="2:26" x14ac:dyDescent="0.3">
      <c r="B116" s="451"/>
      <c r="C116" s="45"/>
      <c r="D116" s="44" t="s">
        <v>218</v>
      </c>
      <c r="E116" s="44"/>
      <c r="F116" s="44"/>
      <c r="G116" s="44"/>
      <c r="H116" s="44"/>
      <c r="I116" s="834">
        <f>IFERROR(J116/J$122," ")</f>
        <v>0</v>
      </c>
      <c r="J116" s="1391">
        <f t="shared" si="41"/>
        <v>0</v>
      </c>
      <c r="K116" s="863">
        <f t="shared" si="42"/>
        <v>0</v>
      </c>
      <c r="L116" s="836">
        <v>0</v>
      </c>
      <c r="M116" s="851">
        <v>0</v>
      </c>
      <c r="N116" s="851">
        <v>0</v>
      </c>
      <c r="O116" s="851">
        <v>0</v>
      </c>
      <c r="P116" s="851">
        <v>0</v>
      </c>
      <c r="Q116" s="851">
        <v>0</v>
      </c>
      <c r="R116" s="462"/>
      <c r="S116" s="866">
        <f t="shared" si="43"/>
        <v>0</v>
      </c>
      <c r="T116" s="836">
        <v>0</v>
      </c>
      <c r="U116" s="851">
        <v>0</v>
      </c>
      <c r="V116" s="851"/>
      <c r="W116" s="851"/>
      <c r="X116" s="851"/>
      <c r="Y116" s="845"/>
      <c r="Z116" s="409"/>
    </row>
    <row r="117" spans="2:26" x14ac:dyDescent="0.3">
      <c r="B117" s="451"/>
      <c r="C117" s="45"/>
      <c r="D117" s="44" t="s">
        <v>219</v>
      </c>
      <c r="E117" s="44"/>
      <c r="F117" s="44"/>
      <c r="G117" s="44"/>
      <c r="H117" s="44"/>
      <c r="I117" s="834">
        <f t="shared" si="40"/>
        <v>0</v>
      </c>
      <c r="J117" s="1391">
        <f t="shared" si="41"/>
        <v>0</v>
      </c>
      <c r="K117" s="863">
        <f t="shared" si="42"/>
        <v>0</v>
      </c>
      <c r="L117" s="836">
        <v>0</v>
      </c>
      <c r="M117" s="851">
        <v>0</v>
      </c>
      <c r="N117" s="851">
        <v>0</v>
      </c>
      <c r="O117" s="851">
        <v>0</v>
      </c>
      <c r="P117" s="851">
        <v>0</v>
      </c>
      <c r="Q117" s="851">
        <v>0</v>
      </c>
      <c r="R117" s="462"/>
      <c r="S117" s="866">
        <f t="shared" si="43"/>
        <v>0</v>
      </c>
      <c r="T117" s="836">
        <v>0</v>
      </c>
      <c r="U117" s="851">
        <v>0</v>
      </c>
      <c r="V117" s="851"/>
      <c r="W117" s="851"/>
      <c r="X117" s="851"/>
      <c r="Y117" s="845"/>
      <c r="Z117" s="409"/>
    </row>
    <row r="118" spans="2:26" x14ac:dyDescent="0.3">
      <c r="B118" s="451"/>
      <c r="C118" s="45"/>
      <c r="D118" s="44" t="s">
        <v>220</v>
      </c>
      <c r="E118" s="44"/>
      <c r="F118" s="44"/>
      <c r="G118" s="44"/>
      <c r="H118" s="44"/>
      <c r="I118" s="834">
        <f t="shared" si="40"/>
        <v>0</v>
      </c>
      <c r="J118" s="1391">
        <f t="shared" si="41"/>
        <v>0</v>
      </c>
      <c r="K118" s="863">
        <f t="shared" si="42"/>
        <v>0</v>
      </c>
      <c r="L118" s="836">
        <v>0</v>
      </c>
      <c r="M118" s="851">
        <v>0</v>
      </c>
      <c r="N118" s="851">
        <v>0</v>
      </c>
      <c r="O118" s="851">
        <v>0</v>
      </c>
      <c r="P118" s="851">
        <v>0</v>
      </c>
      <c r="Q118" s="851">
        <v>0</v>
      </c>
      <c r="R118" s="462"/>
      <c r="S118" s="866">
        <f t="shared" si="43"/>
        <v>0</v>
      </c>
      <c r="T118" s="836">
        <v>0</v>
      </c>
      <c r="U118" s="851">
        <v>0</v>
      </c>
      <c r="V118" s="851"/>
      <c r="W118" s="851"/>
      <c r="X118" s="851"/>
      <c r="Y118" s="845"/>
      <c r="Z118" s="409"/>
    </row>
    <row r="119" spans="2:26" x14ac:dyDescent="0.3">
      <c r="B119" s="451"/>
      <c r="C119" s="45"/>
      <c r="D119" s="44" t="s">
        <v>221</v>
      </c>
      <c r="E119" s="44"/>
      <c r="F119" s="44"/>
      <c r="G119" s="44"/>
      <c r="H119" s="44"/>
      <c r="I119" s="864">
        <f t="shared" si="40"/>
        <v>0</v>
      </c>
      <c r="J119" s="1392">
        <f t="shared" si="41"/>
        <v>0</v>
      </c>
      <c r="K119" s="865">
        <f t="shared" si="42"/>
        <v>0</v>
      </c>
      <c r="L119" s="853">
        <v>0</v>
      </c>
      <c r="M119" s="854">
        <v>0</v>
      </c>
      <c r="N119" s="854">
        <v>0</v>
      </c>
      <c r="O119" s="854">
        <v>0</v>
      </c>
      <c r="P119" s="854">
        <v>0</v>
      </c>
      <c r="Q119" s="854">
        <v>0</v>
      </c>
      <c r="R119" s="462"/>
      <c r="S119" s="868">
        <f t="shared" si="43"/>
        <v>0</v>
      </c>
      <c r="T119" s="853">
        <v>0</v>
      </c>
      <c r="U119" s="854">
        <v>0</v>
      </c>
      <c r="V119" s="854"/>
      <c r="W119" s="854"/>
      <c r="X119" s="854"/>
      <c r="Y119" s="857"/>
      <c r="Z119" s="409"/>
    </row>
    <row r="120" spans="2:26" ht="15" thickBot="1" x14ac:dyDescent="0.35">
      <c r="B120" s="451"/>
      <c r="C120" s="45"/>
      <c r="D120" s="44"/>
      <c r="E120" s="44"/>
      <c r="F120" s="44"/>
      <c r="G120" s="48" t="s">
        <v>153</v>
      </c>
      <c r="H120" s="48"/>
      <c r="I120" s="353">
        <f t="shared" si="40"/>
        <v>1.9636880814871819E-3</v>
      </c>
      <c r="J120" s="36">
        <f t="shared" ref="J120:Q120" si="44">SUM(J113:J119)</f>
        <v>111000</v>
      </c>
      <c r="K120" s="22">
        <f t="shared" si="44"/>
        <v>111000</v>
      </c>
      <c r="L120" s="1449">
        <f t="shared" si="44"/>
        <v>50000</v>
      </c>
      <c r="M120" s="1450">
        <f t="shared" si="44"/>
        <v>0</v>
      </c>
      <c r="N120" s="1450">
        <f t="shared" si="44"/>
        <v>0</v>
      </c>
      <c r="O120" s="1450">
        <f t="shared" si="44"/>
        <v>0</v>
      </c>
      <c r="P120" s="1450">
        <f t="shared" si="44"/>
        <v>0</v>
      </c>
      <c r="Q120" s="1450">
        <f t="shared" si="44"/>
        <v>61000</v>
      </c>
      <c r="R120" s="463"/>
      <c r="S120" s="867">
        <f t="shared" ref="S120:Y120" si="45">SUM(S113:S119)</f>
        <v>0</v>
      </c>
      <c r="T120" s="1452">
        <f t="shared" si="45"/>
        <v>0</v>
      </c>
      <c r="U120" s="1450">
        <f t="shared" si="45"/>
        <v>0</v>
      </c>
      <c r="V120" s="1450">
        <f t="shared" si="45"/>
        <v>0</v>
      </c>
      <c r="W120" s="1450">
        <f t="shared" si="45"/>
        <v>0</v>
      </c>
      <c r="X120" s="1450">
        <f t="shared" si="45"/>
        <v>0</v>
      </c>
      <c r="Y120" s="1453">
        <f t="shared" si="45"/>
        <v>0</v>
      </c>
      <c r="Z120" s="409"/>
    </row>
    <row r="121" spans="2:26" ht="7.5" customHeight="1" thickBot="1" x14ac:dyDescent="0.35">
      <c r="B121" s="451"/>
      <c r="C121" s="50"/>
      <c r="D121" s="44"/>
      <c r="E121" s="44"/>
      <c r="F121" s="44"/>
      <c r="G121" s="44"/>
      <c r="H121" s="44"/>
      <c r="I121" s="45"/>
      <c r="J121" s="20"/>
      <c r="K121" s="45"/>
      <c r="L121" s="20"/>
      <c r="M121" s="20"/>
      <c r="N121" s="20"/>
      <c r="O121" s="20"/>
      <c r="P121" s="45"/>
      <c r="Q121" s="20"/>
      <c r="R121" s="462"/>
      <c r="S121" s="20"/>
      <c r="T121" s="20"/>
      <c r="U121" s="20"/>
      <c r="V121" s="20"/>
      <c r="W121" s="20"/>
      <c r="X121" s="45"/>
      <c r="Y121" s="20"/>
      <c r="Z121" s="409"/>
    </row>
    <row r="122" spans="2:26" ht="15" thickBot="1" x14ac:dyDescent="0.35">
      <c r="B122" s="451"/>
      <c r="C122" s="157" t="s">
        <v>222</v>
      </c>
      <c r="D122" s="158"/>
      <c r="E122" s="158"/>
      <c r="F122" s="158"/>
      <c r="G122" s="158"/>
      <c r="H122" s="158"/>
      <c r="I122" s="34"/>
      <c r="J122" s="25">
        <f>J30+J49+J65+J70+J78+J89+J95+J109+J120</f>
        <v>56526289</v>
      </c>
      <c r="K122" s="21">
        <f>K30+K49+K65+K70+K78+K89+K95+K109+K120</f>
        <v>51835231</v>
      </c>
      <c r="L122" s="478"/>
      <c r="M122" s="478"/>
      <c r="N122" s="478"/>
      <c r="O122" s="478"/>
      <c r="P122" s="478"/>
      <c r="Q122" s="478"/>
      <c r="R122" s="461"/>
      <c r="S122" s="23">
        <f>S30+S49+S65+S70+S78+S89+S95+S109+S120</f>
        <v>4691058</v>
      </c>
      <c r="T122" s="478"/>
      <c r="U122" s="478"/>
      <c r="V122" s="478"/>
      <c r="W122" s="478"/>
      <c r="X122" s="478"/>
      <c r="Y122" s="479"/>
      <c r="Z122" s="409"/>
    </row>
    <row r="123" spans="2:26" ht="15" thickBot="1" x14ac:dyDescent="0.35">
      <c r="B123" s="451"/>
      <c r="C123" s="159" t="s">
        <v>223</v>
      </c>
      <c r="D123" s="160"/>
      <c r="E123" s="160"/>
      <c r="F123" s="160"/>
      <c r="G123" s="160"/>
      <c r="H123" s="160"/>
      <c r="I123" s="35"/>
      <c r="J123" s="24">
        <f>(K123+S123)</f>
        <v>56526288.999999993</v>
      </c>
      <c r="K123" s="22">
        <f>SUM(L123:Q123)</f>
        <v>51835230.999999993</v>
      </c>
      <c r="L123" s="2471">
        <f>L30+L49+L65+L70+L78+L89+L95+L109+L120</f>
        <v>12660000</v>
      </c>
      <c r="M123" s="2466">
        <f t="shared" ref="M123:Q123" si="46">M30+M49+M65+M70+M78+M89+M95+M109+M120</f>
        <v>3750000</v>
      </c>
      <c r="N123" s="2466">
        <f t="shared" si="46"/>
        <v>1651371.99</v>
      </c>
      <c r="O123" s="2466">
        <f t="shared" si="46"/>
        <v>15611555</v>
      </c>
      <c r="P123" s="2466">
        <f t="shared" si="46"/>
        <v>2100000</v>
      </c>
      <c r="Q123" s="2466">
        <f t="shared" si="46"/>
        <v>16062304.01</v>
      </c>
      <c r="R123" s="480"/>
      <c r="S123" s="464">
        <f>SUM(T123:Y123)</f>
        <v>4691058</v>
      </c>
      <c r="T123" s="1454">
        <f t="shared" ref="T123:Y123" si="47">T30+T49+T65+T70+T78+T89+T95+T109+T120</f>
        <v>2000000</v>
      </c>
      <c r="U123" s="1455">
        <f t="shared" si="47"/>
        <v>2691058</v>
      </c>
      <c r="V123" s="1455">
        <f t="shared" si="47"/>
        <v>0</v>
      </c>
      <c r="W123" s="1455">
        <f t="shared" si="47"/>
        <v>0</v>
      </c>
      <c r="X123" s="1455">
        <f t="shared" si="47"/>
        <v>0</v>
      </c>
      <c r="Y123" s="1456">
        <f t="shared" si="47"/>
        <v>0</v>
      </c>
      <c r="Z123" s="409"/>
    </row>
    <row r="124" spans="2:26" x14ac:dyDescent="0.3">
      <c r="B124" s="451"/>
      <c r="C124" s="355"/>
      <c r="D124" s="355"/>
      <c r="E124" s="355"/>
      <c r="F124" s="355"/>
      <c r="G124" s="355"/>
      <c r="H124" s="355"/>
      <c r="I124" s="356"/>
      <c r="J124" s="357"/>
      <c r="K124" s="2104"/>
      <c r="L124" s="16"/>
      <c r="M124" s="16"/>
      <c r="N124" s="16"/>
      <c r="O124" s="16"/>
      <c r="P124" s="16"/>
      <c r="Q124" s="16"/>
      <c r="R124" s="481"/>
      <c r="S124" s="16"/>
      <c r="T124" s="16"/>
      <c r="U124" s="16"/>
      <c r="V124" s="16"/>
      <c r="W124" s="16"/>
      <c r="X124" s="16"/>
      <c r="Y124" s="16"/>
      <c r="Z124" s="409"/>
    </row>
    <row r="125" spans="2:26" ht="9" customHeight="1" thickBot="1" x14ac:dyDescent="0.35">
      <c r="B125" s="466"/>
      <c r="C125" s="482"/>
      <c r="D125" s="482"/>
      <c r="E125" s="482"/>
      <c r="F125" s="482"/>
      <c r="G125" s="482"/>
      <c r="H125" s="482"/>
      <c r="I125" s="482"/>
      <c r="J125" s="483" t="s">
        <v>31</v>
      </c>
      <c r="K125" s="482"/>
      <c r="L125" s="482"/>
      <c r="M125" s="482"/>
      <c r="N125" s="482"/>
      <c r="O125" s="482"/>
      <c r="P125" s="482"/>
      <c r="Q125" s="482"/>
      <c r="R125" s="482"/>
      <c r="S125" s="482"/>
      <c r="T125" s="482"/>
      <c r="U125" s="482"/>
      <c r="V125" s="482"/>
      <c r="W125" s="482"/>
      <c r="X125" s="482"/>
      <c r="Y125" s="482"/>
      <c r="Z125" s="484"/>
    </row>
    <row r="128" spans="2:26" x14ac:dyDescent="0.3">
      <c r="J128" s="1667"/>
    </row>
    <row r="129" spans="10:10" x14ac:dyDescent="0.3">
      <c r="J129" s="1666"/>
    </row>
  </sheetData>
  <sheetProtection algorithmName="SHA-512" hashValue="1CTAqoIJ9PZtaqPSmFi+MH2Os4vanAWvxBTgI9QLRmdsahn2x/A1xfrujijF+BF3DRNhLSJygGowpYOWODVu0A==" saltValue="/QorPhQgtQ0RxAfxDWQl5g==" spinCount="100000" sheet="1" formatCells="0" formatColumns="0" formatRows="0"/>
  <mergeCells count="26">
    <mergeCell ref="E64:G64"/>
    <mergeCell ref="E88:G88"/>
    <mergeCell ref="E94:G94"/>
    <mergeCell ref="U21:U22"/>
    <mergeCell ref="N21:N22"/>
    <mergeCell ref="O21:O22"/>
    <mergeCell ref="P21:P22"/>
    <mergeCell ref="Q21:Q22"/>
    <mergeCell ref="T21:T22"/>
    <mergeCell ref="E29:G29"/>
    <mergeCell ref="E48:G48"/>
    <mergeCell ref="Y21:Y22"/>
    <mergeCell ref="V21:V22"/>
    <mergeCell ref="C13:Y13"/>
    <mergeCell ref="C15:N15"/>
    <mergeCell ref="I19:I22"/>
    <mergeCell ref="J19:J22"/>
    <mergeCell ref="K19:Q19"/>
    <mergeCell ref="S19:Y19"/>
    <mergeCell ref="K20:K22"/>
    <mergeCell ref="S20:S22"/>
    <mergeCell ref="L21:L22"/>
    <mergeCell ref="M21:M22"/>
    <mergeCell ref="W21:W22"/>
    <mergeCell ref="X21:X22"/>
    <mergeCell ref="C17:N17"/>
  </mergeCells>
  <conditionalFormatting sqref="J24">
    <cfRule type="expression" dxfId="113" priority="26">
      <formula>J24&lt;&gt;(K24+S24)</formula>
    </cfRule>
  </conditionalFormatting>
  <conditionalFormatting sqref="J29">
    <cfRule type="expression" dxfId="112" priority="25">
      <formula>J29&lt;&gt;(K29+S29)</formula>
    </cfRule>
  </conditionalFormatting>
  <conditionalFormatting sqref="J25:J28">
    <cfRule type="expression" dxfId="111" priority="24">
      <formula>J25&lt;&gt;(K25+S25)</formula>
    </cfRule>
  </conditionalFormatting>
  <conditionalFormatting sqref="J33">
    <cfRule type="expression" dxfId="110" priority="23">
      <formula>J33&lt;&gt;(K33+S33)</formula>
    </cfRule>
  </conditionalFormatting>
  <conditionalFormatting sqref="J52">
    <cfRule type="expression" dxfId="109" priority="22">
      <formula>J52&lt;&gt;(K52+S52)</formula>
    </cfRule>
  </conditionalFormatting>
  <conditionalFormatting sqref="J68">
    <cfRule type="expression" dxfId="108" priority="21">
      <formula>J68&lt;&gt;(K68+S68)</formula>
    </cfRule>
  </conditionalFormatting>
  <conditionalFormatting sqref="J73">
    <cfRule type="expression" dxfId="107" priority="20">
      <formula>J73&lt;&gt;(K73+S73)</formula>
    </cfRule>
  </conditionalFormatting>
  <conditionalFormatting sqref="J81">
    <cfRule type="expression" dxfId="106" priority="19">
      <formula>J81&lt;&gt;(K81+S81)</formula>
    </cfRule>
  </conditionalFormatting>
  <conditionalFormatting sqref="J92">
    <cfRule type="expression" dxfId="105" priority="18">
      <formula>J92&lt;&gt;(K92+S92)</formula>
    </cfRule>
  </conditionalFormatting>
  <conditionalFormatting sqref="J98">
    <cfRule type="expression" dxfId="104" priority="17">
      <formula>J98&lt;&gt;(K98+S98)</formula>
    </cfRule>
  </conditionalFormatting>
  <conditionalFormatting sqref="J113">
    <cfRule type="expression" dxfId="103" priority="16">
      <formula>J113&lt;&gt;(K113+S113)</formula>
    </cfRule>
  </conditionalFormatting>
  <conditionalFormatting sqref="J48">
    <cfRule type="expression" dxfId="102" priority="15">
      <formula>J48&lt;&gt;(K48+S48)</formula>
    </cfRule>
  </conditionalFormatting>
  <conditionalFormatting sqref="J64">
    <cfRule type="expression" dxfId="101" priority="14">
      <formula>J64&lt;&gt;(K64+S64)</formula>
    </cfRule>
  </conditionalFormatting>
  <conditionalFormatting sqref="J69">
    <cfRule type="expression" dxfId="100" priority="13">
      <formula>J69&lt;&gt;(K69+S69)</formula>
    </cfRule>
  </conditionalFormatting>
  <conditionalFormatting sqref="J77">
    <cfRule type="expression" dxfId="99" priority="12">
      <formula>J77&lt;&gt;(K77+S77)</formula>
    </cfRule>
  </conditionalFormatting>
  <conditionalFormatting sqref="J88">
    <cfRule type="expression" dxfId="98" priority="11">
      <formula>J88&lt;&gt;(K88+S88)</formula>
    </cfRule>
  </conditionalFormatting>
  <conditionalFormatting sqref="J94">
    <cfRule type="expression" dxfId="97" priority="10">
      <formula>J94&lt;&gt;(K94+S94)</formula>
    </cfRule>
  </conditionalFormatting>
  <conditionalFormatting sqref="J108">
    <cfRule type="expression" dxfId="96" priority="9">
      <formula>J108&lt;&gt;(K108+S108)</formula>
    </cfRule>
  </conditionalFormatting>
  <conditionalFormatting sqref="J119">
    <cfRule type="expression" dxfId="95" priority="8">
      <formula>J119&lt;&gt;(K119+S119)</formula>
    </cfRule>
  </conditionalFormatting>
  <conditionalFormatting sqref="J34:J47">
    <cfRule type="expression" dxfId="94" priority="7">
      <formula>J34&lt;&gt;(K34+S34)</formula>
    </cfRule>
  </conditionalFormatting>
  <conditionalFormatting sqref="J53:J63">
    <cfRule type="expression" dxfId="93" priority="6">
      <formula>J53&lt;&gt;(K53+S53)</formula>
    </cfRule>
  </conditionalFormatting>
  <conditionalFormatting sqref="J74:J76">
    <cfRule type="expression" dxfId="92" priority="5">
      <formula>J74&lt;&gt;(K74+S74)</formula>
    </cfRule>
  </conditionalFormatting>
  <conditionalFormatting sqref="J82:J87">
    <cfRule type="expression" dxfId="91" priority="4">
      <formula>J82&lt;&gt;(K82+S82)</formula>
    </cfRule>
  </conditionalFormatting>
  <conditionalFormatting sqref="J93">
    <cfRule type="expression" dxfId="90" priority="3">
      <formula>J93&lt;&gt;(K93+S93)</formula>
    </cfRule>
  </conditionalFormatting>
  <conditionalFormatting sqref="J99:J107">
    <cfRule type="expression" dxfId="89" priority="2">
      <formula>J99&lt;&gt;(K99+S99)</formula>
    </cfRule>
  </conditionalFormatting>
  <conditionalFormatting sqref="J114:J118">
    <cfRule type="expression" dxfId="88" priority="1">
      <formula>J114&lt;&gt;(K114+S114)</formula>
    </cfRule>
  </conditionalFormatting>
  <conditionalFormatting sqref="J123">
    <cfRule type="expression" dxfId="87" priority="27">
      <formula>$J$123&lt;&gt;(#REF!+#REF!)</formula>
    </cfRule>
  </conditionalFormatting>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9" xr:uid="{00000000-0002-0000-10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8" xr:uid="{00000000-0002-0000-1000-000001000000}"/>
  </dataValidations>
  <pageMargins left="1" right="1" top="1" bottom="0.75" header="0.3" footer="0.3"/>
  <pageSetup paperSize="17" fitToHeight="0" orientation="landscape" r:id="rId1"/>
  <headerFooter>
    <oddFooter>&amp;LForm 6A
Development Budgets&amp;CCFA Forms&amp;REdition: 2017
Version: 1.0</oddFooter>
  </headerFooter>
  <rowBreaks count="3" manualBreakCount="3">
    <brk id="50" min="1" max="21" man="1"/>
    <brk id="79" min="1" max="21" man="1"/>
    <brk id="110"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5:L104"/>
  <sheetViews>
    <sheetView showGridLines="0" topLeftCell="A2" zoomScaleNormal="100" workbookViewId="0">
      <selection activeCell="Q27" sqref="Q27"/>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9.6640625" style="399" customWidth="1"/>
    <col min="8" max="8" width="1.44140625" style="399" customWidth="1"/>
    <col min="9" max="9" width="14.44140625" style="399" customWidth="1"/>
    <col min="10" max="10" width="19.33203125" style="399" customWidth="1"/>
    <col min="11" max="11" width="32.6640625" style="399" customWidth="1"/>
    <col min="12" max="12" width="1.6640625" style="399" customWidth="1"/>
    <col min="13" max="16384" width="9.109375" style="399"/>
  </cols>
  <sheetData>
    <row r="5" spans="2:12" ht="15" thickBot="1" x14ac:dyDescent="0.35"/>
    <row r="6" spans="2:12" ht="9" customHeight="1" x14ac:dyDescent="0.3">
      <c r="B6" s="486"/>
      <c r="C6" s="487"/>
      <c r="D6" s="487"/>
      <c r="E6" s="487"/>
      <c r="F6" s="487"/>
      <c r="G6" s="487"/>
      <c r="H6" s="487"/>
      <c r="I6" s="487"/>
      <c r="J6" s="487"/>
      <c r="K6" s="487"/>
      <c r="L6" s="488"/>
    </row>
    <row r="7" spans="2:12" ht="18" x14ac:dyDescent="0.35">
      <c r="B7" s="489"/>
      <c r="C7" s="2515" t="s">
        <v>1873</v>
      </c>
      <c r="D7" s="2515"/>
      <c r="E7" s="2515"/>
      <c r="F7" s="2515"/>
      <c r="G7" s="2515"/>
      <c r="H7" s="2515"/>
      <c r="I7" s="2515"/>
      <c r="J7" s="2515"/>
      <c r="K7" s="2515"/>
      <c r="L7" s="490"/>
    </row>
    <row r="8" spans="2:12" x14ac:dyDescent="0.3">
      <c r="B8" s="489"/>
      <c r="C8" s="491"/>
      <c r="D8" s="491"/>
      <c r="E8" s="491"/>
      <c r="F8" s="491"/>
      <c r="G8" s="491"/>
      <c r="H8" s="491"/>
      <c r="I8" s="491"/>
      <c r="J8" s="491"/>
      <c r="K8" s="491"/>
      <c r="L8" s="490"/>
    </row>
    <row r="9" spans="2:12" ht="15" thickBot="1" x14ac:dyDescent="0.35">
      <c r="B9" s="489"/>
      <c r="C9" s="2703" t="str">
        <f>IF('1'!G5="","Enter Project Name on Form 1",(CONCATENATE("Project Name: ",'1'!G5)))</f>
        <v>Project Name: 6600 Roosevelt Way NE</v>
      </c>
      <c r="D9" s="2703"/>
      <c r="E9" s="2703"/>
      <c r="F9" s="2703"/>
      <c r="G9" s="2703"/>
      <c r="H9" s="2703"/>
      <c r="I9" s="2703"/>
      <c r="J9" s="2703"/>
      <c r="K9" s="2703"/>
      <c r="L9" s="490"/>
    </row>
    <row r="10" spans="2:12" ht="7.5" customHeight="1" x14ac:dyDescent="0.3">
      <c r="B10" s="494"/>
      <c r="C10" s="495"/>
      <c r="D10" s="495"/>
      <c r="E10" s="495"/>
      <c r="F10" s="495"/>
      <c r="G10" s="495"/>
      <c r="H10" s="495"/>
      <c r="I10" s="495"/>
      <c r="J10" s="495"/>
      <c r="K10" s="453"/>
      <c r="L10" s="490"/>
    </row>
    <row r="11" spans="2:12" ht="15" thickBot="1" x14ac:dyDescent="0.35">
      <c r="B11" s="494"/>
      <c r="C11" s="2703" t="str">
        <f>IF('1'!G29="","Enter Site Name/ID Number on Form 1",(CONCATENATE("Site Name/ID: ",'1'!G29)))</f>
        <v>Site Name/ID: Site A - 4% Building</v>
      </c>
      <c r="D11" s="2703"/>
      <c r="E11" s="2703"/>
      <c r="F11" s="2703"/>
      <c r="G11" s="2703"/>
      <c r="H11" s="2703"/>
      <c r="I11" s="2703"/>
      <c r="J11" s="2703"/>
      <c r="K11" s="2703"/>
      <c r="L11" s="490"/>
    </row>
    <row r="12" spans="2:12" ht="7.5" customHeight="1" thickBot="1" x14ac:dyDescent="0.35">
      <c r="B12" s="494"/>
      <c r="C12" s="495"/>
      <c r="D12" s="495"/>
      <c r="E12" s="495"/>
      <c r="F12" s="495"/>
      <c r="G12" s="495"/>
      <c r="H12" s="495"/>
      <c r="I12" s="495"/>
      <c r="J12" s="495"/>
      <c r="K12" s="453"/>
      <c r="L12" s="490"/>
    </row>
    <row r="13" spans="2:12" x14ac:dyDescent="0.3">
      <c r="B13" s="494"/>
      <c r="C13" s="68"/>
      <c r="D13" s="68"/>
      <c r="E13" s="68"/>
      <c r="F13" s="68"/>
      <c r="G13" s="68"/>
      <c r="H13" s="68"/>
      <c r="I13" s="2704" t="s">
        <v>144</v>
      </c>
      <c r="J13" s="2705"/>
      <c r="K13" s="2706"/>
      <c r="L13" s="490"/>
    </row>
    <row r="14" spans="2:12" ht="37.5" customHeight="1" thickBot="1" x14ac:dyDescent="0.35">
      <c r="B14" s="494"/>
      <c r="C14" s="69"/>
      <c r="D14" s="45"/>
      <c r="E14" s="45"/>
      <c r="F14" s="70"/>
      <c r="G14" s="70"/>
      <c r="H14" s="70"/>
      <c r="I14" s="164" t="s">
        <v>224</v>
      </c>
      <c r="J14" s="2707" t="s">
        <v>225</v>
      </c>
      <c r="K14" s="2708"/>
      <c r="L14" s="490"/>
    </row>
    <row r="15" spans="2:12" ht="15" thickBot="1" x14ac:dyDescent="0.35">
      <c r="B15" s="494"/>
      <c r="C15" s="60" t="s">
        <v>147</v>
      </c>
      <c r="D15" s="61"/>
      <c r="E15" s="61"/>
      <c r="F15" s="62"/>
      <c r="G15" s="62"/>
      <c r="H15" s="62"/>
      <c r="I15" s="43"/>
      <c r="J15" s="43"/>
      <c r="K15" s="491"/>
      <c r="L15" s="490"/>
    </row>
    <row r="16" spans="2:12" x14ac:dyDescent="0.3">
      <c r="B16" s="494"/>
      <c r="C16" s="453"/>
      <c r="D16" s="151" t="s">
        <v>148</v>
      </c>
      <c r="E16" s="151"/>
      <c r="F16" s="151"/>
      <c r="G16" s="151"/>
      <c r="H16" s="152"/>
      <c r="I16" s="869">
        <f>'6A - 4% Building'!K24</f>
        <v>2782042</v>
      </c>
      <c r="J16" s="2697" t="s">
        <v>2185</v>
      </c>
      <c r="K16" s="2698"/>
      <c r="L16" s="490"/>
    </row>
    <row r="17" spans="2:12" x14ac:dyDescent="0.3">
      <c r="B17" s="494"/>
      <c r="C17" s="453"/>
      <c r="D17" s="153" t="s">
        <v>149</v>
      </c>
      <c r="E17" s="153"/>
      <c r="F17" s="153"/>
      <c r="G17" s="153"/>
      <c r="H17" s="154"/>
      <c r="I17" s="870">
        <f>'6A - 4% Building'!K25</f>
        <v>0</v>
      </c>
      <c r="J17" s="2693"/>
      <c r="K17" s="2694"/>
      <c r="L17" s="490"/>
    </row>
    <row r="18" spans="2:12" x14ac:dyDescent="0.3">
      <c r="B18" s="494"/>
      <c r="C18" s="453"/>
      <c r="D18" s="153" t="s">
        <v>150</v>
      </c>
      <c r="E18" s="153"/>
      <c r="F18" s="153"/>
      <c r="G18" s="153"/>
      <c r="H18" s="154"/>
      <c r="I18" s="870">
        <f>'6A - 4% Building'!K26</f>
        <v>0</v>
      </c>
      <c r="J18" s="2693"/>
      <c r="K18" s="2694"/>
      <c r="L18" s="490"/>
    </row>
    <row r="19" spans="2:12" x14ac:dyDescent="0.3">
      <c r="B19" s="494"/>
      <c r="C19" s="453"/>
      <c r="D19" s="153" t="s">
        <v>151</v>
      </c>
      <c r="E19" s="153"/>
      <c r="F19" s="153"/>
      <c r="G19" s="153"/>
      <c r="H19" s="154"/>
      <c r="I19" s="870">
        <f>'6A - 4% Building'!K27</f>
        <v>31397</v>
      </c>
      <c r="J19" s="2693" t="s">
        <v>2085</v>
      </c>
      <c r="K19" s="2694"/>
      <c r="L19" s="490"/>
    </row>
    <row r="20" spans="2:12" x14ac:dyDescent="0.3">
      <c r="B20" s="494"/>
      <c r="C20" s="453"/>
      <c r="D20" s="153" t="s">
        <v>152</v>
      </c>
      <c r="E20" s="153"/>
      <c r="F20" s="153"/>
      <c r="G20" s="153"/>
      <c r="H20" s="154"/>
      <c r="I20" s="870">
        <f>'6A - 4% Building'!K28</f>
        <v>0</v>
      </c>
      <c r="J20" s="2693"/>
      <c r="K20" s="2694"/>
      <c r="L20" s="490"/>
    </row>
    <row r="21" spans="2:12" ht="15" thickBot="1" x14ac:dyDescent="0.35">
      <c r="B21" s="494"/>
      <c r="C21" s="453"/>
      <c r="D21" s="153" t="s">
        <v>226</v>
      </c>
      <c r="E21" s="153"/>
      <c r="F21" s="153"/>
      <c r="G21" s="153"/>
      <c r="H21" s="154"/>
      <c r="I21" s="871">
        <f>'6A - 4% Building'!K29</f>
        <v>0</v>
      </c>
      <c r="J21" s="2695"/>
      <c r="K21" s="2696"/>
      <c r="L21" s="490"/>
    </row>
    <row r="22" spans="2:12" ht="3.75" customHeight="1" x14ac:dyDescent="0.3">
      <c r="B22" s="494"/>
      <c r="C22" s="47"/>
      <c r="D22" s="48"/>
      <c r="E22" s="48"/>
      <c r="F22" s="44"/>
      <c r="G22" s="44"/>
      <c r="H22" s="44"/>
      <c r="I22" s="39"/>
      <c r="J22" s="39"/>
      <c r="K22" s="491"/>
      <c r="L22" s="490"/>
    </row>
    <row r="23" spans="2:12" ht="15" thickBot="1" x14ac:dyDescent="0.35">
      <c r="B23" s="494"/>
      <c r="C23" s="60" t="s">
        <v>154</v>
      </c>
      <c r="D23" s="61"/>
      <c r="E23" s="61"/>
      <c r="F23" s="62"/>
      <c r="G23" s="62"/>
      <c r="H23" s="62"/>
      <c r="I23" s="40"/>
      <c r="J23" s="40"/>
      <c r="K23" s="453"/>
      <c r="L23" s="490"/>
    </row>
    <row r="24" spans="2:12" x14ac:dyDescent="0.3">
      <c r="B24" s="494"/>
      <c r="C24" s="453"/>
      <c r="D24" s="151" t="s">
        <v>155</v>
      </c>
      <c r="E24" s="151"/>
      <c r="F24" s="151"/>
      <c r="G24" s="151"/>
      <c r="H24" s="152"/>
      <c r="I24" s="869">
        <f>'6A - 4% Building'!K33</f>
        <v>0</v>
      </c>
      <c r="J24" s="2697"/>
      <c r="K24" s="2698"/>
      <c r="L24" s="490"/>
    </row>
    <row r="25" spans="2:12" ht="20.25" customHeight="1" x14ac:dyDescent="0.3">
      <c r="B25" s="494"/>
      <c r="C25" s="453"/>
      <c r="D25" s="153" t="s">
        <v>156</v>
      </c>
      <c r="E25" s="153"/>
      <c r="F25" s="153"/>
      <c r="G25" s="153"/>
      <c r="H25" s="154"/>
      <c r="I25" s="870">
        <f>'6A - 4% Building'!K34</f>
        <v>33896560</v>
      </c>
      <c r="J25" s="2701" t="s">
        <v>2216</v>
      </c>
      <c r="K25" s="2702"/>
      <c r="L25" s="490"/>
    </row>
    <row r="26" spans="2:12" x14ac:dyDescent="0.3">
      <c r="B26" s="494"/>
      <c r="C26" s="453"/>
      <c r="D26" s="153" t="s">
        <v>157</v>
      </c>
      <c r="E26" s="153"/>
      <c r="F26" s="153"/>
      <c r="G26" s="153"/>
      <c r="H26" s="154"/>
      <c r="I26" s="870">
        <f>'6A - 4% Building'!K35</f>
        <v>0</v>
      </c>
      <c r="J26" s="2693"/>
      <c r="K26" s="2694"/>
      <c r="L26" s="490"/>
    </row>
    <row r="27" spans="2:12" x14ac:dyDescent="0.3">
      <c r="B27" s="494"/>
      <c r="C27" s="453"/>
      <c r="D27" s="153" t="s">
        <v>158</v>
      </c>
      <c r="E27" s="153"/>
      <c r="F27" s="153"/>
      <c r="G27" s="153"/>
      <c r="H27" s="154"/>
      <c r="I27" s="870">
        <f>'6A - 4% Building'!K36</f>
        <v>0</v>
      </c>
      <c r="J27" s="2693"/>
      <c r="K27" s="2694"/>
      <c r="L27" s="490"/>
    </row>
    <row r="28" spans="2:12" x14ac:dyDescent="0.3">
      <c r="B28" s="494"/>
      <c r="C28" s="453"/>
      <c r="D28" s="153" t="s">
        <v>159</v>
      </c>
      <c r="E28" s="153"/>
      <c r="F28" s="153"/>
      <c r="G28" s="153"/>
      <c r="H28" s="154"/>
      <c r="I28" s="870">
        <f>'6A - 4% Building'!K37</f>
        <v>0</v>
      </c>
      <c r="J28" s="2693"/>
      <c r="K28" s="2694"/>
      <c r="L28" s="490"/>
    </row>
    <row r="29" spans="2:12" x14ac:dyDescent="0.3">
      <c r="B29" s="494"/>
      <c r="C29" s="453"/>
      <c r="D29" s="153" t="s">
        <v>160</v>
      </c>
      <c r="E29" s="153"/>
      <c r="F29" s="153"/>
      <c r="G29" s="153"/>
      <c r="H29" s="154"/>
      <c r="I29" s="870">
        <f>'6A - 4% Building'!K38</f>
        <v>1874028</v>
      </c>
      <c r="J29" s="2693" t="s">
        <v>2086</v>
      </c>
      <c r="K29" s="2694"/>
      <c r="L29" s="490"/>
    </row>
    <row r="30" spans="2:12" x14ac:dyDescent="0.3">
      <c r="B30" s="494"/>
      <c r="C30" s="453"/>
      <c r="D30" s="153" t="s">
        <v>161</v>
      </c>
      <c r="E30" s="153"/>
      <c r="F30" s="153"/>
      <c r="G30" s="153"/>
      <c r="H30" s="154"/>
      <c r="I30" s="870">
        <f>'6A - 4% Building'!K39</f>
        <v>0</v>
      </c>
      <c r="J30" s="2693"/>
      <c r="K30" s="2694"/>
      <c r="L30" s="490"/>
    </row>
    <row r="31" spans="2:12" x14ac:dyDescent="0.3">
      <c r="B31" s="494"/>
      <c r="C31" s="453"/>
      <c r="D31" s="153" t="s">
        <v>162</v>
      </c>
      <c r="E31" s="153"/>
      <c r="F31" s="153"/>
      <c r="G31" s="153"/>
      <c r="H31" s="154"/>
      <c r="I31" s="870">
        <f>'6A - 4% Building'!K40</f>
        <v>0</v>
      </c>
      <c r="J31" s="2693"/>
      <c r="K31" s="2694"/>
      <c r="L31" s="490"/>
    </row>
    <row r="32" spans="2:12" x14ac:dyDescent="0.3">
      <c r="B32" s="494"/>
      <c r="C32" s="453"/>
      <c r="D32" s="153" t="s">
        <v>163</v>
      </c>
      <c r="E32" s="153"/>
      <c r="F32" s="153"/>
      <c r="G32" s="153"/>
      <c r="H32" s="154"/>
      <c r="I32" s="870">
        <f>'6A - 4% Building'!K41</f>
        <v>0</v>
      </c>
      <c r="J32" s="2693" t="s">
        <v>2215</v>
      </c>
      <c r="K32" s="2694"/>
      <c r="L32" s="490"/>
    </row>
    <row r="33" spans="2:12" x14ac:dyDescent="0.3">
      <c r="B33" s="494"/>
      <c r="C33" s="453"/>
      <c r="D33" s="153" t="s">
        <v>164</v>
      </c>
      <c r="E33" s="153"/>
      <c r="F33" s="153"/>
      <c r="G33" s="153"/>
      <c r="H33" s="154"/>
      <c r="I33" s="870">
        <f>'6A - 4% Building'!K42</f>
        <v>0</v>
      </c>
      <c r="J33" s="2693"/>
      <c r="K33" s="2694"/>
      <c r="L33" s="490"/>
    </row>
    <row r="34" spans="2:12" x14ac:dyDescent="0.3">
      <c r="B34" s="494"/>
      <c r="C34" s="453"/>
      <c r="D34" s="153" t="s">
        <v>165</v>
      </c>
      <c r="E34" s="153"/>
      <c r="F34" s="153"/>
      <c r="G34" s="153"/>
      <c r="H34" s="154"/>
      <c r="I34" s="870">
        <f>'6A - 4% Building'!K43</f>
        <v>0</v>
      </c>
      <c r="J34" s="2693"/>
      <c r="K34" s="2694"/>
      <c r="L34" s="490"/>
    </row>
    <row r="35" spans="2:12" x14ac:dyDescent="0.3">
      <c r="B35" s="494"/>
      <c r="C35" s="453"/>
      <c r="D35" s="153" t="s">
        <v>166</v>
      </c>
      <c r="E35" s="153"/>
      <c r="F35" s="153"/>
      <c r="G35" s="153"/>
      <c r="H35" s="154"/>
      <c r="I35" s="870">
        <f>'6A - 4% Building'!K44</f>
        <v>0</v>
      </c>
      <c r="J35" s="2693"/>
      <c r="K35" s="2694"/>
      <c r="L35" s="490"/>
    </row>
    <row r="36" spans="2:12" x14ac:dyDescent="0.3">
      <c r="B36" s="494"/>
      <c r="C36" s="453"/>
      <c r="D36" s="153" t="s">
        <v>167</v>
      </c>
      <c r="E36" s="153"/>
      <c r="F36" s="153"/>
      <c r="G36" s="153"/>
      <c r="H36" s="154"/>
      <c r="I36" s="870">
        <f>'6A - 4% Building'!K45</f>
        <v>3479344</v>
      </c>
      <c r="J36" s="2693" t="s">
        <v>2067</v>
      </c>
      <c r="K36" s="2694"/>
      <c r="L36" s="490"/>
    </row>
    <row r="37" spans="2:12" x14ac:dyDescent="0.3">
      <c r="B37" s="494"/>
      <c r="C37" s="453"/>
      <c r="D37" s="153" t="s">
        <v>168</v>
      </c>
      <c r="E37" s="153"/>
      <c r="F37" s="153"/>
      <c r="G37" s="153"/>
      <c r="H37" s="154"/>
      <c r="I37" s="870">
        <f>'6A - 4% Building'!K46</f>
        <v>0</v>
      </c>
      <c r="J37" s="2693"/>
      <c r="K37" s="2694"/>
      <c r="L37" s="490"/>
    </row>
    <row r="38" spans="2:12" x14ac:dyDescent="0.3">
      <c r="B38" s="494"/>
      <c r="C38" s="453"/>
      <c r="D38" s="153" t="s">
        <v>169</v>
      </c>
      <c r="E38" s="153"/>
      <c r="F38" s="153"/>
      <c r="G38" s="153"/>
      <c r="H38" s="154"/>
      <c r="I38" s="870">
        <f>'6A - 4% Building'!K47</f>
        <v>104656</v>
      </c>
      <c r="J38" s="2693" t="s">
        <v>2087</v>
      </c>
      <c r="K38" s="2694"/>
      <c r="L38" s="490"/>
    </row>
    <row r="39" spans="2:12" ht="15" thickBot="1" x14ac:dyDescent="0.35">
      <c r="B39" s="494"/>
      <c r="C39" s="453"/>
      <c r="D39" s="153" t="s">
        <v>227</v>
      </c>
      <c r="E39" s="153"/>
      <c r="F39" s="153"/>
      <c r="G39" s="153"/>
      <c r="H39" s="154"/>
      <c r="I39" s="871">
        <f>'6A - 4% Building'!K48</f>
        <v>0</v>
      </c>
      <c r="J39" s="2695"/>
      <c r="K39" s="2696"/>
      <c r="L39" s="490"/>
    </row>
    <row r="40" spans="2:12" ht="3.75" customHeight="1" x14ac:dyDescent="0.3">
      <c r="B40" s="494"/>
      <c r="C40" s="47"/>
      <c r="D40" s="48"/>
      <c r="E40" s="48"/>
      <c r="F40" s="44"/>
      <c r="G40" s="44"/>
      <c r="H40" s="44"/>
      <c r="I40" s="39"/>
      <c r="J40" s="39"/>
      <c r="K40" s="491"/>
      <c r="L40" s="490"/>
    </row>
    <row r="41" spans="2:12" ht="15" thickBot="1" x14ac:dyDescent="0.35">
      <c r="B41" s="494"/>
      <c r="C41" s="60" t="s">
        <v>170</v>
      </c>
      <c r="D41" s="61"/>
      <c r="E41" s="61"/>
      <c r="F41" s="62"/>
      <c r="G41" s="62"/>
      <c r="H41" s="62"/>
      <c r="I41" s="39"/>
      <c r="J41" s="39"/>
      <c r="K41" s="453"/>
      <c r="L41" s="490"/>
    </row>
    <row r="42" spans="2:12" ht="15" thickBot="1" x14ac:dyDescent="0.35">
      <c r="B42" s="494"/>
      <c r="C42" s="453"/>
      <c r="D42" s="151" t="s">
        <v>171</v>
      </c>
      <c r="E42" s="151"/>
      <c r="F42" s="151"/>
      <c r="G42" s="151"/>
      <c r="H42" s="152"/>
      <c r="I42" s="869">
        <f>'6A - 4% Building'!K52</f>
        <v>6279</v>
      </c>
      <c r="J42" s="2697" t="s">
        <v>2070</v>
      </c>
      <c r="K42" s="2698"/>
      <c r="L42" s="490"/>
    </row>
    <row r="43" spans="2:12" x14ac:dyDescent="0.3">
      <c r="B43" s="494"/>
      <c r="C43" s="453"/>
      <c r="D43" s="153" t="s">
        <v>172</v>
      </c>
      <c r="E43" s="153"/>
      <c r="F43" s="153"/>
      <c r="G43" s="153"/>
      <c r="H43" s="154"/>
      <c r="I43" s="870">
        <f>'6A - 4% Building'!K53</f>
        <v>4957</v>
      </c>
      <c r="J43" s="2697" t="s">
        <v>2071</v>
      </c>
      <c r="K43" s="2698"/>
      <c r="L43" s="490"/>
    </row>
    <row r="44" spans="2:12" x14ac:dyDescent="0.3">
      <c r="B44" s="494"/>
      <c r="C44" s="453"/>
      <c r="D44" s="153" t="s">
        <v>173</v>
      </c>
      <c r="E44" s="153"/>
      <c r="F44" s="153"/>
      <c r="G44" s="153"/>
      <c r="H44" s="154"/>
      <c r="I44" s="870">
        <f>'6A - 4% Building'!K54</f>
        <v>1626853</v>
      </c>
      <c r="J44" s="2693" t="s">
        <v>2088</v>
      </c>
      <c r="K44" s="2694"/>
      <c r="L44" s="490"/>
    </row>
    <row r="45" spans="2:12" x14ac:dyDescent="0.3">
      <c r="B45" s="494"/>
      <c r="C45" s="453"/>
      <c r="D45" s="153" t="s">
        <v>174</v>
      </c>
      <c r="E45" s="153"/>
      <c r="F45" s="153"/>
      <c r="G45" s="153"/>
      <c r="H45" s="154"/>
      <c r="I45" s="870">
        <f>'6A - 4% Building'!K55</f>
        <v>0</v>
      </c>
      <c r="J45" s="2693"/>
      <c r="K45" s="2694"/>
      <c r="L45" s="490"/>
    </row>
    <row r="46" spans="2:12" x14ac:dyDescent="0.3">
      <c r="B46" s="494"/>
      <c r="C46" s="453"/>
      <c r="D46" s="153" t="s">
        <v>175</v>
      </c>
      <c r="E46" s="153"/>
      <c r="F46" s="153"/>
      <c r="G46" s="153"/>
      <c r="H46" s="154"/>
      <c r="I46" s="870">
        <f>'6A - 4% Building'!K56</f>
        <v>0</v>
      </c>
      <c r="J46" s="2693"/>
      <c r="K46" s="2694"/>
      <c r="L46" s="490"/>
    </row>
    <row r="47" spans="2:12" x14ac:dyDescent="0.3">
      <c r="B47" s="494"/>
      <c r="C47" s="453"/>
      <c r="D47" s="153" t="s">
        <v>176</v>
      </c>
      <c r="E47" s="153"/>
      <c r="F47" s="153"/>
      <c r="G47" s="153"/>
      <c r="H47" s="154"/>
      <c r="I47" s="870">
        <f>'6A - 4% Building'!K57</f>
        <v>15698</v>
      </c>
      <c r="J47" s="2693" t="s">
        <v>2146</v>
      </c>
      <c r="K47" s="2694"/>
      <c r="L47" s="490"/>
    </row>
    <row r="48" spans="2:12" x14ac:dyDescent="0.3">
      <c r="B48" s="494"/>
      <c r="C48" s="453"/>
      <c r="D48" s="153" t="s">
        <v>177</v>
      </c>
      <c r="E48" s="153"/>
      <c r="F48" s="153"/>
      <c r="G48" s="153"/>
      <c r="H48" s="154"/>
      <c r="I48" s="870">
        <f>'6A - 4% Building'!K58</f>
        <v>39246</v>
      </c>
      <c r="J48" s="2693" t="s">
        <v>2217</v>
      </c>
      <c r="K48" s="2694"/>
      <c r="L48" s="490"/>
    </row>
    <row r="49" spans="2:12" x14ac:dyDescent="0.3">
      <c r="B49" s="494"/>
      <c r="C49" s="453"/>
      <c r="D49" s="153" t="s">
        <v>178</v>
      </c>
      <c r="E49" s="153"/>
      <c r="F49" s="153"/>
      <c r="G49" s="153"/>
      <c r="H49" s="154"/>
      <c r="I49" s="870">
        <f>'6A - 4% Building'!K59</f>
        <v>81109</v>
      </c>
      <c r="J49" s="2693" t="s">
        <v>2069</v>
      </c>
      <c r="K49" s="2694"/>
      <c r="L49" s="490"/>
    </row>
    <row r="50" spans="2:12" x14ac:dyDescent="0.3">
      <c r="B50" s="494"/>
      <c r="C50" s="453"/>
      <c r="D50" s="153" t="s">
        <v>179</v>
      </c>
      <c r="E50" s="153"/>
      <c r="F50" s="153"/>
      <c r="G50" s="153"/>
      <c r="H50" s="154"/>
      <c r="I50" s="870">
        <f>'6A - 4% Building'!K60</f>
        <v>3577247</v>
      </c>
      <c r="J50" s="2693" t="s">
        <v>2068</v>
      </c>
      <c r="K50" s="2694"/>
      <c r="L50" s="490"/>
    </row>
    <row r="51" spans="2:12" x14ac:dyDescent="0.3">
      <c r="B51" s="494"/>
      <c r="C51" s="453"/>
      <c r="D51" s="153" t="s">
        <v>180</v>
      </c>
      <c r="E51" s="153"/>
      <c r="F51" s="153"/>
      <c r="G51" s="153"/>
      <c r="H51" s="154"/>
      <c r="I51" s="870">
        <f>'6A - 4% Building'!K61</f>
        <v>178440</v>
      </c>
      <c r="J51" s="2693" t="s">
        <v>2072</v>
      </c>
      <c r="K51" s="2694"/>
      <c r="L51" s="490"/>
    </row>
    <row r="52" spans="2:12" x14ac:dyDescent="0.3">
      <c r="B52" s="494"/>
      <c r="C52" s="453"/>
      <c r="D52" s="153" t="s">
        <v>181</v>
      </c>
      <c r="E52" s="153"/>
      <c r="F52" s="153"/>
      <c r="G52" s="153"/>
      <c r="H52" s="154"/>
      <c r="I52" s="870">
        <f>'6A - 4% Building'!K62</f>
        <v>83725</v>
      </c>
      <c r="J52" s="2693" t="s">
        <v>2188</v>
      </c>
      <c r="K52" s="2694"/>
      <c r="L52" s="490"/>
    </row>
    <row r="53" spans="2:12" x14ac:dyDescent="0.3">
      <c r="B53" s="494"/>
      <c r="C53" s="496"/>
      <c r="D53" s="91" t="s">
        <v>182</v>
      </c>
      <c r="E53" s="91"/>
      <c r="F53" s="91"/>
      <c r="G53" s="91"/>
      <c r="H53" s="91"/>
      <c r="I53" s="870">
        <f>'6A - 4% Building'!K63</f>
        <v>209312</v>
      </c>
      <c r="J53" s="2693" t="s">
        <v>2083</v>
      </c>
      <c r="K53" s="2694"/>
      <c r="L53" s="490"/>
    </row>
    <row r="54" spans="2:12" ht="15" thickBot="1" x14ac:dyDescent="0.35">
      <c r="B54" s="494"/>
      <c r="C54" s="453"/>
      <c r="D54" s="153" t="s">
        <v>226</v>
      </c>
      <c r="E54" s="153"/>
      <c r="F54" s="153"/>
      <c r="G54" s="153"/>
      <c r="H54" s="154"/>
      <c r="I54" s="871">
        <f>'6A - 4% Building'!K64</f>
        <v>52328</v>
      </c>
      <c r="J54" s="2695" t="s">
        <v>2084</v>
      </c>
      <c r="K54" s="2696"/>
      <c r="L54" s="490"/>
    </row>
    <row r="55" spans="2:12" ht="3.75" customHeight="1" x14ac:dyDescent="0.3">
      <c r="B55" s="494"/>
      <c r="C55" s="47"/>
      <c r="D55" s="48"/>
      <c r="E55" s="48"/>
      <c r="F55" s="44"/>
      <c r="G55" s="44"/>
      <c r="H55" s="44"/>
      <c r="I55" s="39"/>
      <c r="J55" s="39"/>
      <c r="K55" s="491"/>
      <c r="L55" s="490"/>
    </row>
    <row r="56" spans="2:12" ht="15" thickBot="1" x14ac:dyDescent="0.35">
      <c r="B56" s="494"/>
      <c r="C56" s="60" t="s">
        <v>183</v>
      </c>
      <c r="D56" s="61"/>
      <c r="E56" s="61"/>
      <c r="F56" s="62"/>
      <c r="G56" s="62"/>
      <c r="H56" s="62"/>
      <c r="I56" s="39"/>
      <c r="J56" s="39"/>
      <c r="K56" s="453"/>
      <c r="L56" s="490"/>
    </row>
    <row r="57" spans="2:12" x14ac:dyDescent="0.3">
      <c r="B57" s="494"/>
      <c r="C57" s="453"/>
      <c r="D57" s="151" t="s">
        <v>184</v>
      </c>
      <c r="E57" s="151"/>
      <c r="F57" s="151"/>
      <c r="G57" s="151"/>
      <c r="H57" s="152"/>
      <c r="I57" s="869">
        <f>'6A - 4% Building'!K68</f>
        <v>0</v>
      </c>
      <c r="J57" s="2697"/>
      <c r="K57" s="2698"/>
      <c r="L57" s="490"/>
    </row>
    <row r="58" spans="2:12" ht="15" thickBot="1" x14ac:dyDescent="0.35">
      <c r="B58" s="494"/>
      <c r="C58" s="453"/>
      <c r="D58" s="153" t="s">
        <v>185</v>
      </c>
      <c r="E58" s="153"/>
      <c r="F58" s="153"/>
      <c r="G58" s="153"/>
      <c r="H58" s="154"/>
      <c r="I58" s="871">
        <f>'6A - 4% Building'!K69</f>
        <v>60177</v>
      </c>
      <c r="J58" s="2695" t="s">
        <v>2081</v>
      </c>
      <c r="K58" s="2696"/>
      <c r="L58" s="490"/>
    </row>
    <row r="59" spans="2:12" ht="9" customHeight="1" thickBot="1" x14ac:dyDescent="0.35">
      <c r="B59" s="497"/>
      <c r="C59" s="57"/>
      <c r="D59" s="58"/>
      <c r="E59" s="58"/>
      <c r="F59" s="57"/>
      <c r="G59" s="57"/>
      <c r="H59" s="57"/>
      <c r="I59" s="41"/>
      <c r="J59" s="41"/>
      <c r="K59" s="498"/>
      <c r="L59" s="499"/>
    </row>
    <row r="60" spans="2:12" ht="15" thickBot="1" x14ac:dyDescent="0.35">
      <c r="B60" s="494"/>
      <c r="C60" s="60" t="s">
        <v>186</v>
      </c>
      <c r="D60" s="61"/>
      <c r="E60" s="61"/>
      <c r="F60" s="62"/>
      <c r="G60" s="62"/>
      <c r="H60" s="62"/>
      <c r="I60" s="39"/>
      <c r="J60" s="39"/>
      <c r="K60" s="453"/>
      <c r="L60" s="490"/>
    </row>
    <row r="61" spans="2:12" ht="21.75" customHeight="1" x14ac:dyDescent="0.3">
      <c r="B61" s="494"/>
      <c r="C61" s="453"/>
      <c r="D61" s="151" t="s">
        <v>187</v>
      </c>
      <c r="E61" s="151"/>
      <c r="F61" s="151"/>
      <c r="G61" s="151"/>
      <c r="H61" s="152"/>
      <c r="I61" s="869">
        <f>'6A - 4% Building'!K73</f>
        <v>70000</v>
      </c>
      <c r="J61" s="2699" t="s">
        <v>2099</v>
      </c>
      <c r="K61" s="2700"/>
      <c r="L61" s="500"/>
    </row>
    <row r="62" spans="2:12" x14ac:dyDescent="0.3">
      <c r="B62" s="494"/>
      <c r="C62" s="453"/>
      <c r="D62" s="153" t="s">
        <v>188</v>
      </c>
      <c r="E62" s="153"/>
      <c r="F62" s="153"/>
      <c r="G62" s="153"/>
      <c r="H62" s="154"/>
      <c r="I62" s="870">
        <f>'6A - 4% Building'!K74</f>
        <v>0</v>
      </c>
      <c r="J62" s="2693"/>
      <c r="K62" s="2694"/>
      <c r="L62" s="490"/>
    </row>
    <row r="63" spans="2:12" x14ac:dyDescent="0.3">
      <c r="B63" s="494"/>
      <c r="C63" s="453"/>
      <c r="D63" s="153" t="s">
        <v>189</v>
      </c>
      <c r="E63" s="153"/>
      <c r="F63" s="153"/>
      <c r="G63" s="153"/>
      <c r="H63" s="154"/>
      <c r="I63" s="870">
        <f>'6A - 4% Building'!K75</f>
        <v>25000</v>
      </c>
      <c r="J63" s="2693" t="s">
        <v>2075</v>
      </c>
      <c r="K63" s="2694"/>
      <c r="L63" s="490"/>
    </row>
    <row r="64" spans="2:12" x14ac:dyDescent="0.3">
      <c r="B64" s="494"/>
      <c r="C64" s="453"/>
      <c r="D64" s="153" t="s">
        <v>190</v>
      </c>
      <c r="E64" s="153"/>
      <c r="F64" s="153"/>
      <c r="G64" s="153"/>
      <c r="H64" s="154"/>
      <c r="I64" s="870">
        <f>'6A - 4% Building'!K76</f>
        <v>500000</v>
      </c>
      <c r="J64" s="2693" t="s">
        <v>2073</v>
      </c>
      <c r="K64" s="2694"/>
      <c r="L64" s="490"/>
    </row>
    <row r="65" spans="2:12" ht="15" thickBot="1" x14ac:dyDescent="0.35">
      <c r="B65" s="494"/>
      <c r="C65" s="453"/>
      <c r="D65" s="153" t="s">
        <v>191</v>
      </c>
      <c r="E65" s="153"/>
      <c r="F65" s="153"/>
      <c r="G65" s="153"/>
      <c r="H65" s="154"/>
      <c r="I65" s="871">
        <f>'6A - 4% Building'!K77</f>
        <v>259480</v>
      </c>
      <c r="J65" s="2695" t="s">
        <v>2082</v>
      </c>
      <c r="K65" s="2696"/>
      <c r="L65" s="490"/>
    </row>
    <row r="66" spans="2:12" ht="4.5" customHeight="1" x14ac:dyDescent="0.3">
      <c r="B66" s="494"/>
      <c r="C66" s="44"/>
      <c r="D66" s="48"/>
      <c r="E66" s="48"/>
      <c r="F66" s="44"/>
      <c r="G66" s="44"/>
      <c r="H66" s="44"/>
      <c r="I66" s="39"/>
      <c r="J66" s="39"/>
      <c r="K66" s="491"/>
      <c r="L66" s="490"/>
    </row>
    <row r="67" spans="2:12" ht="15" thickBot="1" x14ac:dyDescent="0.35">
      <c r="B67" s="494"/>
      <c r="C67" s="60" t="s">
        <v>192</v>
      </c>
      <c r="D67" s="61"/>
      <c r="E67" s="61"/>
      <c r="F67" s="62"/>
      <c r="G67" s="62"/>
      <c r="H67" s="62"/>
      <c r="I67" s="39"/>
      <c r="J67" s="39"/>
      <c r="K67" s="453"/>
      <c r="L67" s="490"/>
    </row>
    <row r="68" spans="2:12" x14ac:dyDescent="0.3">
      <c r="B68" s="494"/>
      <c r="C68" s="453"/>
      <c r="D68" s="151" t="s">
        <v>193</v>
      </c>
      <c r="E68" s="151"/>
      <c r="F68" s="151"/>
      <c r="G68" s="151"/>
      <c r="H68" s="152"/>
      <c r="I68" s="869">
        <f>'6A - 4% Building'!K81</f>
        <v>70000</v>
      </c>
      <c r="J68" s="2697" t="s">
        <v>2074</v>
      </c>
      <c r="K68" s="2698"/>
      <c r="L68" s="490"/>
    </row>
    <row r="69" spans="2:12" x14ac:dyDescent="0.3">
      <c r="B69" s="494"/>
      <c r="C69" s="453"/>
      <c r="D69" s="153" t="s">
        <v>194</v>
      </c>
      <c r="E69" s="153"/>
      <c r="F69" s="153"/>
      <c r="G69" s="153"/>
      <c r="H69" s="154"/>
      <c r="I69" s="870">
        <f>'6A - 4% Building'!K82</f>
        <v>0</v>
      </c>
      <c r="J69" s="2693"/>
      <c r="K69" s="2694"/>
      <c r="L69" s="490"/>
    </row>
    <row r="70" spans="2:12" x14ac:dyDescent="0.3">
      <c r="B70" s="494"/>
      <c r="C70" s="453"/>
      <c r="D70" s="153" t="s">
        <v>195</v>
      </c>
      <c r="E70" s="153"/>
      <c r="F70" s="153"/>
      <c r="G70" s="153"/>
      <c r="H70" s="154"/>
      <c r="I70" s="870">
        <f>'6A - 4% Building'!K83</f>
        <v>25000</v>
      </c>
      <c r="J70" s="2693" t="s">
        <v>2075</v>
      </c>
      <c r="K70" s="2694"/>
      <c r="L70" s="490"/>
    </row>
    <row r="71" spans="2:12" x14ac:dyDescent="0.3">
      <c r="B71" s="494"/>
      <c r="C71" s="453"/>
      <c r="D71" s="153" t="s">
        <v>196</v>
      </c>
      <c r="E71" s="153"/>
      <c r="F71" s="153"/>
      <c r="G71" s="153"/>
      <c r="H71" s="154"/>
      <c r="I71" s="870">
        <f>'6A - 4% Building'!K84</f>
        <v>200000</v>
      </c>
      <c r="J71" s="2693" t="s">
        <v>2089</v>
      </c>
      <c r="K71" s="2694"/>
      <c r="L71" s="490"/>
    </row>
    <row r="72" spans="2:12" x14ac:dyDescent="0.3">
      <c r="B72" s="494"/>
      <c r="C72" s="453"/>
      <c r="D72" s="153" t="s">
        <v>197</v>
      </c>
      <c r="E72" s="153"/>
      <c r="F72" s="153"/>
      <c r="G72" s="153"/>
      <c r="H72" s="154"/>
      <c r="I72" s="870">
        <f>'6A - 4% Building'!K85</f>
        <v>40000</v>
      </c>
      <c r="J72" s="2693" t="s">
        <v>2075</v>
      </c>
      <c r="K72" s="2694"/>
      <c r="L72" s="490"/>
    </row>
    <row r="73" spans="2:12" x14ac:dyDescent="0.3">
      <c r="B73" s="494"/>
      <c r="C73" s="453"/>
      <c r="D73" s="153" t="s">
        <v>198</v>
      </c>
      <c r="E73" s="153"/>
      <c r="F73" s="153"/>
      <c r="G73" s="153"/>
      <c r="H73" s="154"/>
      <c r="I73" s="870">
        <f>'6A - 4% Building'!K86</f>
        <v>0</v>
      </c>
      <c r="J73" s="2693"/>
      <c r="K73" s="2694"/>
      <c r="L73" s="490"/>
    </row>
    <row r="74" spans="2:12" x14ac:dyDescent="0.3">
      <c r="B74" s="494"/>
      <c r="C74" s="453"/>
      <c r="D74" s="153" t="s">
        <v>199</v>
      </c>
      <c r="E74" s="153"/>
      <c r="F74" s="153"/>
      <c r="G74" s="153"/>
      <c r="H74" s="154"/>
      <c r="I74" s="870">
        <f>'6A - 4% Building'!K87</f>
        <v>0</v>
      </c>
      <c r="J74" s="2693"/>
      <c r="K74" s="2694"/>
      <c r="L74" s="490"/>
    </row>
    <row r="75" spans="2:12" ht="15" thickBot="1" x14ac:dyDescent="0.35">
      <c r="B75" s="494"/>
      <c r="C75" s="453"/>
      <c r="D75" s="153" t="s">
        <v>226</v>
      </c>
      <c r="E75" s="153"/>
      <c r="F75" s="153"/>
      <c r="G75" s="153"/>
      <c r="H75" s="154"/>
      <c r="I75" s="871">
        <f>'6A - 4% Building'!K88</f>
        <v>38082</v>
      </c>
      <c r="J75" s="2695" t="s">
        <v>2090</v>
      </c>
      <c r="K75" s="2696"/>
      <c r="L75" s="490"/>
    </row>
    <row r="76" spans="2:12" ht="3.75" customHeight="1" x14ac:dyDescent="0.3">
      <c r="B76" s="494"/>
      <c r="C76" s="47"/>
      <c r="D76" s="48"/>
      <c r="E76" s="48"/>
      <c r="F76" s="44"/>
      <c r="G76" s="44"/>
      <c r="H76" s="44"/>
      <c r="I76" s="39"/>
      <c r="J76" s="39"/>
      <c r="K76" s="491"/>
      <c r="L76" s="490"/>
    </row>
    <row r="77" spans="2:12" ht="15" thickBot="1" x14ac:dyDescent="0.35">
      <c r="B77" s="494"/>
      <c r="C77" s="60" t="s">
        <v>200</v>
      </c>
      <c r="D77" s="61"/>
      <c r="E77" s="61"/>
      <c r="F77" s="62"/>
      <c r="G77" s="62"/>
      <c r="H77" s="62"/>
      <c r="I77" s="42"/>
      <c r="J77" s="163"/>
      <c r="K77" s="410"/>
      <c r="L77" s="490"/>
    </row>
    <row r="78" spans="2:12" x14ac:dyDescent="0.3">
      <c r="B78" s="494"/>
      <c r="C78" s="453"/>
      <c r="D78" s="151" t="s">
        <v>201</v>
      </c>
      <c r="E78" s="151"/>
      <c r="F78" s="151"/>
      <c r="G78" s="151"/>
      <c r="H78" s="152"/>
      <c r="I78" s="869">
        <f>'6A - 4% Building'!K92</f>
        <v>615000</v>
      </c>
      <c r="J78" s="2697" t="s">
        <v>2076</v>
      </c>
      <c r="K78" s="2698"/>
      <c r="L78" s="490"/>
    </row>
    <row r="79" spans="2:12" x14ac:dyDescent="0.3">
      <c r="B79" s="494"/>
      <c r="C79" s="453"/>
      <c r="D79" s="153" t="s">
        <v>202</v>
      </c>
      <c r="E79" s="153"/>
      <c r="F79" s="153"/>
      <c r="G79" s="153"/>
      <c r="H79" s="154"/>
      <c r="I79" s="870">
        <f>'6A - 4% Building'!K93</f>
        <v>0</v>
      </c>
      <c r="J79" s="2693"/>
      <c r="K79" s="2694"/>
      <c r="L79" s="490"/>
    </row>
    <row r="80" spans="2:12" ht="15" thickBot="1" x14ac:dyDescent="0.35">
      <c r="B80" s="494"/>
      <c r="C80" s="453"/>
      <c r="D80" s="153" t="s">
        <v>228</v>
      </c>
      <c r="E80" s="153"/>
      <c r="F80" s="153"/>
      <c r="G80" s="153"/>
      <c r="H80" s="154"/>
      <c r="I80" s="871">
        <f>'6A - 4% Building'!K94</f>
        <v>0</v>
      </c>
      <c r="J80" s="2695"/>
      <c r="K80" s="2696"/>
      <c r="L80" s="490"/>
    </row>
    <row r="81" spans="2:12" ht="3.75" customHeight="1" x14ac:dyDescent="0.3">
      <c r="B81" s="494"/>
      <c r="C81" s="47"/>
      <c r="D81" s="48"/>
      <c r="E81" s="48"/>
      <c r="F81" s="44"/>
      <c r="G81" s="44"/>
      <c r="H81" s="44"/>
      <c r="I81" s="39"/>
      <c r="J81" s="39"/>
      <c r="K81" s="491"/>
      <c r="L81" s="490"/>
    </row>
    <row r="82" spans="2:12" ht="15" thickBot="1" x14ac:dyDescent="0.35">
      <c r="B82" s="494"/>
      <c r="C82" s="60" t="s">
        <v>203</v>
      </c>
      <c r="D82" s="61"/>
      <c r="E82" s="61"/>
      <c r="F82" s="62"/>
      <c r="G82" s="62"/>
      <c r="H82" s="62"/>
      <c r="I82" s="42"/>
      <c r="J82" s="163"/>
      <c r="K82" s="410"/>
      <c r="L82" s="490"/>
    </row>
    <row r="83" spans="2:12" x14ac:dyDescent="0.3">
      <c r="B83" s="494"/>
      <c r="C83" s="453"/>
      <c r="D83" s="151" t="s">
        <v>204</v>
      </c>
      <c r="E83" s="151"/>
      <c r="F83" s="151"/>
      <c r="G83" s="151"/>
      <c r="H83" s="152"/>
      <c r="I83" s="869">
        <f>'6A - 4% Building'!K98</f>
        <v>68027</v>
      </c>
      <c r="J83" s="2697" t="s">
        <v>2147</v>
      </c>
      <c r="K83" s="2698"/>
      <c r="L83" s="490"/>
    </row>
    <row r="84" spans="2:12" x14ac:dyDescent="0.3">
      <c r="B84" s="494"/>
      <c r="C84" s="453"/>
      <c r="D84" s="153" t="s">
        <v>205</v>
      </c>
      <c r="E84" s="153"/>
      <c r="F84" s="153"/>
      <c r="G84" s="153"/>
      <c r="H84" s="154"/>
      <c r="I84" s="870">
        <f>'6A - 4% Building'!K99</f>
        <v>207124</v>
      </c>
      <c r="J84" s="2693" t="s">
        <v>2091</v>
      </c>
      <c r="K84" s="2694"/>
      <c r="L84" s="490"/>
    </row>
    <row r="85" spans="2:12" x14ac:dyDescent="0.3">
      <c r="B85" s="494"/>
      <c r="C85" s="453"/>
      <c r="D85" s="153" t="s">
        <v>103</v>
      </c>
      <c r="E85" s="153"/>
      <c r="F85" s="153"/>
      <c r="G85" s="153"/>
      <c r="H85" s="154"/>
      <c r="I85" s="870">
        <f>'6A - 4% Building'!K100</f>
        <v>0</v>
      </c>
      <c r="J85" s="2693"/>
      <c r="K85" s="2694"/>
      <c r="L85" s="490"/>
    </row>
    <row r="86" spans="2:12" x14ac:dyDescent="0.3">
      <c r="B86" s="494"/>
      <c r="C86" s="453"/>
      <c r="D86" s="153" t="s">
        <v>206</v>
      </c>
      <c r="E86" s="153"/>
      <c r="F86" s="153"/>
      <c r="G86" s="153"/>
      <c r="H86" s="154"/>
      <c r="I86" s="870">
        <f>'6A - 4% Building'!K101</f>
        <v>0</v>
      </c>
      <c r="J86" s="2693"/>
      <c r="K86" s="2694"/>
      <c r="L86" s="490"/>
    </row>
    <row r="87" spans="2:12" x14ac:dyDescent="0.3">
      <c r="B87" s="494"/>
      <c r="C87" s="453"/>
      <c r="D87" s="153" t="s">
        <v>207</v>
      </c>
      <c r="E87" s="153"/>
      <c r="F87" s="153"/>
      <c r="G87" s="153"/>
      <c r="H87" s="154"/>
      <c r="I87" s="870">
        <f>'6A - 4% Building'!K102</f>
        <v>1405400</v>
      </c>
      <c r="J87" s="2693" t="s">
        <v>2214</v>
      </c>
      <c r="K87" s="2694"/>
      <c r="L87" s="490"/>
    </row>
    <row r="88" spans="2:12" x14ac:dyDescent="0.3">
      <c r="B88" s="494"/>
      <c r="C88" s="453"/>
      <c r="D88" s="153" t="s">
        <v>208</v>
      </c>
      <c r="E88" s="153"/>
      <c r="F88" s="153"/>
      <c r="G88" s="153"/>
      <c r="H88" s="154"/>
      <c r="I88" s="870">
        <f>'6A - 4% Building'!K103</f>
        <v>0</v>
      </c>
      <c r="J88" s="2693"/>
      <c r="K88" s="2694"/>
      <c r="L88" s="490"/>
    </row>
    <row r="89" spans="2:12" x14ac:dyDescent="0.3">
      <c r="B89" s="494"/>
      <c r="C89" s="453"/>
      <c r="D89" s="153" t="s">
        <v>209</v>
      </c>
      <c r="E89" s="153"/>
      <c r="F89" s="153"/>
      <c r="G89" s="153"/>
      <c r="H89" s="154"/>
      <c r="I89" s="870">
        <f>'6A - 4% Building'!K104</f>
        <v>0</v>
      </c>
      <c r="J89" s="2693"/>
      <c r="K89" s="2694"/>
      <c r="L89" s="490"/>
    </row>
    <row r="90" spans="2:12" x14ac:dyDescent="0.3">
      <c r="B90" s="494"/>
      <c r="C90" s="453"/>
      <c r="D90" s="153" t="s">
        <v>210</v>
      </c>
      <c r="E90" s="153"/>
      <c r="F90" s="153"/>
      <c r="G90" s="153"/>
      <c r="H90" s="154"/>
      <c r="I90" s="870">
        <f>'6A - 4% Building'!K105</f>
        <v>0</v>
      </c>
      <c r="J90" s="2693"/>
      <c r="K90" s="2694"/>
      <c r="L90" s="490"/>
    </row>
    <row r="91" spans="2:12" x14ac:dyDescent="0.3">
      <c r="B91" s="494"/>
      <c r="C91" s="453"/>
      <c r="D91" s="153" t="s">
        <v>211</v>
      </c>
      <c r="E91" s="153"/>
      <c r="F91" s="153"/>
      <c r="G91" s="153"/>
      <c r="H91" s="154"/>
      <c r="I91" s="870">
        <f>'6A - 4% Building'!K106</f>
        <v>8500</v>
      </c>
      <c r="J91" s="2693" t="s">
        <v>2078</v>
      </c>
      <c r="K91" s="2694"/>
      <c r="L91" s="490"/>
    </row>
    <row r="92" spans="2:12" x14ac:dyDescent="0.3">
      <c r="B92" s="494"/>
      <c r="C92" s="453"/>
      <c r="D92" s="153" t="s">
        <v>212</v>
      </c>
      <c r="E92" s="153"/>
      <c r="F92" s="153"/>
      <c r="G92" s="153"/>
      <c r="H92" s="154"/>
      <c r="I92" s="870">
        <f>'6A - 4% Building'!K107</f>
        <v>89220</v>
      </c>
      <c r="J92" s="2693" t="s">
        <v>2079</v>
      </c>
      <c r="K92" s="2694"/>
      <c r="L92" s="490"/>
    </row>
    <row r="93" spans="2:12" ht="15" thickBot="1" x14ac:dyDescent="0.35">
      <c r="B93" s="494"/>
      <c r="C93" s="453"/>
      <c r="D93" s="153" t="s">
        <v>213</v>
      </c>
      <c r="E93" s="153"/>
      <c r="F93" s="153"/>
      <c r="G93" s="153"/>
      <c r="H93" s="154"/>
      <c r="I93" s="871">
        <f>'6A - 4% Building'!K108</f>
        <v>0</v>
      </c>
      <c r="J93" s="2695"/>
      <c r="K93" s="2696"/>
      <c r="L93" s="490"/>
    </row>
    <row r="94" spans="2:12" ht="3.75" customHeight="1" x14ac:dyDescent="0.3">
      <c r="B94" s="494"/>
      <c r="C94" s="47"/>
      <c r="D94" s="48"/>
      <c r="E94" s="48"/>
      <c r="F94" s="44"/>
      <c r="G94" s="44"/>
      <c r="H94" s="44"/>
      <c r="I94" s="39"/>
      <c r="J94" s="39"/>
      <c r="K94" s="410"/>
      <c r="L94" s="490"/>
    </row>
    <row r="95" spans="2:12" ht="15" thickBot="1" x14ac:dyDescent="0.35">
      <c r="B95" s="494"/>
      <c r="C95" s="60" t="s">
        <v>214</v>
      </c>
      <c r="D95" s="61"/>
      <c r="E95" s="61"/>
      <c r="F95" s="62"/>
      <c r="G95" s="62"/>
      <c r="H95" s="62"/>
      <c r="I95" s="39"/>
      <c r="J95" s="39"/>
      <c r="K95" s="495"/>
      <c r="L95" s="501"/>
    </row>
    <row r="96" spans="2:12" x14ac:dyDescent="0.3">
      <c r="B96" s="494"/>
      <c r="C96" s="502"/>
      <c r="D96" s="151" t="s">
        <v>215</v>
      </c>
      <c r="E96" s="151"/>
      <c r="F96" s="151"/>
      <c r="G96" s="151"/>
      <c r="H96" s="152"/>
      <c r="I96" s="869">
        <f>'6A - 4% Building'!K113</f>
        <v>61000</v>
      </c>
      <c r="J96" s="2697" t="s">
        <v>2080</v>
      </c>
      <c r="K96" s="2698"/>
      <c r="L96" s="501"/>
    </row>
    <row r="97" spans="2:12" x14ac:dyDescent="0.3">
      <c r="B97" s="494"/>
      <c r="C97" s="502"/>
      <c r="D97" s="153" t="s">
        <v>216</v>
      </c>
      <c r="E97" s="153"/>
      <c r="F97" s="153"/>
      <c r="G97" s="153"/>
      <c r="H97" s="154"/>
      <c r="I97" s="870">
        <f>'6A - 4% Building'!K114</f>
        <v>50000</v>
      </c>
      <c r="J97" s="2693" t="s">
        <v>2213</v>
      </c>
      <c r="K97" s="2694"/>
      <c r="L97" s="501"/>
    </row>
    <row r="98" spans="2:12" x14ac:dyDescent="0.3">
      <c r="B98" s="494"/>
      <c r="C98" s="453"/>
      <c r="D98" s="153" t="s">
        <v>217</v>
      </c>
      <c r="E98" s="153"/>
      <c r="F98" s="153"/>
      <c r="G98" s="153"/>
      <c r="H98" s="154"/>
      <c r="I98" s="870">
        <f>'6A - 4% Building'!K115</f>
        <v>0</v>
      </c>
      <c r="J98" s="2693"/>
      <c r="K98" s="2694"/>
      <c r="L98" s="490"/>
    </row>
    <row r="99" spans="2:12" x14ac:dyDescent="0.3">
      <c r="B99" s="494"/>
      <c r="C99" s="453"/>
      <c r="D99" s="153" t="s">
        <v>218</v>
      </c>
      <c r="E99" s="153"/>
      <c r="F99" s="153"/>
      <c r="G99" s="153"/>
      <c r="H99" s="154"/>
      <c r="I99" s="870">
        <f>'6A - 4% Building'!K116</f>
        <v>0</v>
      </c>
      <c r="J99" s="2693"/>
      <c r="K99" s="2694"/>
      <c r="L99" s="490"/>
    </row>
    <row r="100" spans="2:12" x14ac:dyDescent="0.3">
      <c r="B100" s="494"/>
      <c r="C100" s="453"/>
      <c r="D100" s="153" t="s">
        <v>219</v>
      </c>
      <c r="E100" s="153"/>
      <c r="F100" s="153"/>
      <c r="G100" s="153"/>
      <c r="H100" s="154"/>
      <c r="I100" s="870">
        <f>'6A - 4% Building'!K117</f>
        <v>0</v>
      </c>
      <c r="J100" s="2693"/>
      <c r="K100" s="2694"/>
      <c r="L100" s="490"/>
    </row>
    <row r="101" spans="2:12" x14ac:dyDescent="0.3">
      <c r="B101" s="494"/>
      <c r="C101" s="453"/>
      <c r="D101" s="153" t="s">
        <v>220</v>
      </c>
      <c r="E101" s="153"/>
      <c r="F101" s="153"/>
      <c r="G101" s="153"/>
      <c r="H101" s="154"/>
      <c r="I101" s="870">
        <f>'6A - 4% Building'!K118</f>
        <v>0</v>
      </c>
      <c r="J101" s="2693"/>
      <c r="K101" s="2694"/>
      <c r="L101" s="490"/>
    </row>
    <row r="102" spans="2:12" ht="15" thickBot="1" x14ac:dyDescent="0.35">
      <c r="B102" s="494"/>
      <c r="C102" s="453"/>
      <c r="D102" s="153" t="s">
        <v>221</v>
      </c>
      <c r="E102" s="153"/>
      <c r="F102" s="153"/>
      <c r="G102" s="153"/>
      <c r="H102" s="154"/>
      <c r="I102" s="871">
        <f>'6A - 4% Building'!K119</f>
        <v>0</v>
      </c>
      <c r="J102" s="2695"/>
      <c r="K102" s="2696"/>
      <c r="L102" s="490"/>
    </row>
    <row r="103" spans="2:12" ht="15" thickBot="1" x14ac:dyDescent="0.35">
      <c r="B103" s="497"/>
      <c r="C103" s="37"/>
      <c r="D103" s="503"/>
      <c r="E103" s="503"/>
      <c r="F103" s="37"/>
      <c r="G103" s="37"/>
      <c r="H103" s="37"/>
      <c r="I103" s="38"/>
      <c r="J103" s="38"/>
      <c r="K103" s="498"/>
      <c r="L103" s="499"/>
    </row>
    <row r="104" spans="2:12" x14ac:dyDescent="0.3">
      <c r="I104" s="485"/>
    </row>
  </sheetData>
  <sheetProtection algorithmName="SHA-512" hashValue="APOZ/iCyS/eRHZt9NoTWSXSR9Lviz8175Pl+8Z98eMYc/E4d4TX9iwY8u1KbjqtsKqXyBgAQWO/ND0Nsc4vbZw==" saltValue="zKIvIdNy8Dg2pMIdNOLWEQ==" spinCount="100000" sheet="1" formatCells="0" formatColumns="0" formatRows="0"/>
  <mergeCells count="76">
    <mergeCell ref="C9:K9"/>
    <mergeCell ref="I13:K13"/>
    <mergeCell ref="J14:K14"/>
    <mergeCell ref="J16:K16"/>
    <mergeCell ref="J17:K17"/>
    <mergeCell ref="C11:K11"/>
    <mergeCell ref="J18:K18"/>
    <mergeCell ref="J19:K19"/>
    <mergeCell ref="J20:K20"/>
    <mergeCell ref="J21:K21"/>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2:K42"/>
    <mergeCell ref="J43:K43"/>
    <mergeCell ref="J44:K44"/>
    <mergeCell ref="J45:K45"/>
    <mergeCell ref="J46:K46"/>
    <mergeCell ref="J47:K47"/>
    <mergeCell ref="J48:K48"/>
    <mergeCell ref="J49:K49"/>
    <mergeCell ref="J50:K50"/>
    <mergeCell ref="J51:K51"/>
    <mergeCell ref="J52:K52"/>
    <mergeCell ref="J53:K53"/>
    <mergeCell ref="J54:K54"/>
    <mergeCell ref="J57:K57"/>
    <mergeCell ref="J58:K58"/>
    <mergeCell ref="J61:K61"/>
    <mergeCell ref="J62:K62"/>
    <mergeCell ref="J63:K63"/>
    <mergeCell ref="J64:K64"/>
    <mergeCell ref="J65:K65"/>
    <mergeCell ref="J68:K68"/>
    <mergeCell ref="J69:K69"/>
    <mergeCell ref="J70:K70"/>
    <mergeCell ref="J71:K71"/>
    <mergeCell ref="J72:K72"/>
    <mergeCell ref="J73:K73"/>
    <mergeCell ref="J74:K74"/>
    <mergeCell ref="J87:K87"/>
    <mergeCell ref="J88:K88"/>
    <mergeCell ref="J75:K75"/>
    <mergeCell ref="J78:K78"/>
    <mergeCell ref="J79:K79"/>
    <mergeCell ref="J80:K80"/>
    <mergeCell ref="J83:K83"/>
    <mergeCell ref="J101:K101"/>
    <mergeCell ref="J102:K102"/>
    <mergeCell ref="C7:K7"/>
    <mergeCell ref="J96:K96"/>
    <mergeCell ref="J97:K97"/>
    <mergeCell ref="J98:K98"/>
    <mergeCell ref="J99:K99"/>
    <mergeCell ref="J100:K100"/>
    <mergeCell ref="J89:K89"/>
    <mergeCell ref="J90:K90"/>
    <mergeCell ref="J91:K91"/>
    <mergeCell ref="J92:K92"/>
    <mergeCell ref="J93:K93"/>
    <mergeCell ref="J84:K84"/>
    <mergeCell ref="J85:K85"/>
    <mergeCell ref="J86:K86"/>
  </mergeCells>
  <pageMargins left="1" right="1" top="1" bottom="1" header="0.5" footer="0.5"/>
  <pageSetup scale="74" fitToHeight="0" orientation="portrait" r:id="rId1"/>
  <headerFooter>
    <oddFooter>&amp;LForm 6B
Development Budget Details&amp;CCFA Forms&amp;REdition: 2017
Version: 1.0</oddFooter>
  </headerFooter>
  <rowBreaks count="1" manualBreakCount="1">
    <brk id="59"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9:L125"/>
  <sheetViews>
    <sheetView showGridLines="0" topLeftCell="A5" zoomScaleNormal="100" workbookViewId="0">
      <selection activeCell="K106" sqref="K106"/>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10.6640625" style="399" customWidth="1"/>
    <col min="8" max="8" width="0.6640625" style="399" customWidth="1"/>
    <col min="9" max="9" width="20" style="399" customWidth="1"/>
    <col min="10" max="10" width="11.44140625" style="399" customWidth="1"/>
    <col min="11" max="11" width="12.109375" style="399" customWidth="1"/>
    <col min="12" max="12" width="1.6640625" style="399" customWidth="1"/>
    <col min="13" max="16384" width="9.109375" style="399"/>
  </cols>
  <sheetData>
    <row r="9" spans="2:12" ht="15" thickBot="1" x14ac:dyDescent="0.35"/>
    <row r="10" spans="2:12" x14ac:dyDescent="0.3">
      <c r="B10" s="504"/>
      <c r="C10" s="505"/>
      <c r="D10" s="505"/>
      <c r="E10" s="505"/>
      <c r="F10" s="505"/>
      <c r="G10" s="505"/>
      <c r="H10" s="505"/>
      <c r="I10" s="505"/>
      <c r="J10" s="505"/>
      <c r="K10" s="505"/>
      <c r="L10" s="506"/>
    </row>
    <row r="11" spans="2:12" ht="18" x14ac:dyDescent="0.35">
      <c r="B11" s="507"/>
      <c r="C11" s="2647" t="s">
        <v>1874</v>
      </c>
      <c r="D11" s="2647"/>
      <c r="E11" s="2647"/>
      <c r="F11" s="2647"/>
      <c r="G11" s="2647"/>
      <c r="H11" s="2647"/>
      <c r="I11" s="2647"/>
      <c r="J11" s="2647"/>
      <c r="K11" s="2647"/>
      <c r="L11" s="508"/>
    </row>
    <row r="12" spans="2:12" x14ac:dyDescent="0.3">
      <c r="B12" s="507"/>
      <c r="C12" s="410"/>
      <c r="D12" s="410"/>
      <c r="E12" s="410"/>
      <c r="F12" s="410"/>
      <c r="G12" s="410"/>
      <c r="H12" s="410"/>
      <c r="I12" s="410"/>
      <c r="J12" s="410"/>
      <c r="K12" s="410"/>
      <c r="L12" s="508"/>
    </row>
    <row r="13" spans="2:12" ht="15" thickBot="1" x14ac:dyDescent="0.35">
      <c r="B13" s="507"/>
      <c r="C13" s="2668" t="str">
        <f>IF('1'!G5="","Enter Project Name on Form 1",(CONCATENATE("Project Name: ",'1'!G5)))</f>
        <v>Project Name: 6600 Roosevelt Way NE</v>
      </c>
      <c r="D13" s="2668"/>
      <c r="E13" s="2668"/>
      <c r="F13" s="2668"/>
      <c r="G13" s="2668"/>
      <c r="H13" s="2668"/>
      <c r="I13" s="2668"/>
      <c r="J13" s="2668"/>
      <c r="K13" s="2668"/>
      <c r="L13" s="508"/>
    </row>
    <row r="14" spans="2:12" ht="7.5" customHeight="1" x14ac:dyDescent="0.3">
      <c r="B14" s="507"/>
      <c r="C14" s="2122"/>
      <c r="D14" s="2122"/>
      <c r="E14" s="2122"/>
      <c r="F14" s="2122"/>
      <c r="G14" s="2122"/>
      <c r="H14" s="2122"/>
      <c r="I14" s="2122"/>
      <c r="J14" s="2122"/>
      <c r="K14" s="2122"/>
      <c r="L14" s="508"/>
    </row>
    <row r="15" spans="2:12" ht="15" thickBot="1" x14ac:dyDescent="0.35">
      <c r="B15" s="507"/>
      <c r="C15" s="2668" t="str">
        <f>IF('1'!G29="","Enter Site Name/ID Number on Form 1",(CONCATENATE("Site Name/ID: ",'1'!G29)))</f>
        <v>Site Name/ID: Site A - 4% Building</v>
      </c>
      <c r="D15" s="2668"/>
      <c r="E15" s="2668"/>
      <c r="F15" s="2668"/>
      <c r="G15" s="2668"/>
      <c r="H15" s="2668"/>
      <c r="I15" s="2668"/>
      <c r="J15" s="2668"/>
      <c r="K15" s="2668"/>
      <c r="L15" s="508"/>
    </row>
    <row r="16" spans="2:12" ht="7.5" customHeight="1" thickBot="1" x14ac:dyDescent="0.35">
      <c r="B16" s="143"/>
      <c r="C16" s="410"/>
      <c r="D16" s="63"/>
      <c r="E16" s="63"/>
      <c r="F16" s="63"/>
      <c r="G16" s="63"/>
      <c r="H16" s="63"/>
      <c r="I16" s="63"/>
      <c r="J16" s="63"/>
      <c r="K16" s="410"/>
      <c r="L16" s="508"/>
    </row>
    <row r="17" spans="2:12" x14ac:dyDescent="0.3">
      <c r="B17" s="143"/>
      <c r="C17" s="68"/>
      <c r="D17" s="68"/>
      <c r="E17" s="68"/>
      <c r="F17" s="68"/>
      <c r="G17" s="68"/>
      <c r="H17" s="68"/>
      <c r="I17" s="2680" t="s">
        <v>144</v>
      </c>
      <c r="J17" s="2681"/>
      <c r="K17" s="2709"/>
      <c r="L17" s="508"/>
    </row>
    <row r="18" spans="2:12" x14ac:dyDescent="0.3">
      <c r="B18" s="143"/>
      <c r="C18" s="68"/>
      <c r="D18" s="68"/>
      <c r="E18" s="68"/>
      <c r="F18" s="68"/>
      <c r="G18" s="68"/>
      <c r="H18" s="68"/>
      <c r="I18" s="2724" t="s">
        <v>229</v>
      </c>
      <c r="J18" s="2719" t="s">
        <v>230</v>
      </c>
      <c r="K18" s="2720"/>
      <c r="L18" s="508"/>
    </row>
    <row r="19" spans="2:12" x14ac:dyDescent="0.3">
      <c r="B19" s="143"/>
      <c r="C19" s="69"/>
      <c r="D19" s="45"/>
      <c r="E19" s="45"/>
      <c r="F19" s="70"/>
      <c r="G19" s="70"/>
      <c r="H19" s="70"/>
      <c r="I19" s="2724"/>
      <c r="J19" s="2721" t="s">
        <v>21</v>
      </c>
      <c r="K19" s="2726" t="s">
        <v>500</v>
      </c>
      <c r="L19" s="508"/>
    </row>
    <row r="20" spans="2:12" x14ac:dyDescent="0.3">
      <c r="B20" s="143"/>
      <c r="C20" s="45"/>
      <c r="D20" s="71"/>
      <c r="E20" s="71"/>
      <c r="F20" s="72"/>
      <c r="G20" s="72"/>
      <c r="H20" s="72"/>
      <c r="I20" s="2724"/>
      <c r="J20" s="2722"/>
      <c r="K20" s="2727"/>
      <c r="L20" s="508"/>
    </row>
    <row r="21" spans="2:12" ht="15" thickBot="1" x14ac:dyDescent="0.35">
      <c r="B21" s="143"/>
      <c r="C21" s="45"/>
      <c r="D21" s="71"/>
      <c r="E21" s="71"/>
      <c r="F21" s="72"/>
      <c r="G21" s="72"/>
      <c r="H21" s="72"/>
      <c r="I21" s="2725"/>
      <c r="J21" s="2723"/>
      <c r="K21" s="2728"/>
      <c r="L21" s="508"/>
    </row>
    <row r="22" spans="2:12" ht="15" thickBot="1" x14ac:dyDescent="0.35">
      <c r="B22" s="143"/>
      <c r="C22" s="60" t="s">
        <v>147</v>
      </c>
      <c r="D22" s="61"/>
      <c r="E22" s="61"/>
      <c r="F22" s="62"/>
      <c r="G22" s="62"/>
      <c r="H22" s="62"/>
      <c r="I22" s="84"/>
      <c r="J22" s="64"/>
      <c r="K22" s="410"/>
      <c r="L22" s="508"/>
    </row>
    <row r="23" spans="2:12" x14ac:dyDescent="0.3">
      <c r="B23" s="143"/>
      <c r="C23" s="410"/>
      <c r="D23" s="91" t="s">
        <v>148</v>
      </c>
      <c r="E23" s="44"/>
      <c r="F23" s="45"/>
      <c r="G23" s="45"/>
      <c r="H23" s="45"/>
      <c r="I23" s="891">
        <f>'6A - 4% Building'!K24</f>
        <v>2782042</v>
      </c>
      <c r="J23" s="101"/>
      <c r="K23" s="102"/>
      <c r="L23" s="508"/>
    </row>
    <row r="24" spans="2:12" x14ac:dyDescent="0.3">
      <c r="B24" s="143"/>
      <c r="C24" s="410"/>
      <c r="D24" s="91" t="s">
        <v>149</v>
      </c>
      <c r="E24" s="44"/>
      <c r="F24" s="45"/>
      <c r="G24" s="45"/>
      <c r="H24" s="45"/>
      <c r="I24" s="889">
        <f>'6A - 4% Building'!K25</f>
        <v>0</v>
      </c>
      <c r="J24" s="872"/>
      <c r="K24" s="103"/>
      <c r="L24" s="508"/>
    </row>
    <row r="25" spans="2:12" x14ac:dyDescent="0.3">
      <c r="B25" s="143"/>
      <c r="C25" s="410"/>
      <c r="D25" s="90" t="s">
        <v>150</v>
      </c>
      <c r="E25" s="44"/>
      <c r="F25" s="46"/>
      <c r="G25" s="46"/>
      <c r="H25" s="46"/>
      <c r="I25" s="873">
        <f>'6A - 4% Building'!K26</f>
        <v>0</v>
      </c>
      <c r="J25" s="874"/>
      <c r="K25" s="103"/>
      <c r="L25" s="508"/>
    </row>
    <row r="26" spans="2:12" x14ac:dyDescent="0.3">
      <c r="B26" s="143"/>
      <c r="C26" s="410"/>
      <c r="D26" s="90" t="s">
        <v>151</v>
      </c>
      <c r="E26" s="44"/>
      <c r="F26" s="46"/>
      <c r="G26" s="46"/>
      <c r="H26" s="46"/>
      <c r="I26" s="873">
        <f>'6A - 4% Building'!K27</f>
        <v>31397</v>
      </c>
      <c r="J26" s="874"/>
      <c r="K26" s="103"/>
      <c r="L26" s="508"/>
    </row>
    <row r="27" spans="2:12" x14ac:dyDescent="0.3">
      <c r="B27" s="143"/>
      <c r="C27" s="410"/>
      <c r="D27" s="83" t="s">
        <v>152</v>
      </c>
      <c r="E27" s="44"/>
      <c r="F27" s="46"/>
      <c r="G27" s="46"/>
      <c r="H27" s="46"/>
      <c r="I27" s="873">
        <f>'6A - 4% Building'!K28</f>
        <v>0</v>
      </c>
      <c r="J27" s="874"/>
      <c r="K27" s="103"/>
      <c r="L27" s="508"/>
    </row>
    <row r="28" spans="2:12" x14ac:dyDescent="0.3">
      <c r="B28" s="143"/>
      <c r="C28" s="410"/>
      <c r="D28" s="50" t="s">
        <v>422</v>
      </c>
      <c r="E28" s="2729">
        <f>(IF(AND(I28&lt;&gt;0,'6A Rollup'!E20=""),"Enter Item on Form 6A",'6A Rollup'!E20))</f>
        <v>0</v>
      </c>
      <c r="F28" s="2730"/>
      <c r="G28" s="2731"/>
      <c r="H28" s="509"/>
      <c r="I28" s="875">
        <f>'6A - 4% Building'!K29</f>
        <v>0</v>
      </c>
      <c r="J28" s="876"/>
      <c r="K28" s="114"/>
      <c r="L28" s="508"/>
    </row>
    <row r="29" spans="2:12" ht="15" thickBot="1" x14ac:dyDescent="0.35">
      <c r="B29" s="143"/>
      <c r="C29" s="45"/>
      <c r="D29" s="44"/>
      <c r="E29" s="44"/>
      <c r="F29" s="410"/>
      <c r="G29" s="48" t="s">
        <v>153</v>
      </c>
      <c r="H29" s="89"/>
      <c r="I29" s="113">
        <f>SUM(I23:I28)</f>
        <v>2813439</v>
      </c>
      <c r="J29" s="93">
        <f>SUM(J24:J28)</f>
        <v>0</v>
      </c>
      <c r="K29" s="95">
        <v>0</v>
      </c>
      <c r="L29" s="508"/>
    </row>
    <row r="30" spans="2:12" ht="3.75" customHeight="1" x14ac:dyDescent="0.3">
      <c r="B30" s="143"/>
      <c r="C30" s="47"/>
      <c r="D30" s="48"/>
      <c r="E30" s="48"/>
      <c r="F30" s="44"/>
      <c r="G30" s="44"/>
      <c r="H30" s="44"/>
      <c r="I30" s="73"/>
      <c r="J30" s="73"/>
      <c r="K30" s="73"/>
      <c r="L30" s="508"/>
    </row>
    <row r="31" spans="2:12" ht="15" thickBot="1" x14ac:dyDescent="0.35">
      <c r="B31" s="143"/>
      <c r="C31" s="78" t="s">
        <v>154</v>
      </c>
      <c r="D31" s="79"/>
      <c r="E31" s="79"/>
      <c r="F31" s="80"/>
      <c r="G31" s="80"/>
      <c r="H31" s="80"/>
      <c r="I31" s="74"/>
      <c r="J31" s="73"/>
      <c r="K31" s="73"/>
      <c r="L31" s="508"/>
    </row>
    <row r="32" spans="2:12" x14ac:dyDescent="0.3">
      <c r="B32" s="143"/>
      <c r="C32" s="410"/>
      <c r="D32" s="90" t="s">
        <v>155</v>
      </c>
      <c r="E32" s="44"/>
      <c r="F32" s="46"/>
      <c r="G32" s="46"/>
      <c r="H32" s="46"/>
      <c r="I32" s="877">
        <f>'6A - 4% Building'!K33</f>
        <v>0</v>
      </c>
      <c r="J32" s="878"/>
      <c r="K32" s="879">
        <v>0</v>
      </c>
      <c r="L32" s="508"/>
    </row>
    <row r="33" spans="2:12" x14ac:dyDescent="0.3">
      <c r="B33" s="143"/>
      <c r="C33" s="410"/>
      <c r="D33" s="90" t="s">
        <v>156</v>
      </c>
      <c r="E33" s="44"/>
      <c r="F33" s="49"/>
      <c r="G33" s="49"/>
      <c r="H33" s="49"/>
      <c r="I33" s="873">
        <f>'6A - 4% Building'!K34</f>
        <v>33896560</v>
      </c>
      <c r="J33" s="874"/>
      <c r="K33" s="880">
        <f>I33</f>
        <v>33896560</v>
      </c>
      <c r="L33" s="508"/>
    </row>
    <row r="34" spans="2:12" x14ac:dyDescent="0.3">
      <c r="B34" s="143"/>
      <c r="C34" s="410"/>
      <c r="D34" s="90" t="s">
        <v>157</v>
      </c>
      <c r="E34" s="44"/>
      <c r="F34" s="49"/>
      <c r="G34" s="49"/>
      <c r="H34" s="49"/>
      <c r="I34" s="873">
        <f>'6A - 4% Building'!K35</f>
        <v>0</v>
      </c>
      <c r="J34" s="874"/>
      <c r="K34" s="880">
        <v>0</v>
      </c>
      <c r="L34" s="508"/>
    </row>
    <row r="35" spans="2:12" x14ac:dyDescent="0.3">
      <c r="B35" s="143"/>
      <c r="C35" s="410"/>
      <c r="D35" s="90" t="s">
        <v>158</v>
      </c>
      <c r="E35" s="44"/>
      <c r="F35" s="49"/>
      <c r="G35" s="49"/>
      <c r="H35" s="49"/>
      <c r="I35" s="873">
        <f>'6A - 4% Building'!K36</f>
        <v>0</v>
      </c>
      <c r="J35" s="874"/>
      <c r="K35" s="880">
        <v>0</v>
      </c>
      <c r="L35" s="508"/>
    </row>
    <row r="36" spans="2:12" x14ac:dyDescent="0.3">
      <c r="B36" s="143"/>
      <c r="C36" s="410"/>
      <c r="D36" s="90" t="s">
        <v>159</v>
      </c>
      <c r="E36" s="44"/>
      <c r="F36" s="49"/>
      <c r="G36" s="49"/>
      <c r="H36" s="49"/>
      <c r="I36" s="873">
        <f>'6A - 4% Building'!K37</f>
        <v>0</v>
      </c>
      <c r="J36" s="874"/>
      <c r="K36" s="880">
        <v>0</v>
      </c>
      <c r="L36" s="508"/>
    </row>
    <row r="37" spans="2:12" x14ac:dyDescent="0.3">
      <c r="B37" s="143"/>
      <c r="C37" s="410"/>
      <c r="D37" s="90" t="s">
        <v>160</v>
      </c>
      <c r="E37" s="44"/>
      <c r="F37" s="50"/>
      <c r="G37" s="50"/>
      <c r="H37" s="50"/>
      <c r="I37" s="873">
        <f>'6A - 4% Building'!K38</f>
        <v>1874028</v>
      </c>
      <c r="J37" s="874"/>
      <c r="K37" s="880">
        <v>1874028</v>
      </c>
      <c r="L37" s="508"/>
    </row>
    <row r="38" spans="2:12" x14ac:dyDescent="0.3">
      <c r="B38" s="143"/>
      <c r="C38" s="410"/>
      <c r="D38" s="90" t="s">
        <v>161</v>
      </c>
      <c r="E38" s="44"/>
      <c r="F38" s="50"/>
      <c r="G38" s="50"/>
      <c r="H38" s="50"/>
      <c r="I38" s="873">
        <f>'6A - 4% Building'!K39</f>
        <v>0</v>
      </c>
      <c r="J38" s="874"/>
      <c r="K38" s="880">
        <v>0</v>
      </c>
      <c r="L38" s="508"/>
    </row>
    <row r="39" spans="2:12" x14ac:dyDescent="0.3">
      <c r="B39" s="143"/>
      <c r="C39" s="410"/>
      <c r="D39" s="90" t="s">
        <v>162</v>
      </c>
      <c r="E39" s="44"/>
      <c r="F39" s="51"/>
      <c r="G39" s="51"/>
      <c r="H39" s="51"/>
      <c r="I39" s="889">
        <f>'6A - 4% Building'!K40</f>
        <v>0</v>
      </c>
      <c r="J39" s="874"/>
      <c r="K39" s="880">
        <v>0</v>
      </c>
      <c r="L39" s="508"/>
    </row>
    <row r="40" spans="2:12" x14ac:dyDescent="0.3">
      <c r="B40" s="143"/>
      <c r="C40" s="410"/>
      <c r="D40" s="90" t="s">
        <v>163</v>
      </c>
      <c r="E40" s="44"/>
      <c r="F40" s="51"/>
      <c r="G40" s="51"/>
      <c r="H40" s="51"/>
      <c r="I40" s="889">
        <f>'6A - 4% Building'!K41</f>
        <v>0</v>
      </c>
      <c r="J40" s="881"/>
      <c r="K40" s="882"/>
      <c r="L40" s="508"/>
    </row>
    <row r="41" spans="2:12" x14ac:dyDescent="0.3">
      <c r="B41" s="143"/>
      <c r="C41" s="410"/>
      <c r="D41" s="90" t="s">
        <v>164</v>
      </c>
      <c r="E41" s="44"/>
      <c r="F41" s="52"/>
      <c r="G41" s="52"/>
      <c r="H41" s="52"/>
      <c r="I41" s="889">
        <f>'6A - 4% Building'!K42</f>
        <v>0</v>
      </c>
      <c r="J41" s="128"/>
      <c r="K41" s="104"/>
      <c r="L41" s="508"/>
    </row>
    <row r="42" spans="2:12" x14ac:dyDescent="0.3">
      <c r="B42" s="143"/>
      <c r="C42" s="410"/>
      <c r="D42" s="90" t="s">
        <v>232</v>
      </c>
      <c r="E42" s="44"/>
      <c r="F42" s="52"/>
      <c r="G42" s="52"/>
      <c r="H42" s="52"/>
      <c r="I42" s="889">
        <f>'6A - 4% Building'!K43</f>
        <v>0</v>
      </c>
      <c r="J42" s="872"/>
      <c r="K42" s="883">
        <v>0</v>
      </c>
      <c r="L42" s="508"/>
    </row>
    <row r="43" spans="2:12" x14ac:dyDescent="0.3">
      <c r="B43" s="143"/>
      <c r="C43" s="410"/>
      <c r="D43" s="90" t="s">
        <v>233</v>
      </c>
      <c r="E43" s="44"/>
      <c r="F43" s="52"/>
      <c r="G43" s="52"/>
      <c r="H43" s="52"/>
      <c r="I43" s="889">
        <f>'6A - 4% Building'!K44</f>
        <v>0</v>
      </c>
      <c r="J43" s="874"/>
      <c r="K43" s="880">
        <v>0</v>
      </c>
      <c r="L43" s="508"/>
    </row>
    <row r="44" spans="2:12" x14ac:dyDescent="0.3">
      <c r="B44" s="143"/>
      <c r="C44" s="410"/>
      <c r="D44" s="90" t="s">
        <v>167</v>
      </c>
      <c r="E44" s="52"/>
      <c r="F44" s="53"/>
      <c r="G44" s="53"/>
      <c r="H44" s="53"/>
      <c r="I44" s="889">
        <f>'6A - 4% Building'!K45</f>
        <v>3479344</v>
      </c>
      <c r="J44" s="874"/>
      <c r="K44" s="880">
        <v>3479344</v>
      </c>
      <c r="L44" s="508"/>
    </row>
    <row r="45" spans="2:12" x14ac:dyDescent="0.3">
      <c r="B45" s="143"/>
      <c r="C45" s="410"/>
      <c r="D45" s="90" t="s">
        <v>168</v>
      </c>
      <c r="E45" s="44"/>
      <c r="F45" s="51"/>
      <c r="G45" s="51"/>
      <c r="H45" s="51"/>
      <c r="I45" s="873">
        <f>'6A - 4% Building'!K46</f>
        <v>0</v>
      </c>
      <c r="J45" s="874"/>
      <c r="K45" s="880">
        <v>0</v>
      </c>
      <c r="L45" s="508"/>
    </row>
    <row r="46" spans="2:12" x14ac:dyDescent="0.3">
      <c r="B46" s="143"/>
      <c r="C46" s="410"/>
      <c r="D46" s="90" t="s">
        <v>169</v>
      </c>
      <c r="E46" s="44"/>
      <c r="F46" s="52"/>
      <c r="G46" s="52"/>
      <c r="H46" s="52"/>
      <c r="I46" s="873">
        <f>'6A - 4% Building'!K47</f>
        <v>104656</v>
      </c>
      <c r="J46" s="874"/>
      <c r="K46" s="880">
        <v>104656</v>
      </c>
      <c r="L46" s="508"/>
    </row>
    <row r="47" spans="2:12" x14ac:dyDescent="0.3">
      <c r="B47" s="143"/>
      <c r="C47" s="410"/>
      <c r="D47" s="50" t="s">
        <v>422</v>
      </c>
      <c r="E47" s="2729">
        <f>(IF(AND(I47&lt;&gt;0,'6A Rollup'!E39=""),"Enter Item on Form 6A",'6A Rollup'!E39))</f>
        <v>0</v>
      </c>
      <c r="F47" s="2730"/>
      <c r="G47" s="2731"/>
      <c r="H47" s="509"/>
      <c r="I47" s="875">
        <f>'6A - 4% Building'!K48</f>
        <v>0</v>
      </c>
      <c r="J47" s="884"/>
      <c r="K47" s="885">
        <v>0</v>
      </c>
      <c r="L47" s="508"/>
    </row>
    <row r="48" spans="2:12" ht="15" thickBot="1" x14ac:dyDescent="0.35">
      <c r="B48" s="143"/>
      <c r="C48" s="45"/>
      <c r="D48" s="44"/>
      <c r="E48" s="44"/>
      <c r="F48" s="410"/>
      <c r="G48" s="48" t="s">
        <v>153</v>
      </c>
      <c r="H48" s="89"/>
      <c r="I48" s="113">
        <f>SUM(I32:I47)</f>
        <v>39354588</v>
      </c>
      <c r="J48" s="93">
        <f>(SUM(J32:J40))+(SUM(J42:J47))</f>
        <v>0</v>
      </c>
      <c r="K48" s="97">
        <f>(SUM(K32:K40))+(SUM(K42:K47))</f>
        <v>39354588</v>
      </c>
      <c r="L48" s="508"/>
    </row>
    <row r="49" spans="2:12" ht="3.75" customHeight="1" x14ac:dyDescent="0.3">
      <c r="B49" s="143"/>
      <c r="C49" s="47"/>
      <c r="D49" s="48"/>
      <c r="E49" s="48"/>
      <c r="F49" s="44"/>
      <c r="G49" s="44"/>
      <c r="H49" s="44"/>
      <c r="I49" s="73"/>
      <c r="J49" s="73"/>
      <c r="K49" s="73"/>
      <c r="L49" s="508"/>
    </row>
    <row r="50" spans="2:12" ht="15" thickBot="1" x14ac:dyDescent="0.35">
      <c r="B50" s="143"/>
      <c r="C50" s="81" t="s">
        <v>170</v>
      </c>
      <c r="D50" s="81"/>
      <c r="E50" s="81"/>
      <c r="F50" s="81"/>
      <c r="G50" s="81"/>
      <c r="H50" s="81"/>
      <c r="I50" s="73"/>
      <c r="J50" s="75"/>
      <c r="K50" s="75"/>
      <c r="L50" s="508"/>
    </row>
    <row r="51" spans="2:12" x14ac:dyDescent="0.3">
      <c r="B51" s="143"/>
      <c r="C51" s="410"/>
      <c r="D51" s="90" t="s">
        <v>171</v>
      </c>
      <c r="E51" s="44"/>
      <c r="F51" s="46"/>
      <c r="G51" s="46"/>
      <c r="H51" s="46"/>
      <c r="I51" s="891">
        <f>'6A - 4% Building'!K52</f>
        <v>6279</v>
      </c>
      <c r="J51" s="105"/>
      <c r="K51" s="106"/>
      <c r="L51" s="508"/>
    </row>
    <row r="52" spans="2:12" x14ac:dyDescent="0.3">
      <c r="B52" s="143"/>
      <c r="C52" s="410"/>
      <c r="D52" s="90" t="s">
        <v>172</v>
      </c>
      <c r="E52" s="44"/>
      <c r="F52" s="46"/>
      <c r="G52" s="46"/>
      <c r="H52" s="46"/>
      <c r="I52" s="889">
        <f>'6A - 4% Building'!K53</f>
        <v>4957</v>
      </c>
      <c r="J52" s="872"/>
      <c r="K52" s="883">
        <f>I52</f>
        <v>4957</v>
      </c>
      <c r="L52" s="508"/>
    </row>
    <row r="53" spans="2:12" x14ac:dyDescent="0.3">
      <c r="B53" s="143"/>
      <c r="C53" s="410"/>
      <c r="D53" s="90" t="s">
        <v>173</v>
      </c>
      <c r="E53" s="44"/>
      <c r="F53" s="46"/>
      <c r="G53" s="46"/>
      <c r="H53" s="46"/>
      <c r="I53" s="873">
        <f>'6A - 4% Building'!K54</f>
        <v>1626853</v>
      </c>
      <c r="J53" s="874"/>
      <c r="K53" s="880">
        <f>I53</f>
        <v>1626853</v>
      </c>
      <c r="L53" s="508"/>
    </row>
    <row r="54" spans="2:12" x14ac:dyDescent="0.3">
      <c r="B54" s="143"/>
      <c r="C54" s="410"/>
      <c r="D54" s="90" t="s">
        <v>174</v>
      </c>
      <c r="E54" s="44"/>
      <c r="F54" s="46"/>
      <c r="G54" s="46"/>
      <c r="H54" s="46"/>
      <c r="I54" s="873">
        <f>'6A - 4% Building'!K55</f>
        <v>0</v>
      </c>
      <c r="J54" s="874"/>
      <c r="K54" s="880">
        <v>0</v>
      </c>
      <c r="L54" s="508"/>
    </row>
    <row r="55" spans="2:12" x14ac:dyDescent="0.3">
      <c r="B55" s="143"/>
      <c r="C55" s="410"/>
      <c r="D55" s="83" t="s">
        <v>175</v>
      </c>
      <c r="E55" s="54"/>
      <c r="F55" s="46"/>
      <c r="G55" s="46"/>
      <c r="H55" s="46"/>
      <c r="I55" s="873">
        <f>'6A - 4% Building'!K56</f>
        <v>0</v>
      </c>
      <c r="J55" s="874"/>
      <c r="K55" s="880">
        <v>0</v>
      </c>
      <c r="L55" s="508"/>
    </row>
    <row r="56" spans="2:12" x14ac:dyDescent="0.3">
      <c r="B56" s="143"/>
      <c r="C56" s="410"/>
      <c r="D56" s="90" t="s">
        <v>176</v>
      </c>
      <c r="E56" s="55"/>
      <c r="F56" s="46"/>
      <c r="G56" s="46"/>
      <c r="H56" s="46"/>
      <c r="I56" s="873">
        <f>'6A - 4% Building'!K57</f>
        <v>15698</v>
      </c>
      <c r="J56" s="874"/>
      <c r="K56" s="880">
        <f>I56</f>
        <v>15698</v>
      </c>
      <c r="L56" s="508"/>
    </row>
    <row r="57" spans="2:12" x14ac:dyDescent="0.3">
      <c r="B57" s="143"/>
      <c r="C57" s="410"/>
      <c r="D57" s="90" t="s">
        <v>177</v>
      </c>
      <c r="E57" s="56"/>
      <c r="F57" s="46"/>
      <c r="G57" s="46"/>
      <c r="H57" s="46"/>
      <c r="I57" s="873">
        <f>'6A - 4% Building'!K58</f>
        <v>39246</v>
      </c>
      <c r="J57" s="874"/>
      <c r="K57" s="880">
        <f>I57</f>
        <v>39246</v>
      </c>
      <c r="L57" s="508"/>
    </row>
    <row r="58" spans="2:12" x14ac:dyDescent="0.3">
      <c r="B58" s="143"/>
      <c r="C58" s="410"/>
      <c r="D58" s="90" t="s">
        <v>178</v>
      </c>
      <c r="E58" s="44"/>
      <c r="F58" s="50"/>
      <c r="G58" s="50"/>
      <c r="H58" s="50"/>
      <c r="I58" s="873">
        <f>'6A - 4% Building'!K59</f>
        <v>81109</v>
      </c>
      <c r="J58" s="874"/>
      <c r="K58" s="880">
        <f>I58</f>
        <v>81109</v>
      </c>
      <c r="L58" s="508"/>
    </row>
    <row r="59" spans="2:12" x14ac:dyDescent="0.3">
      <c r="B59" s="143"/>
      <c r="C59" s="410"/>
      <c r="D59" s="83" t="s">
        <v>179</v>
      </c>
      <c r="E59" s="44"/>
      <c r="F59" s="46"/>
      <c r="G59" s="46"/>
      <c r="H59" s="46"/>
      <c r="I59" s="873">
        <f>'6A - 4% Building'!K60</f>
        <v>3577247</v>
      </c>
      <c r="J59" s="874"/>
      <c r="K59" s="880">
        <v>3577247</v>
      </c>
      <c r="L59" s="508"/>
    </row>
    <row r="60" spans="2:12" x14ac:dyDescent="0.3">
      <c r="B60" s="143"/>
      <c r="C60" s="410"/>
      <c r="D60" s="83" t="s">
        <v>234</v>
      </c>
      <c r="E60" s="44"/>
      <c r="F60" s="46"/>
      <c r="G60" s="46"/>
      <c r="H60" s="46"/>
      <c r="I60" s="873">
        <f>'6A - 4% Building'!K61</f>
        <v>178440</v>
      </c>
      <c r="J60" s="874"/>
      <c r="K60" s="880">
        <v>178440</v>
      </c>
      <c r="L60" s="508"/>
    </row>
    <row r="61" spans="2:12" x14ac:dyDescent="0.3">
      <c r="B61" s="143"/>
      <c r="C61" s="410"/>
      <c r="D61" s="83" t="s">
        <v>181</v>
      </c>
      <c r="E61" s="50"/>
      <c r="F61" s="410"/>
      <c r="G61" s="510"/>
      <c r="H61" s="510"/>
      <c r="I61" s="873">
        <f>'6A - 4% Building'!K62</f>
        <v>83725</v>
      </c>
      <c r="J61" s="874"/>
      <c r="K61" s="886">
        <f>I61</f>
        <v>83725</v>
      </c>
      <c r="L61" s="508"/>
    </row>
    <row r="62" spans="2:12" x14ac:dyDescent="0.3">
      <c r="B62" s="143"/>
      <c r="C62" s="410"/>
      <c r="D62" s="83" t="s">
        <v>182</v>
      </c>
      <c r="E62" s="50"/>
      <c r="F62" s="410"/>
      <c r="G62" s="510"/>
      <c r="H62" s="510"/>
      <c r="I62" s="873">
        <f>'6A - 4% Building'!K63</f>
        <v>209312</v>
      </c>
      <c r="J62" s="874"/>
      <c r="K62" s="886">
        <f>I62</f>
        <v>209312</v>
      </c>
      <c r="L62" s="508"/>
    </row>
    <row r="63" spans="2:12" x14ac:dyDescent="0.3">
      <c r="B63" s="143"/>
      <c r="C63" s="410"/>
      <c r="D63" s="50" t="s">
        <v>422</v>
      </c>
      <c r="E63" s="2729" t="str">
        <f>(IF(AND(I63&lt;&gt;0,'6A Rollup'!E55=""),"Enter Item on Form 6A",'6A Rollup'!E55))</f>
        <v>Enter Item on Form 6A</v>
      </c>
      <c r="F63" s="2730"/>
      <c r="G63" s="2731"/>
      <c r="H63" s="509"/>
      <c r="I63" s="875">
        <f>'6A - 4% Building'!K64</f>
        <v>52328</v>
      </c>
      <c r="J63" s="884"/>
      <c r="K63" s="887">
        <f>I63</f>
        <v>52328</v>
      </c>
      <c r="L63" s="508"/>
    </row>
    <row r="64" spans="2:12" ht="15" thickBot="1" x14ac:dyDescent="0.35">
      <c r="B64" s="143"/>
      <c r="C64" s="45"/>
      <c r="D64" s="44"/>
      <c r="E64" s="44"/>
      <c r="F64" s="410"/>
      <c r="G64" s="48" t="s">
        <v>153</v>
      </c>
      <c r="H64" s="89"/>
      <c r="I64" s="113">
        <f>SUM(I51:I63)</f>
        <v>5875194</v>
      </c>
      <c r="J64" s="93">
        <f>SUM(J52:J63)</f>
        <v>0</v>
      </c>
      <c r="K64" s="97">
        <f>SUM(K52:K63)</f>
        <v>5868915</v>
      </c>
      <c r="L64" s="508"/>
    </row>
    <row r="65" spans="2:12" ht="9" customHeight="1" thickBot="1" x14ac:dyDescent="0.35">
      <c r="B65" s="511"/>
      <c r="C65" s="123"/>
      <c r="D65" s="123"/>
      <c r="E65" s="123"/>
      <c r="F65" s="124"/>
      <c r="G65" s="124"/>
      <c r="H65" s="124"/>
      <c r="I65" s="125"/>
      <c r="J65" s="126"/>
      <c r="K65" s="126"/>
      <c r="L65" s="512"/>
    </row>
    <row r="66" spans="2:12" ht="15" thickBot="1" x14ac:dyDescent="0.35">
      <c r="B66" s="143"/>
      <c r="C66" s="119" t="s">
        <v>183</v>
      </c>
      <c r="D66" s="120"/>
      <c r="E66" s="120"/>
      <c r="F66" s="121"/>
      <c r="G66" s="121"/>
      <c r="H66" s="121"/>
      <c r="I66" s="122"/>
      <c r="J66" s="73"/>
      <c r="K66" s="73"/>
      <c r="L66" s="508"/>
    </row>
    <row r="67" spans="2:12" x14ac:dyDescent="0.3">
      <c r="B67" s="143"/>
      <c r="C67" s="410"/>
      <c r="D67" s="1611" t="s">
        <v>184</v>
      </c>
      <c r="E67" s="48"/>
      <c r="F67" s="44"/>
      <c r="G67" s="44"/>
      <c r="H67" s="44"/>
      <c r="I67" s="891">
        <f>'6A - 4% Building'!K68</f>
        <v>0</v>
      </c>
      <c r="J67" s="107"/>
      <c r="K67" s="108"/>
      <c r="L67" s="508"/>
    </row>
    <row r="68" spans="2:12" x14ac:dyDescent="0.3">
      <c r="B68" s="143"/>
      <c r="C68" s="410"/>
      <c r="D68" s="1611" t="s">
        <v>185</v>
      </c>
      <c r="E68" s="48"/>
      <c r="F68" s="44"/>
      <c r="G68" s="44"/>
      <c r="H68" s="44"/>
      <c r="I68" s="890">
        <f>'6A - 4% Building'!K69</f>
        <v>60177</v>
      </c>
      <c r="J68" s="115"/>
      <c r="K68" s="116"/>
      <c r="L68" s="508"/>
    </row>
    <row r="69" spans="2:12" ht="15" thickBot="1" x14ac:dyDescent="0.35">
      <c r="B69" s="143"/>
      <c r="C69" s="410"/>
      <c r="D69" s="48"/>
      <c r="E69" s="410"/>
      <c r="F69" s="44"/>
      <c r="G69" s="48" t="s">
        <v>153</v>
      </c>
      <c r="H69" s="44"/>
      <c r="I69" s="113">
        <f>SUM(I67:I68)</f>
        <v>60177</v>
      </c>
      <c r="J69" s="93">
        <v>0</v>
      </c>
      <c r="K69" s="97">
        <v>0</v>
      </c>
      <c r="L69" s="508"/>
    </row>
    <row r="70" spans="2:12" ht="3.75" customHeight="1" x14ac:dyDescent="0.3">
      <c r="B70" s="143"/>
      <c r="C70" s="410"/>
      <c r="D70" s="48"/>
      <c r="E70" s="410"/>
      <c r="F70" s="44"/>
      <c r="G70" s="44"/>
      <c r="H70" s="44"/>
      <c r="I70" s="73"/>
      <c r="J70" s="73"/>
      <c r="K70" s="73"/>
      <c r="L70" s="508"/>
    </row>
    <row r="71" spans="2:12" ht="15" thickBot="1" x14ac:dyDescent="0.35">
      <c r="B71" s="143"/>
      <c r="C71" s="78" t="s">
        <v>186</v>
      </c>
      <c r="D71" s="79"/>
      <c r="E71" s="79"/>
      <c r="F71" s="80"/>
      <c r="G71" s="80"/>
      <c r="H71" s="80"/>
      <c r="I71" s="73"/>
      <c r="J71" s="73"/>
      <c r="K71" s="73"/>
      <c r="L71" s="508"/>
    </row>
    <row r="72" spans="2:12" x14ac:dyDescent="0.3">
      <c r="B72" s="143"/>
      <c r="C72" s="410"/>
      <c r="D72" s="90" t="s">
        <v>187</v>
      </c>
      <c r="E72" s="48"/>
      <c r="F72" s="44"/>
      <c r="G72" s="44"/>
      <c r="H72" s="44"/>
      <c r="I72" s="877">
        <f>'6A - 4% Building'!K73</f>
        <v>70000</v>
      </c>
      <c r="J72" s="878"/>
      <c r="K72" s="888">
        <v>70000</v>
      </c>
      <c r="L72" s="508"/>
    </row>
    <row r="73" spans="2:12" x14ac:dyDescent="0.3">
      <c r="B73" s="143"/>
      <c r="C73" s="410"/>
      <c r="D73" s="90" t="s">
        <v>188</v>
      </c>
      <c r="E73" s="48"/>
      <c r="F73" s="44"/>
      <c r="G73" s="44"/>
      <c r="H73" s="44"/>
      <c r="I73" s="873">
        <f>'6A - 4% Building'!K74</f>
        <v>0</v>
      </c>
      <c r="J73" s="874"/>
      <c r="K73" s="880">
        <v>0</v>
      </c>
      <c r="L73" s="508"/>
    </row>
    <row r="74" spans="2:12" x14ac:dyDescent="0.3">
      <c r="B74" s="143"/>
      <c r="C74" s="410"/>
      <c r="D74" s="90" t="s">
        <v>189</v>
      </c>
      <c r="E74" s="48"/>
      <c r="F74" s="44"/>
      <c r="G74" s="44"/>
      <c r="H74" s="44"/>
      <c r="I74" s="873">
        <f>'6A - 4% Building'!K75</f>
        <v>25000</v>
      </c>
      <c r="J74" s="874"/>
      <c r="K74" s="880">
        <v>25000</v>
      </c>
      <c r="L74" s="508"/>
    </row>
    <row r="75" spans="2:12" x14ac:dyDescent="0.3">
      <c r="B75" s="143"/>
      <c r="C75" s="410"/>
      <c r="D75" s="90" t="s">
        <v>190</v>
      </c>
      <c r="E75" s="48"/>
      <c r="F75" s="44"/>
      <c r="G75" s="44"/>
      <c r="H75" s="44"/>
      <c r="I75" s="889">
        <f>'6A - 4% Building'!K76</f>
        <v>500000</v>
      </c>
      <c r="J75" s="881"/>
      <c r="K75" s="882">
        <v>500000</v>
      </c>
      <c r="L75" s="508"/>
    </row>
    <row r="76" spans="2:12" x14ac:dyDescent="0.3">
      <c r="B76" s="143"/>
      <c r="C76" s="410"/>
      <c r="D76" s="90" t="s">
        <v>191</v>
      </c>
      <c r="E76" s="48"/>
      <c r="F76" s="44"/>
      <c r="G76" s="44"/>
      <c r="H76" s="44"/>
      <c r="I76" s="890">
        <f>'6A - 4% Building'!K77</f>
        <v>259480</v>
      </c>
      <c r="J76" s="117"/>
      <c r="K76" s="118"/>
      <c r="L76" s="508"/>
    </row>
    <row r="77" spans="2:12" ht="15" thickBot="1" x14ac:dyDescent="0.35">
      <c r="B77" s="143"/>
      <c r="C77" s="45"/>
      <c r="D77" s="44"/>
      <c r="E77" s="44"/>
      <c r="F77" s="410"/>
      <c r="G77" s="48" t="s">
        <v>153</v>
      </c>
      <c r="H77" s="89"/>
      <c r="I77" s="113">
        <f>SUM(I72:I76)</f>
        <v>854480</v>
      </c>
      <c r="J77" s="93">
        <f>SUM(J72:J75)</f>
        <v>0</v>
      </c>
      <c r="K77" s="97">
        <f>SUM(K72:K75)</f>
        <v>595000</v>
      </c>
      <c r="L77" s="508"/>
    </row>
    <row r="78" spans="2:12" ht="3.75" customHeight="1" x14ac:dyDescent="0.3">
      <c r="B78" s="143"/>
      <c r="C78" s="47"/>
      <c r="D78" s="48"/>
      <c r="E78" s="48"/>
      <c r="F78" s="44"/>
      <c r="G78" s="44"/>
      <c r="H78" s="44"/>
      <c r="I78" s="73"/>
      <c r="J78" s="73"/>
      <c r="K78" s="73"/>
      <c r="L78" s="508"/>
    </row>
    <row r="79" spans="2:12" ht="15" thickBot="1" x14ac:dyDescent="0.35">
      <c r="B79" s="143"/>
      <c r="C79" s="78" t="s">
        <v>192</v>
      </c>
      <c r="D79" s="79"/>
      <c r="E79" s="79"/>
      <c r="F79" s="80"/>
      <c r="G79" s="80"/>
      <c r="H79" s="80"/>
      <c r="I79" s="73"/>
      <c r="J79" s="73"/>
      <c r="K79" s="73"/>
      <c r="L79" s="508"/>
    </row>
    <row r="80" spans="2:12" x14ac:dyDescent="0.3">
      <c r="B80" s="143"/>
      <c r="C80" s="410"/>
      <c r="D80" s="90" t="s">
        <v>193</v>
      </c>
      <c r="E80" s="48"/>
      <c r="F80" s="44"/>
      <c r="G80" s="44"/>
      <c r="H80" s="44"/>
      <c r="I80" s="891">
        <f>'6A - 4% Building'!K81</f>
        <v>70000</v>
      </c>
      <c r="J80" s="107"/>
      <c r="K80" s="108"/>
      <c r="L80" s="508"/>
    </row>
    <row r="81" spans="2:12" x14ac:dyDescent="0.3">
      <c r="B81" s="143"/>
      <c r="C81" s="410"/>
      <c r="D81" s="90" t="s">
        <v>194</v>
      </c>
      <c r="E81" s="48"/>
      <c r="F81" s="44"/>
      <c r="G81" s="44"/>
      <c r="H81" s="44"/>
      <c r="I81" s="889">
        <f>'6A - 4% Building'!K82</f>
        <v>0</v>
      </c>
      <c r="J81" s="109"/>
      <c r="K81" s="110"/>
      <c r="L81" s="508"/>
    </row>
    <row r="82" spans="2:12" x14ac:dyDescent="0.3">
      <c r="B82" s="143"/>
      <c r="C82" s="410"/>
      <c r="D82" s="90" t="s">
        <v>195</v>
      </c>
      <c r="E82" s="48"/>
      <c r="F82" s="44"/>
      <c r="G82" s="44"/>
      <c r="H82" s="44"/>
      <c r="I82" s="889">
        <f>'6A - 4% Building'!K83</f>
        <v>25000</v>
      </c>
      <c r="J82" s="109"/>
      <c r="K82" s="110"/>
      <c r="L82" s="508"/>
    </row>
    <row r="83" spans="2:12" x14ac:dyDescent="0.3">
      <c r="B83" s="143"/>
      <c r="C83" s="410"/>
      <c r="D83" s="82" t="s">
        <v>196</v>
      </c>
      <c r="E83" s="44"/>
      <c r="F83" s="44"/>
      <c r="G83" s="44"/>
      <c r="H83" s="44"/>
      <c r="I83" s="889">
        <f>'6A - 4% Building'!K84</f>
        <v>200000</v>
      </c>
      <c r="J83" s="109"/>
      <c r="K83" s="110"/>
      <c r="L83" s="508"/>
    </row>
    <row r="84" spans="2:12" x14ac:dyDescent="0.3">
      <c r="B84" s="143"/>
      <c r="C84" s="410"/>
      <c r="D84" s="1612" t="s">
        <v>197</v>
      </c>
      <c r="E84" s="44"/>
      <c r="F84" s="44"/>
      <c r="G84" s="44"/>
      <c r="H84" s="44"/>
      <c r="I84" s="889">
        <f>'6A - 4% Building'!K85</f>
        <v>40000</v>
      </c>
      <c r="J84" s="109"/>
      <c r="K84" s="110"/>
      <c r="L84" s="508"/>
    </row>
    <row r="85" spans="2:12" x14ac:dyDescent="0.3">
      <c r="B85" s="143"/>
      <c r="C85" s="410"/>
      <c r="D85" s="1612" t="s">
        <v>198</v>
      </c>
      <c r="E85" s="44"/>
      <c r="F85" s="44"/>
      <c r="G85" s="44"/>
      <c r="H85" s="44"/>
      <c r="I85" s="889">
        <f>'6A - 4% Building'!K86</f>
        <v>0</v>
      </c>
      <c r="J85" s="109"/>
      <c r="K85" s="110"/>
      <c r="L85" s="508"/>
    </row>
    <row r="86" spans="2:12" x14ac:dyDescent="0.3">
      <c r="B86" s="143"/>
      <c r="C86" s="410"/>
      <c r="D86" s="83" t="s">
        <v>199</v>
      </c>
      <c r="E86" s="48"/>
      <c r="F86" s="44"/>
      <c r="G86" s="44"/>
      <c r="H86" s="44"/>
      <c r="I86" s="889">
        <f>'6A - 4% Building'!K87</f>
        <v>0</v>
      </c>
      <c r="J86" s="109"/>
      <c r="K86" s="110"/>
      <c r="L86" s="508"/>
    </row>
    <row r="87" spans="2:12" x14ac:dyDescent="0.3">
      <c r="B87" s="143"/>
      <c r="C87" s="410"/>
      <c r="D87" s="50" t="s">
        <v>422</v>
      </c>
      <c r="E87" s="2729" t="str">
        <f>(IF(AND(I87&lt;&gt;0,'6A Rollup'!E79=""),"Enter Item on Form 6A",'6A Rollup'!E79))</f>
        <v>Enter Item on Form 6A</v>
      </c>
      <c r="F87" s="2730"/>
      <c r="G87" s="2731"/>
      <c r="H87" s="509"/>
      <c r="I87" s="890">
        <f>'6A - 4% Building'!K88</f>
        <v>38082</v>
      </c>
      <c r="J87" s="115"/>
      <c r="K87" s="116"/>
      <c r="L87" s="508"/>
    </row>
    <row r="88" spans="2:12" ht="15" thickBot="1" x14ac:dyDescent="0.35">
      <c r="B88" s="143"/>
      <c r="C88" s="45"/>
      <c r="D88" s="44"/>
      <c r="E88" s="44"/>
      <c r="F88" s="410"/>
      <c r="G88" s="48" t="s">
        <v>153</v>
      </c>
      <c r="H88" s="89"/>
      <c r="I88" s="113">
        <f>SUM(I80:I87)</f>
        <v>373082</v>
      </c>
      <c r="J88" s="93">
        <v>0</v>
      </c>
      <c r="K88" s="97">
        <v>0</v>
      </c>
      <c r="L88" s="508"/>
    </row>
    <row r="89" spans="2:12" ht="3.75" customHeight="1" x14ac:dyDescent="0.3">
      <c r="B89" s="143"/>
      <c r="C89" s="47"/>
      <c r="D89" s="48"/>
      <c r="E89" s="48"/>
      <c r="F89" s="44"/>
      <c r="G89" s="44"/>
      <c r="H89" s="44"/>
      <c r="I89" s="73"/>
      <c r="J89" s="73"/>
      <c r="K89" s="73"/>
      <c r="L89" s="508"/>
    </row>
    <row r="90" spans="2:12" ht="15" thickBot="1" x14ac:dyDescent="0.35">
      <c r="B90" s="143"/>
      <c r="C90" s="78" t="s">
        <v>200</v>
      </c>
      <c r="D90" s="79"/>
      <c r="E90" s="79"/>
      <c r="F90" s="80"/>
      <c r="G90" s="80"/>
      <c r="H90" s="80"/>
      <c r="I90" s="76"/>
      <c r="J90" s="76"/>
      <c r="K90" s="85"/>
      <c r="L90" s="508"/>
    </row>
    <row r="91" spans="2:12" x14ac:dyDescent="0.3">
      <c r="B91" s="143"/>
      <c r="C91" s="410"/>
      <c r="D91" s="1613" t="s">
        <v>201</v>
      </c>
      <c r="E91" s="44"/>
      <c r="F91" s="51"/>
      <c r="G91" s="51"/>
      <c r="H91" s="51"/>
      <c r="I91" s="891">
        <f>'6A - 4% Building'!K92</f>
        <v>615000</v>
      </c>
      <c r="J91" s="107"/>
      <c r="K91" s="108"/>
      <c r="L91" s="508"/>
    </row>
    <row r="92" spans="2:12" x14ac:dyDescent="0.3">
      <c r="B92" s="143"/>
      <c r="C92" s="410"/>
      <c r="D92" s="1613" t="s">
        <v>202</v>
      </c>
      <c r="E92" s="44"/>
      <c r="F92" s="52"/>
      <c r="G92" s="52"/>
      <c r="H92" s="52"/>
      <c r="I92" s="889">
        <f>'6A - 4% Building'!K93</f>
        <v>0</v>
      </c>
      <c r="J92" s="109"/>
      <c r="K92" s="110"/>
      <c r="L92" s="508"/>
    </row>
    <row r="93" spans="2:12" x14ac:dyDescent="0.3">
      <c r="B93" s="143"/>
      <c r="C93" s="410"/>
      <c r="D93" s="1614" t="s">
        <v>422</v>
      </c>
      <c r="E93" s="2729">
        <f>(IF(AND(I93&lt;&gt;0,'6A Rollup'!E85=""),"Enter Item on Form 6A",'6A Rollup'!E85))</f>
        <v>0</v>
      </c>
      <c r="F93" s="2730"/>
      <c r="G93" s="2731"/>
      <c r="H93" s="509"/>
      <c r="I93" s="890">
        <f>'6A - 4% Building'!K94</f>
        <v>0</v>
      </c>
      <c r="J93" s="115"/>
      <c r="K93" s="116"/>
      <c r="L93" s="508"/>
    </row>
    <row r="94" spans="2:12" ht="15" thickBot="1" x14ac:dyDescent="0.35">
      <c r="B94" s="143"/>
      <c r="C94" s="45"/>
      <c r="D94" s="44"/>
      <c r="E94" s="44"/>
      <c r="F94" s="410"/>
      <c r="G94" s="48" t="s">
        <v>153</v>
      </c>
      <c r="H94" s="89"/>
      <c r="I94" s="113">
        <f>SUM(I91:I93)</f>
        <v>615000</v>
      </c>
      <c r="J94" s="93">
        <v>0</v>
      </c>
      <c r="K94" s="97">
        <v>0</v>
      </c>
      <c r="L94" s="508"/>
    </row>
    <row r="95" spans="2:12" ht="3.75" customHeight="1" x14ac:dyDescent="0.3">
      <c r="B95" s="143"/>
      <c r="C95" s="47"/>
      <c r="D95" s="48"/>
      <c r="E95" s="48"/>
      <c r="F95" s="44"/>
      <c r="G95" s="44"/>
      <c r="H95" s="44"/>
      <c r="I95" s="73"/>
      <c r="J95" s="73"/>
      <c r="K95" s="73"/>
      <c r="L95" s="508"/>
    </row>
    <row r="96" spans="2:12" ht="15" thickBot="1" x14ac:dyDescent="0.35">
      <c r="B96" s="143"/>
      <c r="C96" s="78" t="s">
        <v>203</v>
      </c>
      <c r="D96" s="79"/>
      <c r="E96" s="79"/>
      <c r="F96" s="80"/>
      <c r="G96" s="80"/>
      <c r="H96" s="80"/>
      <c r="I96" s="86"/>
      <c r="J96" s="76"/>
      <c r="K96" s="85"/>
      <c r="L96" s="508"/>
    </row>
    <row r="97" spans="2:12" x14ac:dyDescent="0.3">
      <c r="B97" s="143"/>
      <c r="C97" s="410"/>
      <c r="D97" s="83" t="s">
        <v>204</v>
      </c>
      <c r="E97" s="44"/>
      <c r="F97" s="51"/>
      <c r="G97" s="51"/>
      <c r="H97" s="51"/>
      <c r="I97" s="877">
        <f>'6A - 4% Building'!K98</f>
        <v>68027</v>
      </c>
      <c r="J97" s="878"/>
      <c r="K97" s="888">
        <v>68027</v>
      </c>
      <c r="L97" s="508"/>
    </row>
    <row r="98" spans="2:12" x14ac:dyDescent="0.3">
      <c r="B98" s="143"/>
      <c r="C98" s="410"/>
      <c r="D98" s="83" t="s">
        <v>205</v>
      </c>
      <c r="E98" s="44"/>
      <c r="F98" s="52"/>
      <c r="G98" s="52"/>
      <c r="H98" s="52"/>
      <c r="I98" s="873">
        <f>'6A - 4% Building'!K99</f>
        <v>207124</v>
      </c>
      <c r="J98" s="874"/>
      <c r="K98" s="880">
        <v>207124</v>
      </c>
      <c r="L98" s="508"/>
    </row>
    <row r="99" spans="2:12" x14ac:dyDescent="0.3">
      <c r="B99" s="143"/>
      <c r="C99" s="410"/>
      <c r="D99" s="83" t="s">
        <v>103</v>
      </c>
      <c r="E99" s="44"/>
      <c r="F99" s="44"/>
      <c r="G99" s="44"/>
      <c r="H99" s="44"/>
      <c r="I99" s="873">
        <f>'6A - 4% Building'!K100</f>
        <v>0</v>
      </c>
      <c r="J99" s="874"/>
      <c r="K99" s="880">
        <v>0</v>
      </c>
      <c r="L99" s="508"/>
    </row>
    <row r="100" spans="2:12" x14ac:dyDescent="0.3">
      <c r="B100" s="143"/>
      <c r="C100" s="410"/>
      <c r="D100" s="83" t="s">
        <v>206</v>
      </c>
      <c r="E100" s="44"/>
      <c r="F100" s="44"/>
      <c r="G100" s="44"/>
      <c r="H100" s="44"/>
      <c r="I100" s="873">
        <f>'6A - 4% Building'!K101</f>
        <v>0</v>
      </c>
      <c r="J100" s="874"/>
      <c r="K100" s="880">
        <v>0</v>
      </c>
      <c r="L100" s="508"/>
    </row>
    <row r="101" spans="2:12" x14ac:dyDescent="0.3">
      <c r="B101" s="143"/>
      <c r="C101" s="410"/>
      <c r="D101" s="83" t="s">
        <v>207</v>
      </c>
      <c r="E101" s="44"/>
      <c r="F101" s="44"/>
      <c r="G101" s="44"/>
      <c r="H101" s="44"/>
      <c r="I101" s="873">
        <f>'6A - 4% Building'!K102</f>
        <v>1405400</v>
      </c>
      <c r="J101" s="874"/>
      <c r="K101" s="880">
        <v>1405400</v>
      </c>
      <c r="L101" s="508"/>
    </row>
    <row r="102" spans="2:12" x14ac:dyDescent="0.3">
      <c r="B102" s="143"/>
      <c r="C102" s="410"/>
      <c r="D102" s="82" t="s">
        <v>208</v>
      </c>
      <c r="E102" s="44"/>
      <c r="F102" s="44"/>
      <c r="G102" s="44"/>
      <c r="H102" s="44"/>
      <c r="I102" s="873">
        <f>'6A - 4% Building'!K103</f>
        <v>0</v>
      </c>
      <c r="J102" s="874"/>
      <c r="K102" s="880">
        <v>0</v>
      </c>
      <c r="L102" s="508"/>
    </row>
    <row r="103" spans="2:12" x14ac:dyDescent="0.3">
      <c r="B103" s="143"/>
      <c r="C103" s="410"/>
      <c r="D103" s="82" t="s">
        <v>209</v>
      </c>
      <c r="E103" s="44"/>
      <c r="F103" s="44"/>
      <c r="G103" s="44"/>
      <c r="H103" s="44"/>
      <c r="I103" s="889">
        <f>'6A - 4% Building'!K104</f>
        <v>0</v>
      </c>
      <c r="J103" s="881"/>
      <c r="K103" s="882">
        <v>0</v>
      </c>
      <c r="L103" s="508"/>
    </row>
    <row r="104" spans="2:12" x14ac:dyDescent="0.3">
      <c r="B104" s="143"/>
      <c r="C104" s="410"/>
      <c r="D104" s="1612" t="s">
        <v>210</v>
      </c>
      <c r="E104" s="44"/>
      <c r="F104" s="44"/>
      <c r="G104" s="44"/>
      <c r="H104" s="44"/>
      <c r="I104" s="889">
        <f>'6A - 4% Building'!K105</f>
        <v>0</v>
      </c>
      <c r="J104" s="128"/>
      <c r="K104" s="104"/>
      <c r="L104" s="508"/>
    </row>
    <row r="105" spans="2:12" x14ac:dyDescent="0.3">
      <c r="B105" s="143"/>
      <c r="C105" s="410"/>
      <c r="D105" s="83" t="s">
        <v>211</v>
      </c>
      <c r="E105" s="44"/>
      <c r="F105" s="44"/>
      <c r="G105" s="44"/>
      <c r="H105" s="44"/>
      <c r="I105" s="889">
        <f>'6A - 4% Building'!K106</f>
        <v>8500</v>
      </c>
      <c r="J105" s="88"/>
      <c r="K105" s="96">
        <f>I105</f>
        <v>8500</v>
      </c>
      <c r="L105" s="508"/>
    </row>
    <row r="106" spans="2:12" x14ac:dyDescent="0.3">
      <c r="B106" s="143"/>
      <c r="C106" s="410"/>
      <c r="D106" s="82" t="s">
        <v>212</v>
      </c>
      <c r="E106" s="44"/>
      <c r="F106" s="44"/>
      <c r="G106" s="44"/>
      <c r="H106" s="44"/>
      <c r="I106" s="889">
        <f>'6A - 4% Building'!K107</f>
        <v>89220</v>
      </c>
      <c r="J106" s="111"/>
      <c r="K106" s="112"/>
      <c r="L106" s="508"/>
    </row>
    <row r="107" spans="2:12" x14ac:dyDescent="0.3">
      <c r="B107" s="143"/>
      <c r="C107" s="410"/>
      <c r="D107" s="1613" t="s">
        <v>213</v>
      </c>
      <c r="E107" s="59"/>
      <c r="F107" s="52"/>
      <c r="G107" s="52"/>
      <c r="H107" s="52"/>
      <c r="I107" s="890">
        <f>'6A - 4% Building'!K108</f>
        <v>0</v>
      </c>
      <c r="J107" s="115"/>
      <c r="K107" s="116"/>
      <c r="L107" s="508"/>
    </row>
    <row r="108" spans="2:12" ht="15" thickBot="1" x14ac:dyDescent="0.35">
      <c r="B108" s="143"/>
      <c r="C108" s="45"/>
      <c r="D108" s="44"/>
      <c r="E108" s="44"/>
      <c r="F108" s="410"/>
      <c r="G108" s="48" t="s">
        <v>153</v>
      </c>
      <c r="H108" s="89"/>
      <c r="I108" s="113">
        <f>SUM(I97:I107)</f>
        <v>1778271</v>
      </c>
      <c r="J108" s="93">
        <f>SUM(J97:J103)+J105</f>
        <v>0</v>
      </c>
      <c r="K108" s="97">
        <f>SUM(K97:K103)+K105</f>
        <v>1689051</v>
      </c>
      <c r="L108" s="508"/>
    </row>
    <row r="109" spans="2:12" ht="9" customHeight="1" thickBot="1" x14ac:dyDescent="0.35">
      <c r="B109" s="511"/>
      <c r="C109" s="127"/>
      <c r="D109" s="58"/>
      <c r="E109" s="58"/>
      <c r="F109" s="57"/>
      <c r="G109" s="57"/>
      <c r="H109" s="57"/>
      <c r="I109" s="87"/>
      <c r="J109" s="87"/>
      <c r="K109" s="87"/>
      <c r="L109" s="512"/>
    </row>
    <row r="110" spans="2:12" ht="15" thickBot="1" x14ac:dyDescent="0.35">
      <c r="B110" s="143"/>
      <c r="C110" s="78" t="s">
        <v>214</v>
      </c>
      <c r="D110" s="79"/>
      <c r="E110" s="79"/>
      <c r="F110" s="80"/>
      <c r="G110" s="80"/>
      <c r="H110" s="80"/>
      <c r="I110" s="73"/>
      <c r="J110" s="73"/>
      <c r="K110" s="73"/>
      <c r="L110" s="145"/>
    </row>
    <row r="111" spans="2:12" x14ac:dyDescent="0.3">
      <c r="B111" s="143"/>
      <c r="C111" s="144"/>
      <c r="D111" s="90" t="s">
        <v>215</v>
      </c>
      <c r="E111" s="48"/>
      <c r="F111" s="44"/>
      <c r="G111" s="44"/>
      <c r="H111" s="44"/>
      <c r="I111" s="891">
        <f>'6A - 4% Building'!K112</f>
        <v>0</v>
      </c>
      <c r="J111" s="107"/>
      <c r="K111" s="108"/>
      <c r="L111" s="145"/>
    </row>
    <row r="112" spans="2:12" x14ac:dyDescent="0.3">
      <c r="B112" s="143"/>
      <c r="C112" s="144"/>
      <c r="D112" s="90" t="s">
        <v>216</v>
      </c>
      <c r="E112" s="48"/>
      <c r="F112" s="44"/>
      <c r="G112" s="44"/>
      <c r="H112" s="44"/>
      <c r="I112" s="889">
        <f>'6A - 4% Building'!K113</f>
        <v>61000</v>
      </c>
      <c r="J112" s="109"/>
      <c r="K112" s="110"/>
      <c r="L112" s="145"/>
    </row>
    <row r="113" spans="2:12" x14ac:dyDescent="0.3">
      <c r="B113" s="143"/>
      <c r="C113" s="410"/>
      <c r="D113" s="90" t="s">
        <v>217</v>
      </c>
      <c r="E113" s="48"/>
      <c r="F113" s="44"/>
      <c r="G113" s="44"/>
      <c r="H113" s="44"/>
      <c r="I113" s="889">
        <f>'6A - 4% Building'!K114</f>
        <v>50000</v>
      </c>
      <c r="J113" s="109"/>
      <c r="K113" s="110"/>
      <c r="L113" s="508"/>
    </row>
    <row r="114" spans="2:12" x14ac:dyDescent="0.3">
      <c r="B114" s="143"/>
      <c r="C114" s="410"/>
      <c r="D114" s="90" t="s">
        <v>218</v>
      </c>
      <c r="E114" s="48"/>
      <c r="F114" s="44"/>
      <c r="G114" s="44"/>
      <c r="H114" s="44"/>
      <c r="I114" s="889">
        <f>'6A - 4% Building'!K115</f>
        <v>0</v>
      </c>
      <c r="J114" s="109"/>
      <c r="K114" s="110"/>
      <c r="L114" s="508"/>
    </row>
    <row r="115" spans="2:12" x14ac:dyDescent="0.3">
      <c r="B115" s="143"/>
      <c r="C115" s="410"/>
      <c r="D115" s="90" t="s">
        <v>219</v>
      </c>
      <c r="E115" s="48"/>
      <c r="F115" s="44"/>
      <c r="G115" s="44"/>
      <c r="H115" s="44"/>
      <c r="I115" s="889">
        <f>'6A - 4% Building'!K116</f>
        <v>0</v>
      </c>
      <c r="J115" s="109"/>
      <c r="K115" s="110"/>
      <c r="L115" s="508"/>
    </row>
    <row r="116" spans="2:12" x14ac:dyDescent="0.3">
      <c r="B116" s="143"/>
      <c r="C116" s="410"/>
      <c r="D116" s="90" t="s">
        <v>220</v>
      </c>
      <c r="E116" s="48"/>
      <c r="F116" s="44"/>
      <c r="G116" s="44"/>
      <c r="H116" s="44"/>
      <c r="I116" s="889">
        <f>'6A - 4% Building'!K117</f>
        <v>0</v>
      </c>
      <c r="J116" s="109"/>
      <c r="K116" s="110"/>
      <c r="L116" s="508"/>
    </row>
    <row r="117" spans="2:12" x14ac:dyDescent="0.3">
      <c r="B117" s="143"/>
      <c r="C117" s="410"/>
      <c r="D117" s="90" t="s">
        <v>221</v>
      </c>
      <c r="E117" s="48"/>
      <c r="F117" s="44"/>
      <c r="G117" s="44"/>
      <c r="H117" s="44"/>
      <c r="I117" s="890">
        <f>'6A - 4% Building'!K118</f>
        <v>0</v>
      </c>
      <c r="J117" s="115"/>
      <c r="K117" s="116"/>
      <c r="L117" s="508"/>
    </row>
    <row r="118" spans="2:12" ht="15" thickBot="1" x14ac:dyDescent="0.35">
      <c r="B118" s="143"/>
      <c r="C118" s="45"/>
      <c r="D118" s="410"/>
      <c r="E118" s="44"/>
      <c r="F118" s="410"/>
      <c r="G118" s="48" t="s">
        <v>153</v>
      </c>
      <c r="H118" s="89"/>
      <c r="I118" s="113">
        <f>SUM(I111:I117)</f>
        <v>111000</v>
      </c>
      <c r="J118" s="93">
        <v>0</v>
      </c>
      <c r="K118" s="97">
        <v>0</v>
      </c>
      <c r="L118" s="508"/>
    </row>
    <row r="119" spans="2:12" ht="7.5" customHeight="1" thickBot="1" x14ac:dyDescent="0.35">
      <c r="B119" s="143"/>
      <c r="C119" s="66"/>
      <c r="D119" s="65"/>
      <c r="E119" s="65"/>
      <c r="F119" s="67"/>
      <c r="G119" s="67"/>
      <c r="H119" s="67"/>
      <c r="I119" s="77"/>
      <c r="J119" s="77"/>
      <c r="K119" s="77"/>
      <c r="L119" s="508"/>
    </row>
    <row r="120" spans="2:12" ht="15" thickBot="1" x14ac:dyDescent="0.35">
      <c r="B120" s="143"/>
      <c r="C120" s="99" t="s">
        <v>235</v>
      </c>
      <c r="D120" s="100"/>
      <c r="E120" s="100"/>
      <c r="F120" s="100"/>
      <c r="G120" s="100"/>
      <c r="H120" s="100"/>
      <c r="I120" s="94">
        <f>I29+I48+I64+I69+I77+I88+I94+I108+I118</f>
        <v>51835231</v>
      </c>
      <c r="J120" s="92">
        <f>J29+J48+J64+J69+J77+J88+J94+J108+J118</f>
        <v>0</v>
      </c>
      <c r="K120" s="98">
        <f>K29+K48+K64+K69+K77+K88+K94+K108+K118</f>
        <v>47507554</v>
      </c>
      <c r="L120" s="508"/>
    </row>
    <row r="121" spans="2:12" ht="7.5" customHeight="1" x14ac:dyDescent="0.3">
      <c r="B121" s="143"/>
      <c r="C121" s="144"/>
      <c r="D121" s="144"/>
      <c r="E121" s="144"/>
      <c r="F121" s="144"/>
      <c r="G121" s="144"/>
      <c r="H121" s="144"/>
      <c r="I121" s="410"/>
      <c r="J121" s="410"/>
      <c r="K121" s="410"/>
      <c r="L121" s="508"/>
    </row>
    <row r="122" spans="2:12" x14ac:dyDescent="0.3">
      <c r="B122" s="143"/>
      <c r="C122" s="2710" t="s">
        <v>236</v>
      </c>
      <c r="D122" s="2711"/>
      <c r="E122" s="2711"/>
      <c r="F122" s="2711"/>
      <c r="G122" s="2711"/>
      <c r="H122" s="2711"/>
      <c r="I122" s="2711"/>
      <c r="J122" s="2711"/>
      <c r="K122" s="2712"/>
      <c r="L122" s="508"/>
    </row>
    <row r="123" spans="2:12" x14ac:dyDescent="0.3">
      <c r="B123" s="143"/>
      <c r="C123" s="2713"/>
      <c r="D123" s="2714"/>
      <c r="E123" s="2714"/>
      <c r="F123" s="2714"/>
      <c r="G123" s="2714"/>
      <c r="H123" s="2714"/>
      <c r="I123" s="2714"/>
      <c r="J123" s="2714"/>
      <c r="K123" s="2715"/>
      <c r="L123" s="508"/>
    </row>
    <row r="124" spans="2:12" x14ac:dyDescent="0.3">
      <c r="B124" s="143"/>
      <c r="C124" s="2716"/>
      <c r="D124" s="2717"/>
      <c r="E124" s="2717"/>
      <c r="F124" s="2717"/>
      <c r="G124" s="2717"/>
      <c r="H124" s="2717"/>
      <c r="I124" s="2717"/>
      <c r="J124" s="2717"/>
      <c r="K124" s="2718"/>
      <c r="L124" s="508"/>
    </row>
    <row r="125" spans="2:12" ht="9" customHeight="1" thickBot="1" x14ac:dyDescent="0.35">
      <c r="B125" s="513"/>
      <c r="C125" s="514"/>
      <c r="D125" s="514"/>
      <c r="E125" s="514"/>
      <c r="F125" s="514"/>
      <c r="G125" s="514"/>
      <c r="H125" s="514"/>
      <c r="I125" s="514"/>
      <c r="J125" s="514"/>
      <c r="K125" s="514"/>
      <c r="L125" s="512"/>
    </row>
  </sheetData>
  <sheetProtection algorithmName="SHA-512" hashValue="GkDaBShS6XgUv17iRkUdZlKQIYRbzPxoaIHl55gCXgOCmalInWQJaGfJ2K6Aq6rrRsFQCCRl/oKH9eaAA9HG1g==" saltValue="lG4k/dGn+gb/ZiwzUOtZ/A==" spinCount="100000" sheet="1" formatCells="0" formatColumns="0" formatRows="0"/>
  <mergeCells count="14">
    <mergeCell ref="C11:K11"/>
    <mergeCell ref="I17:K17"/>
    <mergeCell ref="C122:K124"/>
    <mergeCell ref="J18:K18"/>
    <mergeCell ref="J19:J21"/>
    <mergeCell ref="I18:I21"/>
    <mergeCell ref="K19:K21"/>
    <mergeCell ref="E87:G87"/>
    <mergeCell ref="E28:G28"/>
    <mergeCell ref="E47:G47"/>
    <mergeCell ref="E63:G63"/>
    <mergeCell ref="E93:G93"/>
    <mergeCell ref="C13:K13"/>
    <mergeCell ref="C15:K15"/>
  </mergeCells>
  <pageMargins left="1" right="1" top="0.75" bottom="0.75" header="0.3" footer="0.3"/>
  <pageSetup scale="84" fitToHeight="2" orientation="portrait" r:id="rId1"/>
  <headerFooter>
    <oddFooter>&amp;LForm 6C
LIHTC Budget (Basis Calculation)&amp;CCFA Forms&amp;REdition: 2017
Version: 1.0</oddFooter>
  </headerFooter>
  <rowBreaks count="2" manualBreakCount="2">
    <brk id="65" min="1" max="11" man="1"/>
    <brk id="109"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5:L56"/>
  <sheetViews>
    <sheetView showGridLines="0" topLeftCell="A37" zoomScaleNormal="100" workbookViewId="0">
      <selection activeCell="M55" sqref="M55"/>
    </sheetView>
  </sheetViews>
  <sheetFormatPr defaultColWidth="9.109375" defaultRowHeight="14.4" x14ac:dyDescent="0.3"/>
  <cols>
    <col min="1" max="2" width="1.6640625" style="403" customWidth="1"/>
    <col min="3" max="3" width="2.88671875" style="403" customWidth="1"/>
    <col min="4" max="4" width="14.33203125" style="403" customWidth="1"/>
    <col min="5" max="5" width="48.44140625" style="403" customWidth="1"/>
    <col min="6" max="6" width="11.44140625" style="403" customWidth="1"/>
    <col min="7" max="7" width="16" style="403" bestFit="1" customWidth="1"/>
    <col min="8" max="8" width="1.6640625" style="403" customWidth="1"/>
    <col min="9" max="9" width="9.109375" style="403"/>
    <col min="10" max="10" width="14.33203125" style="403" bestFit="1" customWidth="1"/>
    <col min="11" max="16384" width="9.109375" style="403"/>
  </cols>
  <sheetData>
    <row r="5" spans="2:8" ht="9" customHeight="1" thickBot="1" x14ac:dyDescent="0.35"/>
    <row r="6" spans="2:8" ht="9" customHeight="1" x14ac:dyDescent="0.3">
      <c r="B6" s="515"/>
      <c r="C6" s="516"/>
      <c r="D6" s="516"/>
      <c r="E6" s="517"/>
      <c r="F6" s="517"/>
      <c r="G6" s="517"/>
      <c r="H6" s="518"/>
    </row>
    <row r="7" spans="2:8" ht="18" x14ac:dyDescent="0.35">
      <c r="B7" s="519"/>
      <c r="C7" s="2732" t="s">
        <v>1875</v>
      </c>
      <c r="D7" s="2732"/>
      <c r="E7" s="2732"/>
      <c r="F7" s="2732"/>
      <c r="G7" s="2732"/>
      <c r="H7" s="520"/>
    </row>
    <row r="8" spans="2:8" ht="3.75" customHeight="1" x14ac:dyDescent="0.3">
      <c r="B8" s="519"/>
      <c r="C8" s="521"/>
      <c r="D8" s="521"/>
      <c r="E8" s="522"/>
      <c r="F8" s="522"/>
      <c r="G8" s="522"/>
      <c r="H8" s="520"/>
    </row>
    <row r="9" spans="2:8" ht="15" thickBot="1" x14ac:dyDescent="0.35">
      <c r="B9" s="519"/>
      <c r="C9" s="2740" t="str">
        <f>IF('1'!G5="","Enter Project Name on Form 1",(CONCATENATE("Project Name: ",'1'!G5)))</f>
        <v>Project Name: 6600 Roosevelt Way NE</v>
      </c>
      <c r="D9" s="2740"/>
      <c r="E9" s="2740"/>
      <c r="F9" s="2740"/>
      <c r="G9" s="492"/>
      <c r="H9" s="523"/>
    </row>
    <row r="10" spans="2:8" ht="7.5" customHeight="1" x14ac:dyDescent="0.3">
      <c r="B10" s="519"/>
      <c r="C10" s="521"/>
      <c r="D10" s="521"/>
      <c r="E10" s="165"/>
      <c r="F10" s="167"/>
      <c r="G10" s="168"/>
      <c r="H10" s="524"/>
    </row>
    <row r="11" spans="2:8" ht="15" thickBot="1" x14ac:dyDescent="0.35">
      <c r="B11" s="519"/>
      <c r="C11" s="2740" t="str">
        <f>IF('1'!G29="","Enter Site Name/ID Number on Form 1",(CONCATENATE("Site Name/ID: ",'1'!G29)))</f>
        <v>Site Name/ID: Site A - 4% Building</v>
      </c>
      <c r="D11" s="2740"/>
      <c r="E11" s="2740"/>
      <c r="F11" s="2740"/>
      <c r="G11" s="168"/>
      <c r="H11" s="524"/>
    </row>
    <row r="12" spans="2:8" ht="3.75" customHeight="1" x14ac:dyDescent="0.3">
      <c r="B12" s="519"/>
      <c r="C12" s="521"/>
      <c r="D12" s="521"/>
      <c r="E12" s="165"/>
      <c r="F12" s="167"/>
      <c r="G12" s="168"/>
      <c r="H12" s="524"/>
    </row>
    <row r="13" spans="2:8" x14ac:dyDescent="0.3">
      <c r="B13" s="519"/>
      <c r="C13" s="165" t="s">
        <v>237</v>
      </c>
      <c r="D13" s="165"/>
      <c r="E13" s="525"/>
      <c r="F13" s="167"/>
      <c r="G13" s="168"/>
      <c r="H13" s="524"/>
    </row>
    <row r="14" spans="2:8" ht="30" customHeight="1" x14ac:dyDescent="0.3">
      <c r="B14" s="519"/>
      <c r="C14" s="521"/>
      <c r="D14" s="2733" t="s">
        <v>238</v>
      </c>
      <c r="E14" s="2733"/>
      <c r="F14" s="679" t="s">
        <v>550</v>
      </c>
      <c r="G14" s="525"/>
      <c r="H14" s="524"/>
    </row>
    <row r="15" spans="2:8" ht="15" thickBot="1" x14ac:dyDescent="0.35">
      <c r="B15" s="519"/>
      <c r="C15" s="521"/>
      <c r="D15" s="521"/>
      <c r="E15" s="165"/>
      <c r="F15" s="167"/>
      <c r="G15" s="167"/>
      <c r="H15" s="524"/>
    </row>
    <row r="16" spans="2:8" ht="24.6" thickBot="1" x14ac:dyDescent="0.35">
      <c r="B16" s="519"/>
      <c r="C16" s="521"/>
      <c r="D16" s="521"/>
      <c r="E16" s="165"/>
      <c r="F16" s="169" t="s">
        <v>21</v>
      </c>
      <c r="G16" s="170" t="s">
        <v>231</v>
      </c>
      <c r="H16" s="524"/>
    </row>
    <row r="17" spans="2:8" ht="15" thickBot="1" x14ac:dyDescent="0.35">
      <c r="B17" s="519"/>
      <c r="C17" s="171" t="s">
        <v>239</v>
      </c>
      <c r="D17" s="171"/>
      <c r="E17" s="172"/>
      <c r="F17" s="526"/>
      <c r="G17" s="526"/>
      <c r="H17" s="524"/>
    </row>
    <row r="18" spans="2:8" x14ac:dyDescent="0.3">
      <c r="B18" s="519"/>
      <c r="C18" s="165"/>
      <c r="D18" s="173" t="s">
        <v>240</v>
      </c>
      <c r="E18" s="525"/>
      <c r="F18" s="897">
        <f>'6C - 4% Building'!J120</f>
        <v>0</v>
      </c>
      <c r="G18" s="174">
        <f>'6C - 4% Building'!K120</f>
        <v>47507554</v>
      </c>
      <c r="H18" s="524"/>
    </row>
    <row r="19" spans="2:8" x14ac:dyDescent="0.3">
      <c r="B19" s="519"/>
      <c r="C19" s="165"/>
      <c r="D19" s="166" t="s">
        <v>241</v>
      </c>
      <c r="E19" s="525"/>
      <c r="F19" s="893"/>
      <c r="G19" s="892"/>
      <c r="H19" s="524"/>
    </row>
    <row r="20" spans="2:8" x14ac:dyDescent="0.3">
      <c r="B20" s="519"/>
      <c r="C20" s="165"/>
      <c r="D20" s="166" t="s">
        <v>242</v>
      </c>
      <c r="E20" s="525"/>
      <c r="F20" s="893"/>
      <c r="G20" s="894"/>
      <c r="H20" s="524"/>
    </row>
    <row r="21" spans="2:8" ht="30" customHeight="1" x14ac:dyDescent="0.3">
      <c r="B21" s="519"/>
      <c r="C21" s="165"/>
      <c r="D21" s="2733" t="s">
        <v>243</v>
      </c>
      <c r="E21" s="2734"/>
      <c r="F21" s="893"/>
      <c r="G21" s="894"/>
      <c r="H21" s="524"/>
    </row>
    <row r="22" spans="2:8" x14ac:dyDescent="0.3">
      <c r="B22" s="519"/>
      <c r="C22" s="165"/>
      <c r="D22" s="175" t="s">
        <v>244</v>
      </c>
      <c r="E22" s="527"/>
      <c r="F22" s="895"/>
      <c r="G22" s="896"/>
      <c r="H22" s="524"/>
    </row>
    <row r="23" spans="2:8" ht="15" thickBot="1" x14ac:dyDescent="0.35">
      <c r="B23" s="519"/>
      <c r="C23" s="165"/>
      <c r="D23" s="173" t="s">
        <v>245</v>
      </c>
      <c r="E23" s="525"/>
      <c r="F23" s="176">
        <f>F18-(SUM(F19:F22))</f>
        <v>0</v>
      </c>
      <c r="G23" s="177">
        <f>G18-(SUM(G20:G22))</f>
        <v>47507554</v>
      </c>
      <c r="H23" s="524"/>
    </row>
    <row r="24" spans="2:8" ht="15" thickBot="1" x14ac:dyDescent="0.35">
      <c r="B24" s="519"/>
      <c r="C24" s="165"/>
      <c r="D24" s="166"/>
      <c r="E24" s="525"/>
      <c r="F24" s="168"/>
      <c r="G24" s="167"/>
      <c r="H24" s="524"/>
    </row>
    <row r="25" spans="2:8" x14ac:dyDescent="0.3">
      <c r="B25" s="519"/>
      <c r="C25" s="165"/>
      <c r="D25" s="167" t="s">
        <v>245</v>
      </c>
      <c r="E25" s="525"/>
      <c r="F25" s="897">
        <f>F23</f>
        <v>0</v>
      </c>
      <c r="G25" s="898">
        <f>G23</f>
        <v>47507554</v>
      </c>
      <c r="H25" s="524"/>
    </row>
    <row r="26" spans="2:8" x14ac:dyDescent="0.3">
      <c r="B26" s="519"/>
      <c r="C26" s="165"/>
      <c r="D26" s="167" t="s">
        <v>246</v>
      </c>
      <c r="E26" s="525"/>
      <c r="F26" s="899">
        <v>1</v>
      </c>
      <c r="G26" s="900">
        <f>IF(F14="Yes",130%,100%)</f>
        <v>1</v>
      </c>
      <c r="H26" s="524"/>
    </row>
    <row r="27" spans="2:8" x14ac:dyDescent="0.3">
      <c r="B27" s="519"/>
      <c r="C27" s="165"/>
      <c r="D27" s="178" t="s">
        <v>247</v>
      </c>
      <c r="E27" s="527"/>
      <c r="F27" s="1682"/>
      <c r="G27" s="1681">
        <v>1</v>
      </c>
      <c r="H27" s="524"/>
    </row>
    <row r="28" spans="2:8" ht="15" thickBot="1" x14ac:dyDescent="0.35">
      <c r="B28" s="519"/>
      <c r="C28" s="165"/>
      <c r="D28" s="179" t="s">
        <v>248</v>
      </c>
      <c r="E28" s="525"/>
      <c r="F28" s="180">
        <f>(F25*F26)*F27</f>
        <v>0</v>
      </c>
      <c r="G28" s="181">
        <f>(G25*G26)*G27</f>
        <v>47507554</v>
      </c>
      <c r="H28" s="524"/>
    </row>
    <row r="29" spans="2:8" ht="15" thickBot="1" x14ac:dyDescent="0.35">
      <c r="B29" s="519"/>
      <c r="C29" s="165"/>
      <c r="D29" s="166"/>
      <c r="E29" s="525"/>
      <c r="F29" s="167"/>
      <c r="G29" s="167"/>
      <c r="H29" s="524"/>
    </row>
    <row r="30" spans="2:8" x14ac:dyDescent="0.3">
      <c r="B30" s="519"/>
      <c r="C30" s="165"/>
      <c r="D30" s="166" t="s">
        <v>248</v>
      </c>
      <c r="E30" s="525"/>
      <c r="F30" s="897">
        <f>F28</f>
        <v>0</v>
      </c>
      <c r="G30" s="898">
        <f>G28</f>
        <v>47507554</v>
      </c>
      <c r="H30" s="524"/>
    </row>
    <row r="31" spans="2:8" x14ac:dyDescent="0.3">
      <c r="B31" s="519"/>
      <c r="C31" s="165"/>
      <c r="D31" s="175" t="s">
        <v>249</v>
      </c>
      <c r="E31" s="525"/>
      <c r="F31" s="1158">
        <v>3.2199999999999999E-2</v>
      </c>
      <c r="G31" s="2469">
        <v>3.2199999999999999E-2</v>
      </c>
      <c r="H31" s="524"/>
    </row>
    <row r="32" spans="2:8" ht="15" thickBot="1" x14ac:dyDescent="0.35">
      <c r="B32" s="519"/>
      <c r="C32" s="165"/>
      <c r="D32" s="173" t="s">
        <v>250</v>
      </c>
      <c r="E32" s="525"/>
      <c r="F32" s="176">
        <f>F30*F31</f>
        <v>0</v>
      </c>
      <c r="G32" s="177">
        <f>G30*G31</f>
        <v>1529743.2387999999</v>
      </c>
      <c r="H32" s="524"/>
    </row>
    <row r="33" spans="2:10" ht="15" customHeight="1" thickBot="1" x14ac:dyDescent="0.35">
      <c r="B33" s="519"/>
      <c r="C33" s="165"/>
      <c r="D33" s="166"/>
      <c r="E33" s="525"/>
      <c r="F33" s="167"/>
      <c r="G33" s="167"/>
      <c r="H33" s="524"/>
    </row>
    <row r="34" spans="2:10" ht="15" thickBot="1" x14ac:dyDescent="0.35">
      <c r="B34" s="519"/>
      <c r="C34" s="165"/>
      <c r="D34" s="173" t="s">
        <v>501</v>
      </c>
      <c r="E34" s="525"/>
      <c r="F34" s="167"/>
      <c r="G34" s="182">
        <f>F32+G32</f>
        <v>1529743.2387999999</v>
      </c>
      <c r="H34" s="524"/>
      <c r="J34" s="2452">
        <f>F31*G30</f>
        <v>1529743.2387999999</v>
      </c>
    </row>
    <row r="35" spans="2:10" x14ac:dyDescent="0.3">
      <c r="B35" s="519"/>
      <c r="C35" s="165"/>
      <c r="D35" s="165"/>
      <c r="E35" s="166"/>
      <c r="F35" s="167"/>
      <c r="G35" s="167"/>
      <c r="H35" s="524"/>
    </row>
    <row r="36" spans="2:10" ht="15" thickBot="1" x14ac:dyDescent="0.35">
      <c r="B36" s="519"/>
      <c r="C36" s="183" t="s">
        <v>251</v>
      </c>
      <c r="D36" s="183"/>
      <c r="E36" s="184"/>
      <c r="F36" s="185"/>
      <c r="G36" s="186"/>
      <c r="H36" s="524"/>
    </row>
    <row r="37" spans="2:10" x14ac:dyDescent="0.3">
      <c r="B37" s="519"/>
      <c r="C37" s="165"/>
      <c r="D37" s="166" t="s">
        <v>526</v>
      </c>
      <c r="E37" s="525"/>
      <c r="F37" s="167"/>
      <c r="G37" s="901">
        <f>'6A - 4% Building'!K122</f>
        <v>51835231</v>
      </c>
      <c r="H37" s="187"/>
    </row>
    <row r="38" spans="2:10" x14ac:dyDescent="0.3">
      <c r="B38" s="519"/>
      <c r="C38" s="165"/>
      <c r="D38" s="175" t="s">
        <v>502</v>
      </c>
      <c r="E38" s="528"/>
      <c r="F38" s="365"/>
      <c r="G38" s="902">
        <f>-('7A - 4%'!F37)</f>
        <v>-35772926.989999995</v>
      </c>
      <c r="H38" s="524"/>
    </row>
    <row r="39" spans="2:10" ht="15" thickBot="1" x14ac:dyDescent="0.35">
      <c r="B39" s="519"/>
      <c r="C39" s="165"/>
      <c r="D39" s="173" t="s">
        <v>252</v>
      </c>
      <c r="E39" s="525"/>
      <c r="F39" s="179"/>
      <c r="G39" s="188">
        <f>G37+G38</f>
        <v>16062304.010000005</v>
      </c>
      <c r="H39" s="524"/>
    </row>
    <row r="40" spans="2:10" ht="15" thickBot="1" x14ac:dyDescent="0.35">
      <c r="B40" s="519"/>
      <c r="C40" s="165"/>
      <c r="D40" s="166"/>
      <c r="E40" s="525"/>
      <c r="F40" s="167"/>
      <c r="G40" s="168"/>
      <c r="H40" s="524"/>
    </row>
    <row r="41" spans="2:10" x14ac:dyDescent="0.3">
      <c r="B41" s="519"/>
      <c r="C41" s="165"/>
      <c r="D41" s="166" t="s">
        <v>252</v>
      </c>
      <c r="E41" s="525"/>
      <c r="F41" s="167"/>
      <c r="G41" s="901">
        <f>G39</f>
        <v>16062304.010000005</v>
      </c>
      <c r="H41" s="524"/>
    </row>
    <row r="42" spans="2:10" ht="15" thickBot="1" x14ac:dyDescent="0.35">
      <c r="B42" s="519"/>
      <c r="C42" s="165"/>
      <c r="D42" s="166" t="s">
        <v>1518</v>
      </c>
      <c r="E42" s="525"/>
      <c r="F42" s="167"/>
      <c r="G42" s="903">
        <v>1.05</v>
      </c>
      <c r="H42" s="524"/>
      <c r="J42" s="400"/>
    </row>
    <row r="43" spans="2:10" ht="15" thickBot="1" x14ac:dyDescent="0.35">
      <c r="B43" s="519"/>
      <c r="C43" s="165"/>
      <c r="D43" s="189" t="s">
        <v>253</v>
      </c>
      <c r="E43" s="528"/>
      <c r="F43" s="178"/>
      <c r="G43" s="715">
        <v>10</v>
      </c>
      <c r="H43" s="524"/>
    </row>
    <row r="44" spans="2:10" ht="15" thickBot="1" x14ac:dyDescent="0.35">
      <c r="B44" s="519"/>
      <c r="C44" s="165"/>
      <c r="D44" s="190" t="s">
        <v>254</v>
      </c>
      <c r="E44" s="525"/>
      <c r="F44" s="167"/>
      <c r="G44" s="191">
        <f>IFERROR(((G41/G42)/10),0)</f>
        <v>1529743.2390476195</v>
      </c>
      <c r="H44" s="524"/>
    </row>
    <row r="45" spans="2:10" x14ac:dyDescent="0.3">
      <c r="B45" s="519"/>
      <c r="C45" s="165"/>
      <c r="D45" s="165"/>
      <c r="E45" s="166"/>
      <c r="F45" s="167"/>
      <c r="G45" s="168"/>
      <c r="H45" s="524"/>
    </row>
    <row r="46" spans="2:10" x14ac:dyDescent="0.3">
      <c r="B46" s="519"/>
      <c r="C46" s="165" t="s">
        <v>255</v>
      </c>
      <c r="D46" s="165"/>
      <c r="E46" s="166"/>
      <c r="F46" s="167"/>
      <c r="G46" s="680" t="s">
        <v>549</v>
      </c>
      <c r="H46" s="524"/>
    </row>
    <row r="47" spans="2:10" x14ac:dyDescent="0.3">
      <c r="B47" s="519"/>
      <c r="C47" s="165"/>
      <c r="D47" s="165"/>
      <c r="E47" s="166"/>
      <c r="F47" s="167"/>
      <c r="G47" s="168"/>
      <c r="H47" s="524"/>
    </row>
    <row r="48" spans="2:10" ht="15" thickBot="1" x14ac:dyDescent="0.35">
      <c r="B48" s="519"/>
      <c r="C48" s="183" t="s">
        <v>256</v>
      </c>
      <c r="D48" s="183"/>
      <c r="E48" s="184"/>
      <c r="F48" s="185"/>
      <c r="G48" s="167"/>
      <c r="H48" s="192"/>
    </row>
    <row r="49" spans="2:12" x14ac:dyDescent="0.3">
      <c r="B49" s="519"/>
      <c r="C49" s="165"/>
      <c r="D49" s="166" t="s">
        <v>257</v>
      </c>
      <c r="E49" s="525"/>
      <c r="F49" s="167"/>
      <c r="G49" s="2321">
        <f>SUM('8A'!D15:D24)</f>
        <v>166</v>
      </c>
      <c r="H49" s="192"/>
    </row>
    <row r="50" spans="2:12" x14ac:dyDescent="0.3">
      <c r="B50" s="519"/>
      <c r="C50" s="165"/>
      <c r="D50" s="175" t="s">
        <v>1616</v>
      </c>
      <c r="E50" s="528"/>
      <c r="F50" s="365"/>
      <c r="G50" s="902">
        <f>IF(G46="Yes",20957,16153)</f>
        <v>20957</v>
      </c>
      <c r="H50" s="192"/>
      <c r="I50" s="400"/>
      <c r="J50" s="400"/>
      <c r="K50" s="400"/>
      <c r="L50" s="400"/>
    </row>
    <row r="51" spans="2:12" ht="15" thickBot="1" x14ac:dyDescent="0.35">
      <c r="B51" s="519"/>
      <c r="C51" s="165"/>
      <c r="D51" s="173" t="s">
        <v>258</v>
      </c>
      <c r="E51" s="525"/>
      <c r="F51" s="167"/>
      <c r="G51" s="191">
        <f>G49*G50</f>
        <v>3478862</v>
      </c>
      <c r="H51" s="192"/>
    </row>
    <row r="52" spans="2:12" ht="15" thickBot="1" x14ac:dyDescent="0.35">
      <c r="B52" s="519"/>
      <c r="C52" s="521"/>
      <c r="D52" s="521"/>
      <c r="E52" s="165"/>
      <c r="F52" s="167"/>
      <c r="G52" s="167"/>
      <c r="H52" s="187"/>
    </row>
    <row r="53" spans="2:12" s="1202" customFormat="1" ht="19.2" thickTop="1" thickBot="1" x14ac:dyDescent="0.4">
      <c r="B53" s="1199"/>
      <c r="C53" s="1200"/>
      <c r="D53" s="1200"/>
      <c r="E53" s="2736" t="s">
        <v>259</v>
      </c>
      <c r="F53" s="2737"/>
      <c r="G53" s="1203">
        <f>MIN(G34,G44,G51)</f>
        <v>1529743.2387999999</v>
      </c>
      <c r="H53" s="1201"/>
    </row>
    <row r="54" spans="2:12" ht="7.5" customHeight="1" thickBot="1" x14ac:dyDescent="0.35">
      <c r="B54" s="1458"/>
      <c r="C54" s="525"/>
      <c r="D54" s="525"/>
      <c r="E54" s="525"/>
      <c r="F54" s="525"/>
      <c r="G54" s="525"/>
      <c r="H54" s="1459"/>
    </row>
    <row r="55" spans="2:12" ht="15" thickBot="1" x14ac:dyDescent="0.35">
      <c r="B55" s="1458"/>
      <c r="C55" s="525"/>
      <c r="D55" s="525"/>
      <c r="E55" s="2738" t="s">
        <v>665</v>
      </c>
      <c r="F55" s="2739"/>
      <c r="G55" s="1204">
        <f>G53*G42*10</f>
        <v>16062304.007399999</v>
      </c>
      <c r="H55" s="1459"/>
    </row>
    <row r="56" spans="2:12" ht="15" thickBot="1" x14ac:dyDescent="0.35">
      <c r="B56" s="529"/>
      <c r="C56" s="530"/>
      <c r="D56" s="530"/>
      <c r="E56" s="2735"/>
      <c r="F56" s="2735"/>
      <c r="G56" s="2735"/>
      <c r="H56" s="531"/>
    </row>
  </sheetData>
  <sheetProtection algorithmName="SHA-512" hashValue="90lrIGCBKMgDWVwqX2DMdXCYCCcKQ+p1+SisKVhSJUQfjYds0uCQgVfzzmfEtQ9qDI0A4S1xPC2uX4hUeLNbWw==" saltValue="46HrcQOfjDicvBNsexQmAw==" spinCount="100000" sheet="1" formatCells="0" formatColumns="0" formatRows="0"/>
  <mergeCells count="8">
    <mergeCell ref="C7:G7"/>
    <mergeCell ref="D21:E21"/>
    <mergeCell ref="E56:G56"/>
    <mergeCell ref="D14:E14"/>
    <mergeCell ref="E53:F53"/>
    <mergeCell ref="E55:F55"/>
    <mergeCell ref="C9:F9"/>
    <mergeCell ref="C11:F11"/>
  </mergeCells>
  <dataValidations count="2">
    <dataValidation type="list" allowBlank="1" showInputMessage="1" showErrorMessage="1" promptTitle="Basis Boost" prompt="Select &quot;Yes&quot; or &quot;No&quot; for form to calculate correctly" sqref="F14" xr:uid="{00000000-0002-0000-1300-000000000000}">
      <formula1>"Yes,No"</formula1>
    </dataValidation>
    <dataValidation type="list" allowBlank="1" showInputMessage="1" showErrorMessage="1" sqref="G46" xr:uid="{00000000-0002-0000-1300-000001000000}">
      <formula1>"Yes,No"</formula1>
    </dataValidation>
  </dataValidations>
  <pageMargins left="1" right="0.4" top="0.7" bottom="0.7" header="0.3" footer="0.3"/>
  <pageSetup scale="90" orientation="portrait" r:id="rId1"/>
  <headerFooter>
    <oddFooter>&amp;LForm 6D
LIHTC Calculation&amp;CCFA Forms&amp;REdition: 2017
Version: 1.0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6:O68"/>
  <sheetViews>
    <sheetView showGridLines="0" topLeftCell="A4" zoomScaleNormal="100" workbookViewId="0">
      <selection activeCell="M44" sqref="M44"/>
    </sheetView>
  </sheetViews>
  <sheetFormatPr defaultColWidth="9.109375" defaultRowHeight="14.4" x14ac:dyDescent="0.3"/>
  <cols>
    <col min="1" max="2" width="1.6640625" style="399" customWidth="1"/>
    <col min="3" max="3" width="2.88671875" style="399" customWidth="1"/>
    <col min="4" max="4" width="14.33203125" style="399" customWidth="1"/>
    <col min="5" max="5" width="9.109375" style="399"/>
    <col min="6" max="6" width="4.33203125" style="399" customWidth="1"/>
    <col min="7" max="7" width="13.33203125" style="399" customWidth="1"/>
    <col min="8" max="8" width="15.44140625" style="399" customWidth="1"/>
    <col min="9" max="9" width="36.5546875" style="417" customWidth="1"/>
    <col min="10" max="10" width="1.6640625" style="417" customWidth="1"/>
    <col min="11" max="16384" width="9.109375" style="399"/>
  </cols>
  <sheetData>
    <row r="6" spans="2:10" ht="15" thickBot="1" x14ac:dyDescent="0.35"/>
    <row r="7" spans="2:10" s="417" customFormat="1" x14ac:dyDescent="0.3">
      <c r="B7" s="534"/>
      <c r="C7" s="641"/>
      <c r="D7" s="641"/>
      <c r="E7" s="641"/>
      <c r="F7" s="641"/>
      <c r="G7" s="641"/>
      <c r="H7" s="641"/>
      <c r="I7" s="641"/>
      <c r="J7" s="535"/>
    </row>
    <row r="8" spans="2:10" s="417" customFormat="1" ht="18" x14ac:dyDescent="0.35">
      <c r="B8" s="536"/>
      <c r="C8" s="2515" t="s">
        <v>1876</v>
      </c>
      <c r="D8" s="2515"/>
      <c r="E8" s="2515"/>
      <c r="F8" s="2515"/>
      <c r="G8" s="2515"/>
      <c r="H8" s="2515"/>
      <c r="I8" s="2515"/>
      <c r="J8" s="537"/>
    </row>
    <row r="9" spans="2:10" s="417" customFormat="1" x14ac:dyDescent="0.3">
      <c r="B9" s="536"/>
      <c r="C9" s="424"/>
      <c r="D9" s="424"/>
      <c r="E9" s="424"/>
      <c r="F9" s="424"/>
      <c r="G9" s="424"/>
      <c r="H9" s="424"/>
      <c r="I9" s="424"/>
      <c r="J9" s="537"/>
    </row>
    <row r="10" spans="2:10" s="417" customFormat="1" ht="15" thickBot="1" x14ac:dyDescent="0.35">
      <c r="B10" s="536"/>
      <c r="C10" s="2668" t="str">
        <f>IF('1'!G5="","Enter Project Name on Form 1",(CONCATENATE("Project Name: ",'1'!G5)))</f>
        <v>Project Name: 6600 Roosevelt Way NE</v>
      </c>
      <c r="D10" s="2668"/>
      <c r="E10" s="2668"/>
      <c r="F10" s="2668"/>
      <c r="G10" s="2668"/>
      <c r="H10" s="2668"/>
      <c r="I10" s="2668"/>
      <c r="J10" s="537"/>
    </row>
    <row r="11" spans="2:10" s="417" customFormat="1" ht="7.5" customHeight="1" x14ac:dyDescent="0.3">
      <c r="B11" s="536"/>
      <c r="C11" s="2122"/>
      <c r="D11" s="2122"/>
      <c r="E11" s="2122"/>
      <c r="F11" s="2122"/>
      <c r="G11" s="2122"/>
      <c r="H11" s="2122"/>
      <c r="I11" s="2122"/>
      <c r="J11" s="537"/>
    </row>
    <row r="12" spans="2:10" s="417" customFormat="1" ht="15" thickBot="1" x14ac:dyDescent="0.35">
      <c r="B12" s="536"/>
      <c r="C12" s="2668" t="str">
        <f>IF('1'!G29="","Enter Site Name/ID Number on Form 1",(CONCATENATE("Site Name/ID: ",'1'!G29)))</f>
        <v>Site Name/ID: Site A - 4% Building</v>
      </c>
      <c r="D12" s="2668"/>
      <c r="E12" s="2668"/>
      <c r="F12" s="2668"/>
      <c r="G12" s="2668"/>
      <c r="H12" s="2668"/>
      <c r="I12" s="2668"/>
      <c r="J12" s="537"/>
    </row>
    <row r="13" spans="2:10" s="417" customFormat="1" ht="15" customHeight="1" thickBot="1" x14ac:dyDescent="0.35">
      <c r="B13" s="536"/>
      <c r="C13" s="424"/>
      <c r="D13" s="424"/>
      <c r="E13" s="424"/>
      <c r="F13" s="424"/>
      <c r="G13" s="424"/>
      <c r="H13" s="424"/>
      <c r="I13" s="424"/>
      <c r="J13" s="537"/>
    </row>
    <row r="14" spans="2:10" s="417" customFormat="1" ht="15" thickBot="1" x14ac:dyDescent="0.35">
      <c r="B14" s="536"/>
      <c r="C14" s="538" t="s">
        <v>260</v>
      </c>
      <c r="D14" s="693"/>
      <c r="E14" s="693"/>
      <c r="F14" s="690" t="s">
        <v>261</v>
      </c>
      <c r="G14" s="691" t="s">
        <v>262</v>
      </c>
      <c r="H14" s="691" t="s">
        <v>82</v>
      </c>
      <c r="I14" s="689" t="s">
        <v>263</v>
      </c>
      <c r="J14" s="644"/>
    </row>
    <row r="15" spans="2:10" s="417" customFormat="1" ht="15" thickBot="1" x14ac:dyDescent="0.35">
      <c r="B15" s="536"/>
      <c r="C15" s="539" t="s">
        <v>264</v>
      </c>
      <c r="D15" s="539"/>
      <c r="E15" s="539"/>
      <c r="F15" s="144"/>
      <c r="G15" s="144"/>
      <c r="H15" s="424"/>
      <c r="I15" s="424"/>
      <c r="J15" s="537"/>
    </row>
    <row r="16" spans="2:10" s="417" customFormat="1" ht="15" thickBot="1" x14ac:dyDescent="0.35">
      <c r="B16" s="536"/>
      <c r="C16" s="68"/>
      <c r="D16" s="68" t="s">
        <v>265</v>
      </c>
      <c r="E16" s="68"/>
      <c r="F16" s="692"/>
      <c r="G16" s="1971"/>
      <c r="H16" s="681">
        <f>F16*G16</f>
        <v>0</v>
      </c>
      <c r="I16" s="682" t="s">
        <v>2148</v>
      </c>
      <c r="J16" s="537"/>
    </row>
    <row r="17" spans="2:10" s="417" customFormat="1" ht="15" thickBot="1" x14ac:dyDescent="0.35">
      <c r="B17" s="536"/>
      <c r="C17" s="68"/>
      <c r="D17" s="68"/>
      <c r="E17" s="68"/>
      <c r="F17" s="540"/>
      <c r="G17" s="541"/>
      <c r="H17" s="683">
        <f>H16</f>
        <v>0</v>
      </c>
      <c r="I17" s="684"/>
      <c r="J17" s="537"/>
    </row>
    <row r="18" spans="2:10" s="417" customFormat="1" ht="3.75" customHeight="1" x14ac:dyDescent="0.3">
      <c r="B18" s="536"/>
      <c r="C18" s="68"/>
      <c r="D18" s="68"/>
      <c r="E18" s="68"/>
      <c r="F18" s="144"/>
      <c r="G18" s="144"/>
      <c r="H18" s="424"/>
      <c r="I18" s="424"/>
      <c r="J18" s="537"/>
    </row>
    <row r="19" spans="2:10" s="417" customFormat="1" ht="15" thickBot="1" x14ac:dyDescent="0.35">
      <c r="B19" s="536"/>
      <c r="C19" s="539" t="s">
        <v>266</v>
      </c>
      <c r="D19" s="539"/>
      <c r="E19" s="539"/>
      <c r="F19" s="144"/>
      <c r="G19" s="144"/>
      <c r="H19" s="424"/>
      <c r="I19" s="424"/>
      <c r="J19" s="537"/>
    </row>
    <row r="20" spans="2:10" s="417" customFormat="1" x14ac:dyDescent="0.3">
      <c r="B20" s="536"/>
      <c r="C20" s="68"/>
      <c r="D20" s="68" t="s">
        <v>267</v>
      </c>
      <c r="E20" s="68"/>
      <c r="F20" s="904">
        <v>1</v>
      </c>
      <c r="G20" s="1972">
        <f>78492+5166</f>
        <v>83658</v>
      </c>
      <c r="H20" s="905">
        <f t="shared" ref="H20:H27" si="0">F20*G20</f>
        <v>83658</v>
      </c>
      <c r="I20" s="906" t="s">
        <v>2107</v>
      </c>
      <c r="J20" s="537"/>
    </row>
    <row r="21" spans="2:10" s="417" customFormat="1" x14ac:dyDescent="0.3">
      <c r="B21" s="536"/>
      <c r="C21" s="68"/>
      <c r="D21" s="68" t="s">
        <v>268</v>
      </c>
      <c r="E21" s="68"/>
      <c r="F21" s="907"/>
      <c r="G21" s="1973"/>
      <c r="H21" s="908">
        <f t="shared" si="0"/>
        <v>0</v>
      </c>
      <c r="I21" s="909"/>
      <c r="J21" s="537"/>
    </row>
    <row r="22" spans="2:10" s="417" customFormat="1" x14ac:dyDescent="0.3">
      <c r="B22" s="536"/>
      <c r="C22" s="68"/>
      <c r="D22" s="68" t="s">
        <v>269</v>
      </c>
      <c r="E22" s="68"/>
      <c r="F22" s="907"/>
      <c r="G22" s="1973"/>
      <c r="H22" s="908">
        <f t="shared" si="0"/>
        <v>0</v>
      </c>
      <c r="I22" s="909"/>
      <c r="J22" s="537"/>
    </row>
    <row r="23" spans="2:10" s="417" customFormat="1" x14ac:dyDescent="0.3">
      <c r="B23" s="536"/>
      <c r="C23" s="68"/>
      <c r="D23" s="68" t="s">
        <v>97</v>
      </c>
      <c r="E23" s="68"/>
      <c r="F23" s="907"/>
      <c r="G23" s="1973"/>
      <c r="H23" s="908">
        <f t="shared" si="0"/>
        <v>0</v>
      </c>
      <c r="I23" s="909"/>
      <c r="J23" s="537"/>
    </row>
    <row r="24" spans="2:10" s="417" customFormat="1" x14ac:dyDescent="0.3">
      <c r="B24" s="536"/>
      <c r="C24" s="68"/>
      <c r="D24" s="68" t="s">
        <v>270</v>
      </c>
      <c r="E24" s="68"/>
      <c r="F24" s="907"/>
      <c r="G24" s="1973"/>
      <c r="H24" s="908">
        <f t="shared" si="0"/>
        <v>0</v>
      </c>
      <c r="I24" s="909"/>
      <c r="J24" s="537"/>
    </row>
    <row r="25" spans="2:10" s="417" customFormat="1" x14ac:dyDescent="0.3">
      <c r="B25" s="536"/>
      <c r="C25" s="68"/>
      <c r="D25" s="68" t="s">
        <v>271</v>
      </c>
      <c r="E25" s="68"/>
      <c r="F25" s="907"/>
      <c r="G25" s="1973"/>
      <c r="H25" s="908">
        <f t="shared" si="0"/>
        <v>0</v>
      </c>
      <c r="I25" s="909"/>
      <c r="J25" s="537"/>
    </row>
    <row r="26" spans="2:10" s="417" customFormat="1" x14ac:dyDescent="0.3">
      <c r="B26" s="536"/>
      <c r="C26" s="68"/>
      <c r="D26" s="68" t="s">
        <v>226</v>
      </c>
      <c r="E26" s="68"/>
      <c r="F26" s="907"/>
      <c r="G26" s="1973"/>
      <c r="H26" s="908">
        <f t="shared" si="0"/>
        <v>0</v>
      </c>
      <c r="I26" s="909"/>
      <c r="J26" s="537"/>
    </row>
    <row r="27" spans="2:10" s="417" customFormat="1" ht="15" thickBot="1" x14ac:dyDescent="0.35">
      <c r="B27" s="536"/>
      <c r="C27" s="68"/>
      <c r="D27" s="68" t="s">
        <v>272</v>
      </c>
      <c r="E27" s="68"/>
      <c r="F27" s="910"/>
      <c r="G27" s="1974"/>
      <c r="H27" s="911">
        <f t="shared" si="0"/>
        <v>0</v>
      </c>
      <c r="I27" s="912"/>
      <c r="J27" s="537"/>
    </row>
    <row r="28" spans="2:10" s="417" customFormat="1" ht="15" thickBot="1" x14ac:dyDescent="0.35">
      <c r="B28" s="536"/>
      <c r="C28" s="68"/>
      <c r="D28" s="68"/>
      <c r="E28" s="68"/>
      <c r="F28" s="540"/>
      <c r="G28" s="542" t="s">
        <v>153</v>
      </c>
      <c r="H28" s="685">
        <f>SUM(H20:H27)</f>
        <v>83658</v>
      </c>
      <c r="I28" s="686"/>
      <c r="J28" s="537"/>
    </row>
    <row r="29" spans="2:10" s="417" customFormat="1" ht="3.75" customHeight="1" x14ac:dyDescent="0.3">
      <c r="B29" s="536"/>
      <c r="C29" s="68"/>
      <c r="D29" s="68"/>
      <c r="E29" s="68"/>
      <c r="F29" s="144"/>
      <c r="G29" s="144"/>
      <c r="H29" s="424"/>
      <c r="I29" s="424"/>
      <c r="J29" s="537"/>
    </row>
    <row r="30" spans="2:10" s="417" customFormat="1" ht="15" thickBot="1" x14ac:dyDescent="0.35">
      <c r="B30" s="536"/>
      <c r="C30" s="539" t="s">
        <v>273</v>
      </c>
      <c r="D30" s="539"/>
      <c r="E30" s="539"/>
      <c r="F30" s="144"/>
      <c r="G30" s="144"/>
      <c r="H30" s="424"/>
      <c r="I30" s="424"/>
      <c r="J30" s="537"/>
    </row>
    <row r="31" spans="2:10" s="417" customFormat="1" x14ac:dyDescent="0.3">
      <c r="B31" s="536"/>
      <c r="C31" s="68"/>
      <c r="D31" s="68" t="s">
        <v>274</v>
      </c>
      <c r="E31" s="68"/>
      <c r="F31" s="904">
        <v>1</v>
      </c>
      <c r="G31" s="1972">
        <f>83725+5511</f>
        <v>89236</v>
      </c>
      <c r="H31" s="905">
        <f t="shared" ref="H31:H38" si="1">F31*G31</f>
        <v>89236</v>
      </c>
      <c r="I31" s="906" t="s">
        <v>2101</v>
      </c>
      <c r="J31" s="537"/>
    </row>
    <row r="32" spans="2:10" s="417" customFormat="1" x14ac:dyDescent="0.3">
      <c r="B32" s="536"/>
      <c r="C32" s="68"/>
      <c r="D32" s="68" t="s">
        <v>275</v>
      </c>
      <c r="E32" s="68"/>
      <c r="F32" s="907"/>
      <c r="G32" s="1973"/>
      <c r="H32" s="908">
        <f t="shared" si="1"/>
        <v>0</v>
      </c>
      <c r="I32" s="909" t="s">
        <v>2102</v>
      </c>
      <c r="J32" s="537"/>
    </row>
    <row r="33" spans="1:10" s="417" customFormat="1" x14ac:dyDescent="0.3">
      <c r="B33" s="536"/>
      <c r="C33" s="68"/>
      <c r="D33" s="68" t="s">
        <v>276</v>
      </c>
      <c r="E33" s="68"/>
      <c r="F33" s="907"/>
      <c r="G33" s="1973"/>
      <c r="H33" s="908">
        <f t="shared" si="1"/>
        <v>0</v>
      </c>
      <c r="I33" s="909" t="s">
        <v>2102</v>
      </c>
      <c r="J33" s="537"/>
    </row>
    <row r="34" spans="1:10" s="417" customFormat="1" x14ac:dyDescent="0.3">
      <c r="B34" s="536"/>
      <c r="C34" s="68"/>
      <c r="D34" s="68" t="s">
        <v>277</v>
      </c>
      <c r="E34" s="68"/>
      <c r="F34" s="907"/>
      <c r="G34" s="1973"/>
      <c r="H34" s="908">
        <f t="shared" si="1"/>
        <v>0</v>
      </c>
      <c r="I34" s="909" t="s">
        <v>2102</v>
      </c>
      <c r="J34" s="537"/>
    </row>
    <row r="35" spans="1:10" s="417" customFormat="1" x14ac:dyDescent="0.3">
      <c r="B35" s="536"/>
      <c r="C35" s="68"/>
      <c r="D35" s="68" t="s">
        <v>278</v>
      </c>
      <c r="E35" s="68"/>
      <c r="F35" s="907"/>
      <c r="G35" s="1973"/>
      <c r="H35" s="908">
        <f t="shared" si="1"/>
        <v>0</v>
      </c>
      <c r="I35" s="909" t="s">
        <v>2102</v>
      </c>
      <c r="J35" s="537"/>
    </row>
    <row r="36" spans="1:10" s="417" customFormat="1" x14ac:dyDescent="0.3">
      <c r="B36" s="536"/>
      <c r="C36" s="68"/>
      <c r="D36" s="68" t="s">
        <v>279</v>
      </c>
      <c r="E36" s="68"/>
      <c r="F36" s="907"/>
      <c r="G36" s="1973"/>
      <c r="H36" s="908">
        <f t="shared" si="1"/>
        <v>0</v>
      </c>
      <c r="I36" s="909" t="s">
        <v>2102</v>
      </c>
      <c r="J36" s="537"/>
    </row>
    <row r="37" spans="1:10" s="417" customFormat="1" x14ac:dyDescent="0.3">
      <c r="B37" s="536"/>
      <c r="C37" s="68"/>
      <c r="D37" s="68" t="s">
        <v>280</v>
      </c>
      <c r="E37" s="68"/>
      <c r="F37" s="907">
        <v>1</v>
      </c>
      <c r="G37" s="1973">
        <f>183148+12055</f>
        <v>195203</v>
      </c>
      <c r="H37" s="908">
        <f t="shared" si="1"/>
        <v>195203</v>
      </c>
      <c r="I37" s="909" t="s">
        <v>2103</v>
      </c>
      <c r="J37" s="537"/>
    </row>
    <row r="38" spans="1:10" s="417" customFormat="1" ht="15" thickBot="1" x14ac:dyDescent="0.35">
      <c r="B38" s="536"/>
      <c r="C38" s="68"/>
      <c r="D38" s="68" t="s">
        <v>281</v>
      </c>
      <c r="E38" s="68"/>
      <c r="F38" s="913"/>
      <c r="G38" s="1975"/>
      <c r="H38" s="911">
        <f t="shared" si="1"/>
        <v>0</v>
      </c>
      <c r="I38" s="912" t="s">
        <v>2105</v>
      </c>
      <c r="J38" s="537"/>
    </row>
    <row r="39" spans="1:10" s="417" customFormat="1" ht="15" thickBot="1" x14ac:dyDescent="0.35">
      <c r="B39" s="536"/>
      <c r="C39" s="68"/>
      <c r="D39" s="68"/>
      <c r="E39" s="68"/>
      <c r="F39" s="540"/>
      <c r="G39" s="542" t="s">
        <v>153</v>
      </c>
      <c r="H39" s="683">
        <f>SUM(H31:H38)</f>
        <v>284439</v>
      </c>
      <c r="I39" s="684"/>
      <c r="J39" s="537"/>
    </row>
    <row r="40" spans="1:10" s="417" customFormat="1" ht="3.75" customHeight="1" x14ac:dyDescent="0.3">
      <c r="B40" s="536"/>
      <c r="C40" s="68"/>
      <c r="D40" s="68"/>
      <c r="E40" s="68"/>
      <c r="F40" s="144"/>
      <c r="G40" s="144"/>
      <c r="H40" s="424"/>
      <c r="I40" s="424"/>
      <c r="J40" s="537"/>
    </row>
    <row r="41" spans="1:10" s="417" customFormat="1" ht="15" thickBot="1" x14ac:dyDescent="0.35">
      <c r="B41" s="536"/>
      <c r="C41" s="539" t="s">
        <v>282</v>
      </c>
      <c r="D41" s="539"/>
      <c r="E41" s="539"/>
      <c r="F41" s="144"/>
      <c r="G41" s="144"/>
      <c r="H41" s="424"/>
      <c r="I41" s="424"/>
      <c r="J41" s="537"/>
    </row>
    <row r="42" spans="1:10" s="417" customFormat="1" x14ac:dyDescent="0.3">
      <c r="B42" s="536"/>
      <c r="C42" s="68"/>
      <c r="D42" s="68" t="s">
        <v>283</v>
      </c>
      <c r="E42" s="68"/>
      <c r="F42" s="904">
        <v>1</v>
      </c>
      <c r="G42" s="1972">
        <f>83725+5511</f>
        <v>89236</v>
      </c>
      <c r="H42" s="905">
        <f>F42*G42</f>
        <v>89236</v>
      </c>
      <c r="I42" s="906" t="s">
        <v>2106</v>
      </c>
      <c r="J42" s="537"/>
    </row>
    <row r="43" spans="1:10" s="417" customFormat="1" x14ac:dyDescent="0.3">
      <c r="B43" s="536"/>
      <c r="C43" s="68"/>
      <c r="D43" s="68" t="s">
        <v>284</v>
      </c>
      <c r="E43" s="68"/>
      <c r="F43" s="914"/>
      <c r="G43" s="1976"/>
      <c r="H43" s="915">
        <f>F43*G43</f>
        <v>0</v>
      </c>
      <c r="I43" s="909"/>
      <c r="J43" s="537"/>
    </row>
    <row r="44" spans="1:10" x14ac:dyDescent="0.3">
      <c r="A44" s="417"/>
      <c r="B44" s="536"/>
      <c r="C44" s="68"/>
      <c r="D44" s="68" t="s">
        <v>285</v>
      </c>
      <c r="E44" s="68"/>
      <c r="F44" s="129"/>
      <c r="G44" s="128"/>
      <c r="H44" s="128"/>
      <c r="I44" s="918"/>
      <c r="J44" s="537"/>
    </row>
    <row r="45" spans="1:10" s="417" customFormat="1" x14ac:dyDescent="0.3">
      <c r="B45" s="536"/>
      <c r="C45" s="68"/>
      <c r="D45" s="2741" t="s">
        <v>531</v>
      </c>
      <c r="E45" s="2741"/>
      <c r="F45" s="916"/>
      <c r="G45" s="1977"/>
      <c r="H45" s="917">
        <f>F45*G45</f>
        <v>0</v>
      </c>
      <c r="I45" s="909"/>
      <c r="J45" s="537"/>
    </row>
    <row r="46" spans="1:10" s="417" customFormat="1" ht="15" thickBot="1" x14ac:dyDescent="0.35">
      <c r="B46" s="536"/>
      <c r="C46" s="68"/>
      <c r="D46" s="2741" t="s">
        <v>532</v>
      </c>
      <c r="E46" s="2741"/>
      <c r="F46" s="913">
        <v>1</v>
      </c>
      <c r="G46" s="1975">
        <f>976310+5000</f>
        <v>981310</v>
      </c>
      <c r="H46" s="911">
        <f>F46*G46</f>
        <v>981310</v>
      </c>
      <c r="I46" s="912" t="s">
        <v>2219</v>
      </c>
      <c r="J46" s="537"/>
    </row>
    <row r="47" spans="1:10" s="417" customFormat="1" ht="15" thickBot="1" x14ac:dyDescent="0.35">
      <c r="B47" s="536"/>
      <c r="C47" s="68"/>
      <c r="D47" s="68"/>
      <c r="E47" s="68"/>
      <c r="F47" s="540"/>
      <c r="G47" s="542" t="s">
        <v>153</v>
      </c>
      <c r="H47" s="683">
        <f>SUM(H42:H43)+SUM(H45:H46)</f>
        <v>1070546</v>
      </c>
      <c r="I47" s="684"/>
      <c r="J47" s="537"/>
    </row>
    <row r="48" spans="1:10" s="417" customFormat="1" ht="3.75" customHeight="1" x14ac:dyDescent="0.3">
      <c r="B48" s="536"/>
      <c r="C48" s="68"/>
      <c r="D48" s="68"/>
      <c r="E48" s="68"/>
      <c r="F48" s="144"/>
      <c r="G48" s="144"/>
      <c r="H48" s="424"/>
      <c r="I48" s="424"/>
      <c r="J48" s="537"/>
    </row>
    <row r="49" spans="2:15" s="417" customFormat="1" ht="15" thickBot="1" x14ac:dyDescent="0.35">
      <c r="B49" s="536"/>
      <c r="C49" s="539" t="s">
        <v>286</v>
      </c>
      <c r="D49" s="539"/>
      <c r="E49" s="539"/>
      <c r="F49" s="144"/>
      <c r="G49" s="144"/>
      <c r="H49" s="424"/>
      <c r="I49" s="424"/>
      <c r="J49" s="537"/>
    </row>
    <row r="50" spans="2:15" s="417" customFormat="1" x14ac:dyDescent="0.3">
      <c r="B50" s="536"/>
      <c r="C50" s="68"/>
      <c r="D50" s="68" t="s">
        <v>287</v>
      </c>
      <c r="E50" s="68"/>
      <c r="F50" s="904">
        <v>0</v>
      </c>
      <c r="G50" s="1972">
        <v>0</v>
      </c>
      <c r="H50" s="905">
        <f>F50*G50</f>
        <v>0</v>
      </c>
      <c r="I50" s="2419" t="s">
        <v>2104</v>
      </c>
      <c r="J50" s="537"/>
    </row>
    <row r="51" spans="2:15" s="417" customFormat="1" x14ac:dyDescent="0.3">
      <c r="B51" s="536"/>
      <c r="C51" s="68"/>
      <c r="D51" s="68" t="s">
        <v>288</v>
      </c>
      <c r="E51" s="68"/>
      <c r="F51" s="907"/>
      <c r="G51" s="1973"/>
      <c r="H51" s="908">
        <f>F51*G51</f>
        <v>0</v>
      </c>
      <c r="I51" s="2420" t="s">
        <v>2104</v>
      </c>
      <c r="J51" s="537"/>
    </row>
    <row r="52" spans="2:15" s="417" customFormat="1" x14ac:dyDescent="0.3">
      <c r="B52" s="536"/>
      <c r="C52" s="68"/>
      <c r="D52" s="68" t="s">
        <v>268</v>
      </c>
      <c r="E52" s="68"/>
      <c r="F52" s="907"/>
      <c r="G52" s="1973"/>
      <c r="H52" s="908">
        <f>F52*G52</f>
        <v>0</v>
      </c>
      <c r="I52" s="2421" t="s">
        <v>2104</v>
      </c>
      <c r="J52" s="537"/>
    </row>
    <row r="53" spans="2:15" s="417" customFormat="1" ht="15" thickBot="1" x14ac:dyDescent="0.35">
      <c r="B53" s="536"/>
      <c r="C53" s="68"/>
      <c r="D53" s="68" t="s">
        <v>289</v>
      </c>
      <c r="E53" s="68"/>
      <c r="F53" s="910"/>
      <c r="G53" s="1974"/>
      <c r="H53" s="911">
        <f>F53*G53</f>
        <v>0</v>
      </c>
      <c r="I53" s="2422" t="s">
        <v>2104</v>
      </c>
      <c r="J53" s="537"/>
    </row>
    <row r="54" spans="2:15" s="417" customFormat="1" ht="15" thickBot="1" x14ac:dyDescent="0.35">
      <c r="B54" s="536"/>
      <c r="C54" s="68"/>
      <c r="D54" s="68"/>
      <c r="E54" s="68"/>
      <c r="F54" s="540"/>
      <c r="G54" s="542" t="s">
        <v>153</v>
      </c>
      <c r="H54" s="683">
        <f>SUM(H50:H53)</f>
        <v>0</v>
      </c>
      <c r="I54" s="684"/>
      <c r="J54" s="537"/>
    </row>
    <row r="55" spans="2:15" s="417" customFormat="1" ht="3.75" customHeight="1" x14ac:dyDescent="0.3">
      <c r="B55" s="536"/>
      <c r="C55" s="68"/>
      <c r="D55" s="68"/>
      <c r="E55" s="68"/>
      <c r="F55" s="144"/>
      <c r="G55" s="144"/>
      <c r="H55" s="424"/>
      <c r="I55" s="424"/>
      <c r="J55" s="537"/>
    </row>
    <row r="56" spans="2:15" s="417" customFormat="1" ht="15" thickBot="1" x14ac:dyDescent="0.35">
      <c r="B56" s="536"/>
      <c r="C56" s="539" t="s">
        <v>226</v>
      </c>
      <c r="D56" s="539"/>
      <c r="E56" s="539"/>
      <c r="F56" s="543"/>
      <c r="G56" s="543"/>
      <c r="H56" s="687"/>
      <c r="I56" s="347"/>
      <c r="J56" s="537"/>
    </row>
    <row r="57" spans="2:15" s="417" customFormat="1" ht="15" thickBot="1" x14ac:dyDescent="0.35">
      <c r="B57" s="536"/>
      <c r="C57" s="68"/>
      <c r="D57" s="68"/>
      <c r="E57" s="68"/>
      <c r="F57" s="532"/>
      <c r="G57" s="533"/>
      <c r="H57" s="688">
        <f>F57*G57</f>
        <v>0</v>
      </c>
      <c r="I57" s="682"/>
      <c r="J57" s="537"/>
    </row>
    <row r="58" spans="2:15" s="417" customFormat="1" ht="15" thickBot="1" x14ac:dyDescent="0.35">
      <c r="B58" s="536"/>
      <c r="C58" s="68"/>
      <c r="D58" s="68"/>
      <c r="E58" s="68"/>
      <c r="F58" s="540"/>
      <c r="G58" s="542" t="s">
        <v>153</v>
      </c>
      <c r="H58" s="683">
        <f>SUM(H57)</f>
        <v>0</v>
      </c>
      <c r="I58" s="684"/>
      <c r="J58" s="537"/>
    </row>
    <row r="59" spans="2:15" s="417" customFormat="1" ht="7.5" customHeight="1" thickBot="1" x14ac:dyDescent="0.35">
      <c r="B59" s="536"/>
      <c r="C59" s="68"/>
      <c r="D59" s="68"/>
      <c r="E59" s="68"/>
      <c r="F59" s="144"/>
      <c r="G59" s="144"/>
      <c r="H59" s="144"/>
      <c r="I59" s="144"/>
      <c r="J59" s="537"/>
    </row>
    <row r="60" spans="2:15" ht="15.75" customHeight="1" thickBot="1" x14ac:dyDescent="0.35">
      <c r="B60" s="544"/>
      <c r="C60" s="694" t="s">
        <v>52</v>
      </c>
      <c r="D60" s="545"/>
      <c r="E60" s="546"/>
      <c r="F60" s="547"/>
      <c r="G60" s="548"/>
      <c r="H60" s="549">
        <f>H17+H28+H39+H47+H54+H58</f>
        <v>1438643</v>
      </c>
      <c r="I60" s="550" t="str">
        <f>IF(H60&lt;&gt;('6A - 4% Building'!J102+'6A - 4% Building'!J103),"WARNING: Does not match Form 6A","")</f>
        <v/>
      </c>
      <c r="J60" s="537"/>
      <c r="K60" s="2085"/>
      <c r="L60" s="2085"/>
      <c r="M60" s="2085"/>
    </row>
    <row r="61" spans="2:15" s="417" customFormat="1" ht="9" customHeight="1" thickBot="1" x14ac:dyDescent="0.35">
      <c r="B61" s="551"/>
      <c r="C61" s="552"/>
      <c r="D61" s="552"/>
      <c r="E61" s="552"/>
      <c r="F61" s="552"/>
      <c r="G61" s="552"/>
      <c r="H61" s="553" t="s">
        <v>31</v>
      </c>
      <c r="I61" s="552"/>
      <c r="J61" s="484"/>
    </row>
    <row r="62" spans="2:15" x14ac:dyDescent="0.3">
      <c r="I62" s="2742" t="str">
        <f>IF(I60="WARNING: Does not match Form 6A","Ensure that the total of the Permits, Fees &amp; Hookups and Impact/Mitigation Fees cells on Form 6A matches the total here.","")</f>
        <v/>
      </c>
    </row>
    <row r="63" spans="2:15" x14ac:dyDescent="0.3">
      <c r="I63" s="2743"/>
    </row>
    <row r="64" spans="2:15" x14ac:dyDescent="0.3">
      <c r="I64" s="2743"/>
      <c r="L64" s="1027"/>
      <c r="M64" s="1027"/>
      <c r="N64" s="1027"/>
      <c r="O64" s="1027"/>
    </row>
    <row r="65" spans="8:12" ht="15" customHeight="1" x14ac:dyDescent="0.3">
      <c r="I65" s="2743"/>
      <c r="J65" s="1027"/>
      <c r="K65" s="1027"/>
      <c r="L65" s="1027"/>
    </row>
    <row r="66" spans="8:12" x14ac:dyDescent="0.3">
      <c r="H66" s="1027"/>
      <c r="I66" s="1027"/>
      <c r="J66" s="1027"/>
      <c r="K66" s="1027"/>
      <c r="L66" s="1027"/>
    </row>
    <row r="67" spans="8:12" x14ac:dyDescent="0.3">
      <c r="H67" s="1027"/>
      <c r="I67" s="1027"/>
      <c r="J67" s="1027"/>
      <c r="K67" s="1027"/>
      <c r="L67" s="1027"/>
    </row>
    <row r="68" spans="8:12" x14ac:dyDescent="0.3">
      <c r="H68" s="1027"/>
      <c r="I68" s="1027"/>
      <c r="J68" s="1027"/>
      <c r="K68" s="1027"/>
      <c r="L68" s="1027"/>
    </row>
  </sheetData>
  <sheetProtection algorithmName="SHA-512" hashValue="RCXjhI8LLfR4FEePJ/LkbEtQaxAZwuWTmiMkiERWjnqH78Mw2BNI+izpteR0QKcVmyfngrCI2Xvl3fkcWIW0ZQ==" saltValue="DOh6Lg2BxQptiDI/iTESmQ==" spinCount="100000" sheet="1" formatCells="0" formatColumns="0" formatRows="0"/>
  <mergeCells count="6">
    <mergeCell ref="D45:E45"/>
    <mergeCell ref="D46:E46"/>
    <mergeCell ref="C8:I8"/>
    <mergeCell ref="C10:I10"/>
    <mergeCell ref="I62:I65"/>
    <mergeCell ref="C12:I12"/>
  </mergeCells>
  <pageMargins left="1" right="1" top="0.75" bottom="0.75" header="0.3" footer="0.3"/>
  <pageSetup scale="84" orientation="portrait" r:id="rId1"/>
  <headerFooter>
    <oddFooter>&amp;LForm 6E
Fee Schedule&amp;CCFA Forms&amp;REdition: 2017
Version: 1.0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B11:Z129"/>
  <sheetViews>
    <sheetView showGridLines="0" zoomScaleNormal="100" zoomScaleSheetLayoutView="100" workbookViewId="0">
      <selection activeCell="A12" sqref="A12:Z126"/>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10.6640625" style="399" customWidth="1"/>
    <col min="8" max="8" width="1.44140625" style="399" customWidth="1"/>
    <col min="9" max="9" width="7.88671875" style="399" customWidth="1"/>
    <col min="10" max="10" width="15" style="399" customWidth="1"/>
    <col min="11" max="11" width="13.44140625" style="399" customWidth="1"/>
    <col min="12" max="13" width="11.6640625" style="399" bestFit="1" customWidth="1"/>
    <col min="14" max="14" width="10.5546875" style="399" bestFit="1" customWidth="1"/>
    <col min="15" max="15" width="11.6640625" style="399" bestFit="1" customWidth="1"/>
    <col min="16" max="16" width="10.44140625" style="399" bestFit="1" customWidth="1"/>
    <col min="17" max="17" width="13.5546875" style="399" customWidth="1"/>
    <col min="18" max="19" width="11.5546875" style="399" customWidth="1"/>
    <col min="20" max="20" width="9.5546875" style="399" bestFit="1" customWidth="1"/>
    <col min="21" max="21" width="11.88671875" style="399" customWidth="1"/>
    <col min="22" max="22" width="9.109375" style="399"/>
    <col min="23" max="25" width="0" style="399" hidden="1" customWidth="1"/>
    <col min="26" max="26" width="1.6640625" style="399" customWidth="1"/>
    <col min="27" max="16384" width="9.109375" style="399"/>
  </cols>
  <sheetData>
    <row r="11" spans="2:26" ht="9" customHeight="1" thickBot="1" x14ac:dyDescent="0.35"/>
    <row r="12" spans="2:26" ht="9" customHeight="1" x14ac:dyDescent="0.3">
      <c r="B12" s="449"/>
      <c r="C12" s="450"/>
      <c r="D12" s="450"/>
      <c r="E12" s="450"/>
      <c r="F12" s="450"/>
      <c r="G12" s="450"/>
      <c r="H12" s="450"/>
      <c r="I12" s="405"/>
      <c r="J12" s="405"/>
      <c r="K12" s="405"/>
      <c r="L12" s="405"/>
      <c r="M12" s="450"/>
      <c r="N12" s="450"/>
      <c r="O12" s="26"/>
      <c r="P12" s="26"/>
      <c r="Q12" s="26"/>
      <c r="R12" s="26"/>
      <c r="S12" s="26"/>
      <c r="T12" s="26"/>
      <c r="U12" s="26"/>
      <c r="V12" s="26"/>
      <c r="W12" s="26"/>
      <c r="X12" s="26"/>
      <c r="Y12" s="26"/>
      <c r="Z12" s="27"/>
    </row>
    <row r="13" spans="2:26" ht="18" x14ac:dyDescent="0.35">
      <c r="B13" s="451"/>
      <c r="C13" s="2658" t="s">
        <v>1877</v>
      </c>
      <c r="D13" s="2659"/>
      <c r="E13" s="2659"/>
      <c r="F13" s="2659"/>
      <c r="G13" s="2659"/>
      <c r="H13" s="2659"/>
      <c r="I13" s="2659"/>
      <c r="J13" s="2659"/>
      <c r="K13" s="2659"/>
      <c r="L13" s="2659"/>
      <c r="M13" s="2659"/>
      <c r="N13" s="2659"/>
      <c r="O13" s="2659"/>
      <c r="P13" s="2659"/>
      <c r="Q13" s="2659"/>
      <c r="R13" s="2659"/>
      <c r="S13" s="2659"/>
      <c r="T13" s="2659"/>
      <c r="U13" s="2659"/>
      <c r="V13" s="2659"/>
      <c r="W13" s="2659"/>
      <c r="X13" s="2659"/>
      <c r="Y13" s="2660"/>
      <c r="Z13" s="33"/>
    </row>
    <row r="14" spans="2:26" ht="15" customHeight="1" x14ac:dyDescent="0.3">
      <c r="B14" s="451"/>
      <c r="C14" s="68"/>
      <c r="D14" s="68"/>
      <c r="E14" s="68"/>
      <c r="F14" s="68"/>
      <c r="G14" s="68"/>
      <c r="H14" s="68"/>
      <c r="I14" s="410"/>
      <c r="J14" s="2104"/>
      <c r="K14" s="410"/>
      <c r="L14" s="410"/>
      <c r="M14" s="68"/>
      <c r="N14" s="68"/>
      <c r="O14" s="18"/>
      <c r="P14" s="18"/>
      <c r="Q14" s="18"/>
      <c r="R14" s="18"/>
      <c r="S14" s="18"/>
      <c r="T14" s="18"/>
      <c r="U14" s="18"/>
      <c r="V14" s="18"/>
      <c r="W14" s="18"/>
      <c r="X14" s="18"/>
      <c r="Y14" s="18"/>
      <c r="Z14" s="33"/>
    </row>
    <row r="15" spans="2:26" ht="15" thickBot="1" x14ac:dyDescent="0.35">
      <c r="B15" s="452"/>
      <c r="C15" s="2668" t="str">
        <f>IF('1'!G5="","Enter Project Name on Form 1",(CONCATENATE("Project Name: ",'1'!G5)))</f>
        <v>Project Name: 6600 Roosevelt Way NE</v>
      </c>
      <c r="D15" s="2668"/>
      <c r="E15" s="2668"/>
      <c r="F15" s="2668"/>
      <c r="G15" s="2668"/>
      <c r="H15" s="2668"/>
      <c r="I15" s="2668"/>
      <c r="J15" s="2668"/>
      <c r="K15" s="2668"/>
      <c r="L15" s="2668"/>
      <c r="M15" s="2668"/>
      <c r="N15" s="2668"/>
      <c r="O15" s="45"/>
      <c r="P15" s="45"/>
      <c r="Q15" s="45"/>
      <c r="R15" s="45"/>
      <c r="S15" s="68"/>
      <c r="T15" s="68"/>
      <c r="U15" s="68"/>
      <c r="V15" s="68"/>
      <c r="W15" s="68"/>
      <c r="X15" s="68"/>
      <c r="Y15" s="68"/>
      <c r="Z15" s="454"/>
    </row>
    <row r="16" spans="2:26" ht="7.5" customHeight="1" x14ac:dyDescent="0.3">
      <c r="B16" s="452"/>
      <c r="C16" s="2122"/>
      <c r="D16" s="2122"/>
      <c r="E16" s="2122"/>
      <c r="F16" s="2122"/>
      <c r="G16" s="2122"/>
      <c r="H16" s="2122"/>
      <c r="I16" s="2122"/>
      <c r="J16" s="2122"/>
      <c r="K16" s="2122"/>
      <c r="L16" s="2122"/>
      <c r="M16" s="2122"/>
      <c r="N16" s="2122"/>
      <c r="O16" s="45"/>
      <c r="P16" s="45"/>
      <c r="Q16" s="45"/>
      <c r="R16" s="45"/>
      <c r="S16" s="68"/>
      <c r="T16" s="68"/>
      <c r="U16" s="68"/>
      <c r="V16" s="68"/>
      <c r="W16" s="68"/>
      <c r="X16" s="68"/>
      <c r="Y16" s="68"/>
      <c r="Z16" s="454"/>
    </row>
    <row r="17" spans="2:26" ht="15" thickBot="1" x14ac:dyDescent="0.35">
      <c r="B17" s="452"/>
      <c r="C17" s="2744" t="str">
        <f>IF('1'!G55="","Enter Site Name/ID Number on Form 1",(CONCATENATE("Site Name/ID: ",'1'!G55)))</f>
        <v>Site Name/ID: Site B - 9% Building</v>
      </c>
      <c r="D17" s="2744"/>
      <c r="E17" s="2744"/>
      <c r="F17" s="2744"/>
      <c r="G17" s="2744"/>
      <c r="H17" s="2744"/>
      <c r="I17" s="2744"/>
      <c r="J17" s="2744"/>
      <c r="K17" s="2744"/>
      <c r="L17" s="2744"/>
      <c r="M17" s="2744"/>
      <c r="N17" s="2744"/>
      <c r="O17" s="45"/>
      <c r="P17" s="45"/>
      <c r="Q17" s="45"/>
      <c r="R17" s="45"/>
      <c r="S17" s="68"/>
      <c r="T17" s="68"/>
      <c r="U17" s="68"/>
      <c r="V17" s="68"/>
      <c r="W17" s="68"/>
      <c r="X17" s="68"/>
      <c r="Y17" s="68"/>
      <c r="Z17" s="454"/>
    </row>
    <row r="18" spans="2:26" ht="7.5" customHeight="1" thickBot="1" x14ac:dyDescent="0.35">
      <c r="B18" s="452"/>
      <c r="C18" s="45"/>
      <c r="D18" s="17"/>
      <c r="E18" s="453"/>
      <c r="F18" s="453"/>
      <c r="G18" s="453"/>
      <c r="H18" s="453"/>
      <c r="I18" s="453"/>
      <c r="J18" s="453"/>
      <c r="K18" s="45"/>
      <c r="L18" s="453"/>
      <c r="M18" s="45"/>
      <c r="N18" s="45"/>
      <c r="O18" s="45"/>
      <c r="P18" s="45"/>
      <c r="Q18" s="45"/>
      <c r="R18" s="45"/>
      <c r="S18" s="68"/>
      <c r="T18" s="68"/>
      <c r="U18" s="68"/>
      <c r="V18" s="68"/>
      <c r="W18" s="68"/>
      <c r="X18" s="68"/>
      <c r="Y18" s="68"/>
      <c r="Z18" s="454"/>
    </row>
    <row r="19" spans="2:26" x14ac:dyDescent="0.3">
      <c r="B19" s="451"/>
      <c r="C19" s="134" t="s">
        <v>141</v>
      </c>
      <c r="D19" s="1436"/>
      <c r="E19" s="453"/>
      <c r="F19" s="1958" t="s">
        <v>2059</v>
      </c>
      <c r="G19" s="410"/>
      <c r="H19" s="410"/>
      <c r="I19" s="2661" t="s">
        <v>142</v>
      </c>
      <c r="J19" s="2661" t="s">
        <v>143</v>
      </c>
      <c r="K19" s="2680" t="s">
        <v>50</v>
      </c>
      <c r="L19" s="2681"/>
      <c r="M19" s="2681"/>
      <c r="N19" s="2681"/>
      <c r="O19" s="2681"/>
      <c r="P19" s="2681"/>
      <c r="Q19" s="2681"/>
      <c r="R19" s="455"/>
      <c r="S19" s="2682" t="s">
        <v>51</v>
      </c>
      <c r="T19" s="2682"/>
      <c r="U19" s="2682"/>
      <c r="V19" s="2682"/>
      <c r="W19" s="2682"/>
      <c r="X19" s="2682"/>
      <c r="Y19" s="2683"/>
      <c r="Z19" s="454"/>
    </row>
    <row r="20" spans="2:26" ht="15" customHeight="1" x14ac:dyDescent="0.3">
      <c r="B20" s="451"/>
      <c r="C20" s="45"/>
      <c r="D20" s="453"/>
      <c r="E20" s="453"/>
      <c r="F20" s="453"/>
      <c r="G20" s="453"/>
      <c r="H20" s="453"/>
      <c r="I20" s="2662"/>
      <c r="J20" s="2662"/>
      <c r="K20" s="2684" t="s">
        <v>145</v>
      </c>
      <c r="L20" s="456" t="s">
        <v>146</v>
      </c>
      <c r="M20" s="456" t="s">
        <v>146</v>
      </c>
      <c r="N20" s="456" t="s">
        <v>146</v>
      </c>
      <c r="O20" s="456" t="s">
        <v>146</v>
      </c>
      <c r="P20" s="456" t="s">
        <v>146</v>
      </c>
      <c r="Q20" s="456" t="s">
        <v>146</v>
      </c>
      <c r="R20" s="457"/>
      <c r="S20" s="2686" t="s">
        <v>499</v>
      </c>
      <c r="T20" s="456" t="s">
        <v>146</v>
      </c>
      <c r="U20" s="456" t="s">
        <v>146</v>
      </c>
      <c r="V20" s="456" t="s">
        <v>146</v>
      </c>
      <c r="W20" s="456" t="s">
        <v>146</v>
      </c>
      <c r="X20" s="456" t="s">
        <v>146</v>
      </c>
      <c r="Y20" s="458" t="s">
        <v>146</v>
      </c>
      <c r="Z20" s="454"/>
    </row>
    <row r="21" spans="2:26" x14ac:dyDescent="0.3">
      <c r="B21" s="451"/>
      <c r="C21" s="45"/>
      <c r="D21" s="453"/>
      <c r="E21" s="453"/>
      <c r="F21" s="453"/>
      <c r="G21" s="453"/>
      <c r="H21" s="453"/>
      <c r="I21" s="2662"/>
      <c r="J21" s="2662"/>
      <c r="K21" s="2684"/>
      <c r="L21" s="2678" t="s">
        <v>2046</v>
      </c>
      <c r="M21" s="2678" t="s">
        <v>2052</v>
      </c>
      <c r="N21" s="2678" t="s">
        <v>1952</v>
      </c>
      <c r="O21" s="2678" t="s">
        <v>2054</v>
      </c>
      <c r="P21" s="2678" t="s">
        <v>2049</v>
      </c>
      <c r="Q21" s="2691" t="s">
        <v>2053</v>
      </c>
      <c r="R21" s="457"/>
      <c r="S21" s="2686"/>
      <c r="T21" s="2678" t="s">
        <v>2056</v>
      </c>
      <c r="U21" s="2678" t="s">
        <v>2057</v>
      </c>
      <c r="V21" s="2678"/>
      <c r="W21" s="2678"/>
      <c r="X21" s="2678"/>
      <c r="Y21" s="2676"/>
      <c r="Z21" s="454"/>
    </row>
    <row r="22" spans="2:26" ht="24" customHeight="1" thickBot="1" x14ac:dyDescent="0.35">
      <c r="B22" s="451"/>
      <c r="C22" s="45"/>
      <c r="D22" s="453"/>
      <c r="E22" s="71"/>
      <c r="F22" s="71"/>
      <c r="G22" s="71"/>
      <c r="H22" s="71"/>
      <c r="I22" s="2663"/>
      <c r="J22" s="2663"/>
      <c r="K22" s="2685"/>
      <c r="L22" s="2679"/>
      <c r="M22" s="2679"/>
      <c r="N22" s="2679"/>
      <c r="O22" s="2679"/>
      <c r="P22" s="2679"/>
      <c r="Q22" s="2692"/>
      <c r="R22" s="459"/>
      <c r="S22" s="2687"/>
      <c r="T22" s="2679"/>
      <c r="U22" s="2679"/>
      <c r="V22" s="2679"/>
      <c r="W22" s="2679"/>
      <c r="X22" s="2679"/>
      <c r="Y22" s="2677"/>
      <c r="Z22" s="409"/>
    </row>
    <row r="23" spans="2:26" ht="15" thickBot="1" x14ac:dyDescent="0.35">
      <c r="B23" s="451"/>
      <c r="C23" s="78" t="s">
        <v>147</v>
      </c>
      <c r="D23" s="78"/>
      <c r="E23" s="78"/>
      <c r="F23" s="78"/>
      <c r="G23" s="78"/>
      <c r="H23" s="47"/>
      <c r="I23" s="47"/>
      <c r="J23" s="47"/>
      <c r="K23" s="47"/>
      <c r="L23" s="453"/>
      <c r="M23" s="45"/>
      <c r="N23" s="45"/>
      <c r="O23" s="15"/>
      <c r="P23" s="460"/>
      <c r="Q23" s="460"/>
      <c r="R23" s="68"/>
      <c r="S23" s="68"/>
      <c r="T23" s="460"/>
      <c r="U23" s="45"/>
      <c r="V23" s="45"/>
      <c r="W23" s="15"/>
      <c r="X23" s="460"/>
      <c r="Y23" s="460"/>
      <c r="Z23" s="409"/>
    </row>
    <row r="24" spans="2:26" x14ac:dyDescent="0.3">
      <c r="B24" s="451"/>
      <c r="C24" s="45"/>
      <c r="D24" s="151" t="s">
        <v>148</v>
      </c>
      <c r="E24" s="151"/>
      <c r="F24" s="151"/>
      <c r="G24" s="151"/>
      <c r="H24" s="151"/>
      <c r="I24" s="830">
        <f t="shared" ref="I24:I30" si="0">IFERROR(J24/J$122," ")</f>
        <v>8.7111942798432707E-2</v>
      </c>
      <c r="J24" s="1393">
        <f>SUM(K24+S24)</f>
        <v>3664844</v>
      </c>
      <c r="K24" s="831">
        <f t="shared" ref="K24:K29" si="1">SUM(L24:Q24)</f>
        <v>1427511</v>
      </c>
      <c r="L24" s="832">
        <v>0</v>
      </c>
      <c r="M24" s="833">
        <v>708847</v>
      </c>
      <c r="N24" s="833">
        <v>0</v>
      </c>
      <c r="O24" s="833">
        <v>0</v>
      </c>
      <c r="P24" s="833">
        <v>0</v>
      </c>
      <c r="Q24" s="833">
        <v>718664</v>
      </c>
      <c r="R24" s="461"/>
      <c r="S24" s="842">
        <f t="shared" ref="S24:S29" si="2">SUM(T24:Y24)</f>
        <v>2237333</v>
      </c>
      <c r="T24" s="832">
        <v>2237333</v>
      </c>
      <c r="U24" s="833">
        <v>0</v>
      </c>
      <c r="V24" s="833"/>
      <c r="W24" s="833"/>
      <c r="X24" s="833"/>
      <c r="Y24" s="843"/>
      <c r="Z24" s="409"/>
    </row>
    <row r="25" spans="2:26" x14ac:dyDescent="0.3">
      <c r="B25" s="451"/>
      <c r="C25" s="45"/>
      <c r="D25" s="153" t="s">
        <v>149</v>
      </c>
      <c r="E25" s="153"/>
      <c r="F25" s="153"/>
      <c r="G25" s="153"/>
      <c r="H25" s="153"/>
      <c r="I25" s="834">
        <f t="shared" si="0"/>
        <v>0</v>
      </c>
      <c r="J25" s="1391">
        <f t="shared" ref="J25:J29" si="3">SUM(K25+S25)</f>
        <v>0</v>
      </c>
      <c r="K25" s="835">
        <f t="shared" si="1"/>
        <v>0</v>
      </c>
      <c r="L25" s="836">
        <v>0</v>
      </c>
      <c r="M25" s="837">
        <v>0</v>
      </c>
      <c r="N25" s="837">
        <v>0</v>
      </c>
      <c r="O25" s="837">
        <v>0</v>
      </c>
      <c r="P25" s="837">
        <v>0</v>
      </c>
      <c r="Q25" s="837">
        <v>0</v>
      </c>
      <c r="R25" s="462"/>
      <c r="S25" s="844">
        <f t="shared" si="2"/>
        <v>0</v>
      </c>
      <c r="T25" s="836">
        <v>0</v>
      </c>
      <c r="U25" s="837">
        <v>0</v>
      </c>
      <c r="V25" s="837"/>
      <c r="W25" s="837"/>
      <c r="X25" s="837"/>
      <c r="Y25" s="845"/>
      <c r="Z25" s="409"/>
    </row>
    <row r="26" spans="2:26" x14ac:dyDescent="0.3">
      <c r="B26" s="451"/>
      <c r="C26" s="45"/>
      <c r="D26" s="44" t="s">
        <v>150</v>
      </c>
      <c r="E26" s="44"/>
      <c r="F26" s="44"/>
      <c r="G26" s="44"/>
      <c r="H26" s="44"/>
      <c r="I26" s="834">
        <f t="shared" si="0"/>
        <v>0</v>
      </c>
      <c r="J26" s="1391">
        <f t="shared" si="3"/>
        <v>0</v>
      </c>
      <c r="K26" s="835">
        <f t="shared" si="1"/>
        <v>0</v>
      </c>
      <c r="L26" s="836">
        <v>0</v>
      </c>
      <c r="M26" s="837">
        <v>0</v>
      </c>
      <c r="N26" s="837">
        <v>0</v>
      </c>
      <c r="O26" s="837">
        <v>0</v>
      </c>
      <c r="P26" s="837">
        <v>0</v>
      </c>
      <c r="Q26" s="837">
        <v>0</v>
      </c>
      <c r="R26" s="462"/>
      <c r="S26" s="844">
        <f t="shared" si="2"/>
        <v>0</v>
      </c>
      <c r="T26" s="836">
        <v>0</v>
      </c>
      <c r="U26" s="837">
        <v>0</v>
      </c>
      <c r="V26" s="837"/>
      <c r="W26" s="837"/>
      <c r="X26" s="837"/>
      <c r="Y26" s="845"/>
      <c r="Z26" s="409"/>
    </row>
    <row r="27" spans="2:26" x14ac:dyDescent="0.3">
      <c r="B27" s="451"/>
      <c r="C27" s="45"/>
      <c r="D27" s="44" t="s">
        <v>151</v>
      </c>
      <c r="E27" s="44"/>
      <c r="F27" s="44"/>
      <c r="G27" s="44"/>
      <c r="H27" s="44"/>
      <c r="I27" s="834">
        <f t="shared" si="0"/>
        <v>6.3075058968382024E-4</v>
      </c>
      <c r="J27" s="1391">
        <f t="shared" si="3"/>
        <v>26536</v>
      </c>
      <c r="K27" s="835">
        <f t="shared" si="1"/>
        <v>16110</v>
      </c>
      <c r="L27" s="836">
        <v>16110</v>
      </c>
      <c r="M27" s="837">
        <v>0</v>
      </c>
      <c r="N27" s="837">
        <v>0</v>
      </c>
      <c r="O27" s="837">
        <v>0</v>
      </c>
      <c r="P27" s="837">
        <v>0</v>
      </c>
      <c r="Q27" s="837">
        <v>0</v>
      </c>
      <c r="R27" s="462"/>
      <c r="S27" s="844">
        <f t="shared" si="2"/>
        <v>10426</v>
      </c>
      <c r="T27" s="836">
        <v>10426</v>
      </c>
      <c r="U27" s="837">
        <v>0</v>
      </c>
      <c r="V27" s="837"/>
      <c r="W27" s="837"/>
      <c r="X27" s="837"/>
      <c r="Y27" s="845"/>
      <c r="Z27" s="409"/>
    </row>
    <row r="28" spans="2:26" x14ac:dyDescent="0.3">
      <c r="B28" s="451"/>
      <c r="C28" s="45"/>
      <c r="D28" s="50" t="s">
        <v>152</v>
      </c>
      <c r="E28" s="50"/>
      <c r="F28" s="50"/>
      <c r="G28" s="50"/>
      <c r="H28" s="50"/>
      <c r="I28" s="834">
        <f t="shared" si="0"/>
        <v>0</v>
      </c>
      <c r="J28" s="1391">
        <f t="shared" si="3"/>
        <v>0</v>
      </c>
      <c r="K28" s="835">
        <f t="shared" si="1"/>
        <v>0</v>
      </c>
      <c r="L28" s="836">
        <v>0</v>
      </c>
      <c r="M28" s="837">
        <v>0</v>
      </c>
      <c r="N28" s="837">
        <v>0</v>
      </c>
      <c r="O28" s="837">
        <v>0</v>
      </c>
      <c r="P28" s="837">
        <v>0</v>
      </c>
      <c r="Q28" s="837">
        <v>0</v>
      </c>
      <c r="R28" s="462"/>
      <c r="S28" s="844">
        <f t="shared" si="2"/>
        <v>0</v>
      </c>
      <c r="T28" s="836">
        <v>0</v>
      </c>
      <c r="U28" s="837">
        <v>0</v>
      </c>
      <c r="V28" s="837"/>
      <c r="W28" s="837"/>
      <c r="X28" s="837"/>
      <c r="Y28" s="845"/>
      <c r="Z28" s="409"/>
    </row>
    <row r="29" spans="2:26" x14ac:dyDescent="0.3">
      <c r="B29" s="451"/>
      <c r="C29" s="45"/>
      <c r="D29" s="50" t="s">
        <v>422</v>
      </c>
      <c r="E29" s="2688"/>
      <c r="F29" s="2689"/>
      <c r="G29" s="2690"/>
      <c r="H29" s="161"/>
      <c r="I29" s="838">
        <f t="shared" si="0"/>
        <v>0</v>
      </c>
      <c r="J29" s="1392">
        <f t="shared" si="3"/>
        <v>0</v>
      </c>
      <c r="K29" s="839">
        <f t="shared" si="1"/>
        <v>0</v>
      </c>
      <c r="L29" s="840">
        <v>0</v>
      </c>
      <c r="M29" s="841">
        <v>0</v>
      </c>
      <c r="N29" s="841">
        <v>0</v>
      </c>
      <c r="O29" s="841">
        <v>0</v>
      </c>
      <c r="P29" s="841">
        <v>0</v>
      </c>
      <c r="Q29" s="841">
        <v>0</v>
      </c>
      <c r="R29" s="462"/>
      <c r="S29" s="846">
        <f t="shared" si="2"/>
        <v>0</v>
      </c>
      <c r="T29" s="840">
        <v>0</v>
      </c>
      <c r="U29" s="841">
        <v>0</v>
      </c>
      <c r="V29" s="841"/>
      <c r="W29" s="841"/>
      <c r="X29" s="841"/>
      <c r="Y29" s="847"/>
      <c r="Z29" s="409"/>
    </row>
    <row r="30" spans="2:26" ht="15" thickBot="1" x14ac:dyDescent="0.35">
      <c r="B30" s="451"/>
      <c r="C30" s="45"/>
      <c r="D30" s="44"/>
      <c r="E30" s="44"/>
      <c r="F30" s="44"/>
      <c r="G30" s="48" t="s">
        <v>153</v>
      </c>
      <c r="H30" s="48"/>
      <c r="I30" s="353">
        <f t="shared" si="0"/>
        <v>8.7742693388116536E-2</v>
      </c>
      <c r="J30" s="36">
        <f t="shared" ref="J30:Q30" si="4">SUM(J24:J29)</f>
        <v>3691380</v>
      </c>
      <c r="K30" s="22">
        <f t="shared" si="4"/>
        <v>1443621</v>
      </c>
      <c r="L30" s="1449">
        <f t="shared" si="4"/>
        <v>16110</v>
      </c>
      <c r="M30" s="1450">
        <f t="shared" si="4"/>
        <v>708847</v>
      </c>
      <c r="N30" s="1450">
        <f t="shared" si="4"/>
        <v>0</v>
      </c>
      <c r="O30" s="1450">
        <f t="shared" si="4"/>
        <v>0</v>
      </c>
      <c r="P30" s="1450">
        <f t="shared" si="4"/>
        <v>0</v>
      </c>
      <c r="Q30" s="1450">
        <f t="shared" si="4"/>
        <v>718664</v>
      </c>
      <c r="R30" s="463"/>
      <c r="S30" s="464">
        <f t="shared" ref="S30:Y30" si="5">SUM(S24:S29)</f>
        <v>2247759</v>
      </c>
      <c r="T30" s="1449">
        <f t="shared" si="5"/>
        <v>2247759</v>
      </c>
      <c r="U30" s="1450">
        <f t="shared" si="5"/>
        <v>0</v>
      </c>
      <c r="V30" s="1450">
        <f t="shared" si="5"/>
        <v>0</v>
      </c>
      <c r="W30" s="1450">
        <f t="shared" si="5"/>
        <v>0</v>
      </c>
      <c r="X30" s="1450">
        <f t="shared" si="5"/>
        <v>0</v>
      </c>
      <c r="Y30" s="1451">
        <f t="shared" si="5"/>
        <v>0</v>
      </c>
      <c r="Z30" s="409"/>
    </row>
    <row r="31" spans="2:26" ht="3.75" customHeight="1" x14ac:dyDescent="0.3">
      <c r="B31" s="451"/>
      <c r="C31" s="44"/>
      <c r="D31" s="44"/>
      <c r="E31" s="44"/>
      <c r="F31" s="44"/>
      <c r="G31" s="44"/>
      <c r="H31" s="44"/>
      <c r="I31" s="453"/>
      <c r="J31" s="465"/>
      <c r="K31" s="45"/>
      <c r="L31" s="16"/>
      <c r="M31" s="16"/>
      <c r="N31" s="16"/>
      <c r="O31" s="16"/>
      <c r="P31" s="45"/>
      <c r="Q31" s="16"/>
      <c r="R31" s="462"/>
      <c r="S31" s="16"/>
      <c r="T31" s="16"/>
      <c r="U31" s="16"/>
      <c r="V31" s="16"/>
      <c r="W31" s="16"/>
      <c r="X31" s="45"/>
      <c r="Y31" s="16"/>
      <c r="Z31" s="409"/>
    </row>
    <row r="32" spans="2:26" ht="15" thickBot="1" x14ac:dyDescent="0.35">
      <c r="B32" s="451"/>
      <c r="C32" s="78" t="s">
        <v>154</v>
      </c>
      <c r="D32" s="78"/>
      <c r="E32" s="78"/>
      <c r="F32" s="78"/>
      <c r="G32" s="78"/>
      <c r="H32" s="47"/>
      <c r="I32" s="47"/>
      <c r="J32" s="47"/>
      <c r="K32" s="47"/>
      <c r="L32" s="453"/>
      <c r="M32" s="45"/>
      <c r="N32" s="45"/>
      <c r="O32" s="15"/>
      <c r="P32" s="460"/>
      <c r="Q32" s="460"/>
      <c r="R32" s="457"/>
      <c r="S32" s="68"/>
      <c r="T32" s="460"/>
      <c r="U32" s="45"/>
      <c r="V32" s="45"/>
      <c r="W32" s="15"/>
      <c r="X32" s="460"/>
      <c r="Y32" s="460"/>
      <c r="Z32" s="409"/>
    </row>
    <row r="33" spans="2:26" x14ac:dyDescent="0.3">
      <c r="B33" s="451"/>
      <c r="C33" s="45"/>
      <c r="D33" s="155" t="s">
        <v>155</v>
      </c>
      <c r="E33" s="155"/>
      <c r="F33" s="155"/>
      <c r="G33" s="155"/>
      <c r="H33" s="155"/>
      <c r="I33" s="830">
        <f t="shared" ref="I33:I49" si="6">IFERROR(J33/J$122," ")</f>
        <v>0</v>
      </c>
      <c r="J33" s="1393">
        <f t="shared" ref="J33:J48" si="7">SUM(K33+S33)</f>
        <v>0</v>
      </c>
      <c r="K33" s="848">
        <f t="shared" ref="K33:K48" si="8">SUM(L33:Q33)</f>
        <v>0</v>
      </c>
      <c r="L33" s="832">
        <v>0</v>
      </c>
      <c r="M33" s="849">
        <v>0</v>
      </c>
      <c r="N33" s="849">
        <v>0</v>
      </c>
      <c r="O33" s="849">
        <v>0</v>
      </c>
      <c r="P33" s="849">
        <v>0</v>
      </c>
      <c r="Q33" s="849">
        <v>0</v>
      </c>
      <c r="R33" s="461"/>
      <c r="S33" s="855">
        <f t="shared" ref="S33:S48" si="9">SUM(T33:Y33)</f>
        <v>0</v>
      </c>
      <c r="T33" s="832">
        <v>0</v>
      </c>
      <c r="U33" s="849">
        <v>0</v>
      </c>
      <c r="V33" s="849"/>
      <c r="W33" s="849"/>
      <c r="X33" s="849"/>
      <c r="Y33" s="843"/>
      <c r="Z33" s="409"/>
    </row>
    <row r="34" spans="2:26" x14ac:dyDescent="0.3">
      <c r="B34" s="451"/>
      <c r="C34" s="45"/>
      <c r="D34" s="44" t="s">
        <v>156</v>
      </c>
      <c r="E34" s="44"/>
      <c r="F34" s="44"/>
      <c r="G34" s="44"/>
      <c r="H34" s="44"/>
      <c r="I34" s="834">
        <f t="shared" si="6"/>
        <v>0.6768643859324972</v>
      </c>
      <c r="J34" s="1391">
        <f t="shared" si="7"/>
        <v>28476031</v>
      </c>
      <c r="K34" s="850">
        <f t="shared" si="8"/>
        <v>18070351</v>
      </c>
      <c r="L34" s="836">
        <v>2118890</v>
      </c>
      <c r="M34" s="851"/>
      <c r="N34" s="851">
        <v>674168</v>
      </c>
      <c r="O34" s="851">
        <v>1503744</v>
      </c>
      <c r="P34" s="851">
        <v>0</v>
      </c>
      <c r="Q34" s="851">
        <v>13773549</v>
      </c>
      <c r="R34" s="462"/>
      <c r="S34" s="844">
        <f t="shared" si="9"/>
        <v>10405680</v>
      </c>
      <c r="T34" s="836">
        <v>3302241</v>
      </c>
      <c r="U34" s="851">
        <v>7103439</v>
      </c>
      <c r="V34" s="851"/>
      <c r="W34" s="851"/>
      <c r="X34" s="851"/>
      <c r="Y34" s="845"/>
      <c r="Z34" s="409"/>
    </row>
    <row r="35" spans="2:26" x14ac:dyDescent="0.3">
      <c r="B35" s="451"/>
      <c r="C35" s="45"/>
      <c r="D35" s="44" t="s">
        <v>157</v>
      </c>
      <c r="E35" s="44"/>
      <c r="F35" s="44"/>
      <c r="G35" s="44"/>
      <c r="H35" s="44"/>
      <c r="I35" s="834">
        <f t="shared" si="6"/>
        <v>0</v>
      </c>
      <c r="J35" s="1391">
        <f t="shared" si="7"/>
        <v>0</v>
      </c>
      <c r="K35" s="850">
        <f t="shared" si="8"/>
        <v>0</v>
      </c>
      <c r="L35" s="836">
        <v>0</v>
      </c>
      <c r="M35" s="851">
        <v>0</v>
      </c>
      <c r="N35" s="851">
        <v>0</v>
      </c>
      <c r="O35" s="851">
        <v>0</v>
      </c>
      <c r="P35" s="851">
        <v>0</v>
      </c>
      <c r="Q35" s="851">
        <v>0</v>
      </c>
      <c r="R35" s="462"/>
      <c r="S35" s="844">
        <f t="shared" si="9"/>
        <v>0</v>
      </c>
      <c r="T35" s="836">
        <v>0</v>
      </c>
      <c r="U35" s="851">
        <v>0</v>
      </c>
      <c r="V35" s="851"/>
      <c r="W35" s="851"/>
      <c r="X35" s="851"/>
      <c r="Y35" s="845"/>
      <c r="Z35" s="409"/>
    </row>
    <row r="36" spans="2:26" x14ac:dyDescent="0.3">
      <c r="B36" s="451"/>
      <c r="C36" s="45"/>
      <c r="D36" s="44" t="s">
        <v>158</v>
      </c>
      <c r="E36" s="44"/>
      <c r="F36" s="44"/>
      <c r="G36" s="44"/>
      <c r="H36" s="44"/>
      <c r="I36" s="834">
        <f t="shared" si="6"/>
        <v>0</v>
      </c>
      <c r="J36" s="1391">
        <f t="shared" si="7"/>
        <v>0</v>
      </c>
      <c r="K36" s="850">
        <f t="shared" si="8"/>
        <v>0</v>
      </c>
      <c r="L36" s="836">
        <v>0</v>
      </c>
      <c r="M36" s="851">
        <v>0</v>
      </c>
      <c r="N36" s="851">
        <v>0</v>
      </c>
      <c r="O36" s="851">
        <v>0</v>
      </c>
      <c r="P36" s="851">
        <v>0</v>
      </c>
      <c r="Q36" s="851">
        <v>0</v>
      </c>
      <c r="R36" s="462"/>
      <c r="S36" s="844">
        <f t="shared" si="9"/>
        <v>0</v>
      </c>
      <c r="T36" s="836">
        <v>0</v>
      </c>
      <c r="U36" s="851">
        <v>0</v>
      </c>
      <c r="V36" s="851"/>
      <c r="W36" s="851"/>
      <c r="X36" s="851"/>
      <c r="Y36" s="845"/>
      <c r="Z36" s="409"/>
    </row>
    <row r="37" spans="2:26" x14ac:dyDescent="0.3">
      <c r="B37" s="451"/>
      <c r="C37" s="45"/>
      <c r="D37" s="44" t="s">
        <v>159</v>
      </c>
      <c r="E37" s="44"/>
      <c r="F37" s="44"/>
      <c r="G37" s="44"/>
      <c r="H37" s="44"/>
      <c r="I37" s="834">
        <f t="shared" si="6"/>
        <v>0</v>
      </c>
      <c r="J37" s="1391">
        <f t="shared" si="7"/>
        <v>0</v>
      </c>
      <c r="K37" s="850">
        <f t="shared" si="8"/>
        <v>0</v>
      </c>
      <c r="L37" s="836">
        <v>0</v>
      </c>
      <c r="M37" s="851">
        <v>0</v>
      </c>
      <c r="N37" s="851">
        <v>0</v>
      </c>
      <c r="O37" s="851">
        <v>0</v>
      </c>
      <c r="P37" s="851">
        <v>0</v>
      </c>
      <c r="Q37" s="851">
        <v>0</v>
      </c>
      <c r="R37" s="462"/>
      <c r="S37" s="844">
        <f t="shared" si="9"/>
        <v>0</v>
      </c>
      <c r="T37" s="836">
        <v>0</v>
      </c>
      <c r="U37" s="851">
        <v>0</v>
      </c>
      <c r="V37" s="851"/>
      <c r="W37" s="851"/>
      <c r="X37" s="851"/>
      <c r="Y37" s="845"/>
      <c r="Z37" s="409"/>
    </row>
    <row r="38" spans="2:26" x14ac:dyDescent="0.3">
      <c r="B38" s="451"/>
      <c r="C38" s="45"/>
      <c r="D38" s="44" t="s">
        <v>498</v>
      </c>
      <c r="E38" s="44"/>
      <c r="F38" s="44"/>
      <c r="G38" s="352">
        <f>IFERROR(J38/(J34+J36+J37+J46),)</f>
        <v>5.5221003236019792E-2</v>
      </c>
      <c r="H38" s="53"/>
      <c r="I38" s="834">
        <f t="shared" si="6"/>
        <v>3.7377130445924979E-2</v>
      </c>
      <c r="J38" s="1391">
        <f t="shared" si="7"/>
        <v>1572475</v>
      </c>
      <c r="K38" s="850">
        <f t="shared" si="8"/>
        <v>997729</v>
      </c>
      <c r="L38" s="836">
        <v>70000</v>
      </c>
      <c r="M38" s="851"/>
      <c r="N38" s="851">
        <v>0</v>
      </c>
      <c r="O38" s="851">
        <v>75000</v>
      </c>
      <c r="P38" s="851">
        <v>0</v>
      </c>
      <c r="Q38" s="851">
        <v>852729</v>
      </c>
      <c r="R38" s="462"/>
      <c r="S38" s="844">
        <f t="shared" si="9"/>
        <v>574746</v>
      </c>
      <c r="T38" s="836">
        <v>0</v>
      </c>
      <c r="U38" s="851">
        <v>574746</v>
      </c>
      <c r="V38" s="851"/>
      <c r="W38" s="851"/>
      <c r="X38" s="851"/>
      <c r="Y38" s="845"/>
      <c r="Z38" s="409"/>
    </row>
    <row r="39" spans="2:26" x14ac:dyDescent="0.3">
      <c r="B39" s="451"/>
      <c r="C39" s="45"/>
      <c r="D39" s="44" t="s">
        <v>161</v>
      </c>
      <c r="E39" s="44"/>
      <c r="F39" s="44"/>
      <c r="G39" s="352">
        <f>IFERROR(J39/(J35+J36+J37+J46),)</f>
        <v>0</v>
      </c>
      <c r="H39" s="53"/>
      <c r="I39" s="834">
        <f t="shared" si="6"/>
        <v>0</v>
      </c>
      <c r="J39" s="1391">
        <f t="shared" si="7"/>
        <v>0</v>
      </c>
      <c r="K39" s="850">
        <f t="shared" si="8"/>
        <v>0</v>
      </c>
      <c r="L39" s="836">
        <v>0</v>
      </c>
      <c r="M39" s="851">
        <v>0</v>
      </c>
      <c r="N39" s="851">
        <v>0</v>
      </c>
      <c r="O39" s="851">
        <v>0</v>
      </c>
      <c r="P39" s="851">
        <v>0</v>
      </c>
      <c r="Q39" s="851">
        <v>0</v>
      </c>
      <c r="R39" s="462"/>
      <c r="S39" s="844">
        <f t="shared" si="9"/>
        <v>0</v>
      </c>
      <c r="T39" s="836">
        <v>0</v>
      </c>
      <c r="U39" s="851">
        <v>0</v>
      </c>
      <c r="V39" s="851"/>
      <c r="W39" s="851"/>
      <c r="X39" s="851"/>
      <c r="Y39" s="845"/>
      <c r="Z39" s="409"/>
    </row>
    <row r="40" spans="2:26" x14ac:dyDescent="0.3">
      <c r="B40" s="451"/>
      <c r="C40" s="45"/>
      <c r="D40" s="44" t="s">
        <v>162</v>
      </c>
      <c r="E40" s="44"/>
      <c r="F40" s="44"/>
      <c r="G40" s="44"/>
      <c r="H40" s="44"/>
      <c r="I40" s="834">
        <f t="shared" si="6"/>
        <v>0</v>
      </c>
      <c r="J40" s="1391">
        <f t="shared" si="7"/>
        <v>0</v>
      </c>
      <c r="K40" s="850">
        <f t="shared" si="8"/>
        <v>0</v>
      </c>
      <c r="L40" s="836">
        <v>0</v>
      </c>
      <c r="M40" s="851">
        <v>0</v>
      </c>
      <c r="N40" s="851">
        <v>0</v>
      </c>
      <c r="O40" s="851">
        <v>0</v>
      </c>
      <c r="P40" s="851">
        <v>0</v>
      </c>
      <c r="Q40" s="851">
        <v>0</v>
      </c>
      <c r="R40" s="462"/>
      <c r="S40" s="844">
        <f t="shared" si="9"/>
        <v>0</v>
      </c>
      <c r="T40" s="836">
        <v>0</v>
      </c>
      <c r="U40" s="851">
        <v>0</v>
      </c>
      <c r="V40" s="851"/>
      <c r="W40" s="851"/>
      <c r="X40" s="851"/>
      <c r="Y40" s="845"/>
      <c r="Z40" s="409"/>
    </row>
    <row r="41" spans="2:26" x14ac:dyDescent="0.3">
      <c r="B41" s="451"/>
      <c r="C41" s="45"/>
      <c r="D41" s="44" t="s">
        <v>163</v>
      </c>
      <c r="E41" s="44"/>
      <c r="F41" s="44"/>
      <c r="G41" s="44"/>
      <c r="H41" s="44"/>
      <c r="I41" s="834">
        <f t="shared" si="6"/>
        <v>0</v>
      </c>
      <c r="J41" s="1391">
        <f t="shared" si="7"/>
        <v>0</v>
      </c>
      <c r="K41" s="850">
        <f t="shared" si="8"/>
        <v>0</v>
      </c>
      <c r="L41" s="836">
        <v>0</v>
      </c>
      <c r="M41" s="851">
        <v>0</v>
      </c>
      <c r="N41" s="851">
        <v>0</v>
      </c>
      <c r="O41" s="851">
        <v>0</v>
      </c>
      <c r="P41" s="851">
        <v>0</v>
      </c>
      <c r="Q41" s="851">
        <v>0</v>
      </c>
      <c r="R41" s="462"/>
      <c r="S41" s="844">
        <f t="shared" si="9"/>
        <v>0</v>
      </c>
      <c r="T41" s="836">
        <v>0</v>
      </c>
      <c r="U41" s="851">
        <v>0</v>
      </c>
      <c r="V41" s="851"/>
      <c r="W41" s="851"/>
      <c r="X41" s="851"/>
      <c r="Y41" s="845"/>
      <c r="Z41" s="409"/>
    </row>
    <row r="42" spans="2:26" x14ac:dyDescent="0.3">
      <c r="B42" s="451"/>
      <c r="C42" s="45"/>
      <c r="D42" s="44" t="s">
        <v>164</v>
      </c>
      <c r="E42" s="44"/>
      <c r="F42" s="44"/>
      <c r="G42" s="44"/>
      <c r="H42" s="44"/>
      <c r="I42" s="834">
        <f t="shared" si="6"/>
        <v>0</v>
      </c>
      <c r="J42" s="1391">
        <f t="shared" si="7"/>
        <v>0</v>
      </c>
      <c r="K42" s="850">
        <f t="shared" si="8"/>
        <v>0</v>
      </c>
      <c r="L42" s="836">
        <v>0</v>
      </c>
      <c r="M42" s="851">
        <v>0</v>
      </c>
      <c r="N42" s="851">
        <v>0</v>
      </c>
      <c r="O42" s="851">
        <v>0</v>
      </c>
      <c r="P42" s="851">
        <v>0</v>
      </c>
      <c r="Q42" s="851">
        <v>0</v>
      </c>
      <c r="R42" s="462"/>
      <c r="S42" s="844">
        <f t="shared" si="9"/>
        <v>0</v>
      </c>
      <c r="T42" s="836">
        <v>0</v>
      </c>
      <c r="U42" s="851">
        <v>0</v>
      </c>
      <c r="V42" s="851"/>
      <c r="W42" s="851"/>
      <c r="X42" s="851"/>
      <c r="Y42" s="845"/>
      <c r="Z42" s="409"/>
    </row>
    <row r="43" spans="2:26" x14ac:dyDescent="0.3">
      <c r="B43" s="451"/>
      <c r="C43" s="45"/>
      <c r="D43" s="44" t="s">
        <v>165</v>
      </c>
      <c r="E43" s="44"/>
      <c r="F43" s="44"/>
      <c r="G43" s="44"/>
      <c r="H43" s="44"/>
      <c r="I43" s="834">
        <f t="shared" si="6"/>
        <v>0</v>
      </c>
      <c r="J43" s="1391">
        <f t="shared" si="7"/>
        <v>0</v>
      </c>
      <c r="K43" s="850">
        <f t="shared" si="8"/>
        <v>0</v>
      </c>
      <c r="L43" s="836">
        <v>0</v>
      </c>
      <c r="M43" s="851">
        <v>0</v>
      </c>
      <c r="N43" s="851">
        <v>0</v>
      </c>
      <c r="O43" s="851">
        <v>0</v>
      </c>
      <c r="P43" s="851">
        <v>0</v>
      </c>
      <c r="Q43" s="851">
        <v>0</v>
      </c>
      <c r="R43" s="462"/>
      <c r="S43" s="844">
        <f t="shared" si="9"/>
        <v>0</v>
      </c>
      <c r="T43" s="836">
        <v>0</v>
      </c>
      <c r="U43" s="851">
        <v>0</v>
      </c>
      <c r="V43" s="851"/>
      <c r="W43" s="851"/>
      <c r="X43" s="851"/>
      <c r="Y43" s="845"/>
      <c r="Z43" s="409"/>
    </row>
    <row r="44" spans="2:26" x14ac:dyDescent="0.3">
      <c r="B44" s="451"/>
      <c r="C44" s="45"/>
      <c r="D44" s="44" t="s">
        <v>166</v>
      </c>
      <c r="E44" s="44"/>
      <c r="F44" s="44"/>
      <c r="G44" s="44"/>
      <c r="H44" s="44"/>
      <c r="I44" s="834">
        <f t="shared" si="6"/>
        <v>0</v>
      </c>
      <c r="J44" s="1391">
        <f t="shared" si="7"/>
        <v>0</v>
      </c>
      <c r="K44" s="850">
        <f t="shared" si="8"/>
        <v>0</v>
      </c>
      <c r="L44" s="836">
        <v>0</v>
      </c>
      <c r="M44" s="851">
        <v>0</v>
      </c>
      <c r="N44" s="851">
        <v>0</v>
      </c>
      <c r="O44" s="851">
        <v>0</v>
      </c>
      <c r="P44" s="851">
        <v>0</v>
      </c>
      <c r="Q44" s="851">
        <v>0</v>
      </c>
      <c r="R44" s="462"/>
      <c r="S44" s="844">
        <f t="shared" si="9"/>
        <v>0</v>
      </c>
      <c r="T44" s="836">
        <v>0</v>
      </c>
      <c r="U44" s="851">
        <v>0</v>
      </c>
      <c r="V44" s="851"/>
      <c r="W44" s="851"/>
      <c r="X44" s="851"/>
      <c r="Y44" s="845"/>
      <c r="Z44" s="409"/>
    </row>
    <row r="45" spans="2:26" x14ac:dyDescent="0.3">
      <c r="B45" s="451"/>
      <c r="C45" s="45"/>
      <c r="D45" s="44" t="s">
        <v>167</v>
      </c>
      <c r="E45" s="44"/>
      <c r="F45" s="44"/>
      <c r="G45" s="44"/>
      <c r="H45" s="44"/>
      <c r="I45" s="834">
        <f t="shared" si="6"/>
        <v>6.8575443708176823E-2</v>
      </c>
      <c r="J45" s="1391">
        <f t="shared" si="7"/>
        <v>2885004</v>
      </c>
      <c r="K45" s="850">
        <f t="shared" si="8"/>
        <v>1830520</v>
      </c>
      <c r="L45" s="836">
        <v>130000</v>
      </c>
      <c r="M45" s="851"/>
      <c r="N45" s="851">
        <v>0</v>
      </c>
      <c r="O45" s="851">
        <v>160000</v>
      </c>
      <c r="P45" s="851">
        <v>0</v>
      </c>
      <c r="Q45" s="851">
        <v>1540520</v>
      </c>
      <c r="R45" s="462"/>
      <c r="S45" s="844">
        <f t="shared" si="9"/>
        <v>1054484</v>
      </c>
      <c r="T45" s="836">
        <v>0</v>
      </c>
      <c r="U45" s="851">
        <v>1054484</v>
      </c>
      <c r="V45" s="851"/>
      <c r="W45" s="851"/>
      <c r="X45" s="851"/>
      <c r="Y45" s="845"/>
      <c r="Z45" s="409"/>
    </row>
    <row r="46" spans="2:26" x14ac:dyDescent="0.3">
      <c r="B46" s="451"/>
      <c r="C46" s="45"/>
      <c r="D46" s="44" t="s">
        <v>168</v>
      </c>
      <c r="E46" s="44"/>
      <c r="F46" s="44"/>
      <c r="G46" s="44"/>
      <c r="H46" s="44"/>
      <c r="I46" s="834">
        <f t="shared" si="6"/>
        <v>0</v>
      </c>
      <c r="J46" s="1391">
        <f t="shared" si="7"/>
        <v>0</v>
      </c>
      <c r="K46" s="850">
        <f t="shared" si="8"/>
        <v>0</v>
      </c>
      <c r="L46" s="836">
        <v>0</v>
      </c>
      <c r="M46" s="851">
        <v>0</v>
      </c>
      <c r="N46" s="851">
        <v>0</v>
      </c>
      <c r="O46" s="851">
        <v>0</v>
      </c>
      <c r="P46" s="851">
        <v>0</v>
      </c>
      <c r="Q46" s="851">
        <v>0</v>
      </c>
      <c r="R46" s="462"/>
      <c r="S46" s="844">
        <f t="shared" si="9"/>
        <v>0</v>
      </c>
      <c r="T46" s="836">
        <v>0</v>
      </c>
      <c r="U46" s="851">
        <v>0</v>
      </c>
      <c r="V46" s="851"/>
      <c r="W46" s="851"/>
      <c r="X46" s="851"/>
      <c r="Y46" s="845"/>
      <c r="Z46" s="409"/>
    </row>
    <row r="47" spans="2:26" x14ac:dyDescent="0.3">
      <c r="B47" s="451"/>
      <c r="C47" s="45"/>
      <c r="D47" s="44" t="s">
        <v>169</v>
      </c>
      <c r="E47" s="44"/>
      <c r="F47" s="44"/>
      <c r="G47" s="44"/>
      <c r="H47" s="44"/>
      <c r="I47" s="834">
        <f t="shared" si="6"/>
        <v>2.1025653512613809E-3</v>
      </c>
      <c r="J47" s="1391">
        <f t="shared" si="7"/>
        <v>88456</v>
      </c>
      <c r="K47" s="850">
        <f t="shared" si="8"/>
        <v>53701</v>
      </c>
      <c r="L47" s="836"/>
      <c r="M47" s="851">
        <v>53701</v>
      </c>
      <c r="N47" s="851">
        <v>0</v>
      </c>
      <c r="O47" s="851">
        <v>0</v>
      </c>
      <c r="P47" s="851">
        <v>0</v>
      </c>
      <c r="Q47" s="851">
        <v>0</v>
      </c>
      <c r="R47" s="462"/>
      <c r="S47" s="844">
        <f t="shared" si="9"/>
        <v>34755</v>
      </c>
      <c r="T47" s="836">
        <v>0</v>
      </c>
      <c r="U47" s="851">
        <v>34755</v>
      </c>
      <c r="V47" s="851"/>
      <c r="W47" s="851"/>
      <c r="X47" s="851"/>
      <c r="Y47" s="845"/>
      <c r="Z47" s="409"/>
    </row>
    <row r="48" spans="2:26" x14ac:dyDescent="0.3">
      <c r="B48" s="451"/>
      <c r="C48" s="45"/>
      <c r="D48" s="49" t="s">
        <v>422</v>
      </c>
      <c r="E48" s="2688"/>
      <c r="F48" s="2689"/>
      <c r="G48" s="2690"/>
      <c r="H48" s="49"/>
      <c r="I48" s="838">
        <f t="shared" si="6"/>
        <v>0</v>
      </c>
      <c r="J48" s="1392">
        <f t="shared" si="7"/>
        <v>0</v>
      </c>
      <c r="K48" s="852">
        <f t="shared" si="8"/>
        <v>0</v>
      </c>
      <c r="L48" s="853">
        <v>0</v>
      </c>
      <c r="M48" s="854">
        <v>0</v>
      </c>
      <c r="N48" s="854">
        <v>0</v>
      </c>
      <c r="O48" s="854">
        <v>0</v>
      </c>
      <c r="P48" s="854">
        <v>0</v>
      </c>
      <c r="Q48" s="854">
        <v>0</v>
      </c>
      <c r="R48" s="462"/>
      <c r="S48" s="856">
        <f t="shared" si="9"/>
        <v>0</v>
      </c>
      <c r="T48" s="853">
        <v>0</v>
      </c>
      <c r="U48" s="854">
        <v>0</v>
      </c>
      <c r="V48" s="854"/>
      <c r="W48" s="854"/>
      <c r="X48" s="854"/>
      <c r="Y48" s="857"/>
      <c r="Z48" s="409"/>
    </row>
    <row r="49" spans="2:26" ht="15" thickBot="1" x14ac:dyDescent="0.35">
      <c r="B49" s="451"/>
      <c r="C49" s="45"/>
      <c r="D49" s="44"/>
      <c r="E49" s="44"/>
      <c r="F49" s="44"/>
      <c r="G49" s="48" t="s">
        <v>153</v>
      </c>
      <c r="H49" s="48"/>
      <c r="I49" s="353">
        <f t="shared" si="6"/>
        <v>0.78491952543786037</v>
      </c>
      <c r="J49" s="36">
        <f t="shared" ref="J49:Q49" si="10">SUM(J33:J48)</f>
        <v>33021966</v>
      </c>
      <c r="K49" s="22">
        <f t="shared" si="10"/>
        <v>20952301</v>
      </c>
      <c r="L49" s="1449">
        <f t="shared" si="10"/>
        <v>2318890</v>
      </c>
      <c r="M49" s="1450">
        <f t="shared" si="10"/>
        <v>53701</v>
      </c>
      <c r="N49" s="1450">
        <f t="shared" si="10"/>
        <v>674168</v>
      </c>
      <c r="O49" s="1450">
        <f t="shared" si="10"/>
        <v>1738744</v>
      </c>
      <c r="P49" s="1450">
        <f t="shared" si="10"/>
        <v>0</v>
      </c>
      <c r="Q49" s="1450">
        <f t="shared" si="10"/>
        <v>16166798</v>
      </c>
      <c r="R49" s="463"/>
      <c r="S49" s="464">
        <f t="shared" ref="S49:Y49" si="11">SUM(S33:S48)</f>
        <v>12069665</v>
      </c>
      <c r="T49" s="1449">
        <f t="shared" si="11"/>
        <v>3302241</v>
      </c>
      <c r="U49" s="1450">
        <f t="shared" si="11"/>
        <v>8767424</v>
      </c>
      <c r="V49" s="1450">
        <f t="shared" si="11"/>
        <v>0</v>
      </c>
      <c r="W49" s="1450">
        <f t="shared" si="11"/>
        <v>0</v>
      </c>
      <c r="X49" s="1450">
        <f t="shared" si="11"/>
        <v>0</v>
      </c>
      <c r="Y49" s="1451">
        <f t="shared" si="11"/>
        <v>0</v>
      </c>
      <c r="Z49" s="409"/>
    </row>
    <row r="50" spans="2:26" ht="9" customHeight="1" thickBot="1" x14ac:dyDescent="0.35">
      <c r="B50" s="466"/>
      <c r="C50" s="28"/>
      <c r="D50" s="28"/>
      <c r="E50" s="28"/>
      <c r="F50" s="28"/>
      <c r="G50" s="28"/>
      <c r="H50" s="28"/>
      <c r="I50" s="415"/>
      <c r="J50" s="467"/>
      <c r="K50" s="468"/>
      <c r="L50" s="469"/>
      <c r="M50" s="29"/>
      <c r="N50" s="29"/>
      <c r="O50" s="29"/>
      <c r="P50" s="468"/>
      <c r="Q50" s="29"/>
      <c r="R50" s="470"/>
      <c r="S50" s="29"/>
      <c r="T50" s="469"/>
      <c r="U50" s="29"/>
      <c r="V50" s="29"/>
      <c r="W50" s="29"/>
      <c r="X50" s="468"/>
      <c r="Y50" s="29"/>
      <c r="Z50" s="416"/>
    </row>
    <row r="51" spans="2:26" ht="15" thickBot="1" x14ac:dyDescent="0.35">
      <c r="B51" s="451"/>
      <c r="C51" s="78" t="s">
        <v>170</v>
      </c>
      <c r="D51" s="78"/>
      <c r="E51" s="78"/>
      <c r="F51" s="78"/>
      <c r="G51" s="78"/>
      <c r="H51" s="47"/>
      <c r="I51" s="47"/>
      <c r="J51" s="47"/>
      <c r="K51" s="47"/>
      <c r="L51" s="453"/>
      <c r="M51" s="45"/>
      <c r="N51" s="45"/>
      <c r="O51" s="15"/>
      <c r="P51" s="460"/>
      <c r="Q51" s="460"/>
      <c r="R51" s="457"/>
      <c r="S51" s="68"/>
      <c r="T51" s="460"/>
      <c r="U51" s="45"/>
      <c r="V51" s="45"/>
      <c r="W51" s="15"/>
      <c r="X51" s="460"/>
      <c r="Y51" s="460"/>
      <c r="Z51" s="409"/>
    </row>
    <row r="52" spans="2:26" x14ac:dyDescent="0.3">
      <c r="B52" s="451"/>
      <c r="C52" s="45"/>
      <c r="D52" s="155" t="s">
        <v>171</v>
      </c>
      <c r="E52" s="155"/>
      <c r="F52" s="155"/>
      <c r="G52" s="155"/>
      <c r="H52" s="155"/>
      <c r="I52" s="830">
        <f t="shared" ref="I52:I65" si="12">IFERROR(J52/J$122," ")</f>
        <v>1.2614536401311553E-4</v>
      </c>
      <c r="J52" s="1393">
        <f t="shared" ref="J52:J64" si="13">SUM(K52+S52)</f>
        <v>5307</v>
      </c>
      <c r="K52" s="848">
        <f t="shared" ref="K52:K64" si="14">SUM(L52:Q52)</f>
        <v>3222</v>
      </c>
      <c r="L52" s="832">
        <v>0</v>
      </c>
      <c r="M52" s="849">
        <v>3222</v>
      </c>
      <c r="N52" s="849">
        <v>0</v>
      </c>
      <c r="O52" s="849">
        <v>0</v>
      </c>
      <c r="P52" s="849">
        <v>0</v>
      </c>
      <c r="Q52" s="849">
        <v>0</v>
      </c>
      <c r="R52" s="461"/>
      <c r="S52" s="855">
        <f t="shared" ref="S52:S64" si="15">SUM(T52:Y52)</f>
        <v>2085</v>
      </c>
      <c r="T52" s="832">
        <v>0</v>
      </c>
      <c r="U52" s="849">
        <v>2085</v>
      </c>
      <c r="V52" s="849"/>
      <c r="W52" s="849"/>
      <c r="X52" s="849"/>
      <c r="Y52" s="843"/>
      <c r="Z52" s="409"/>
    </row>
    <row r="53" spans="2:26" x14ac:dyDescent="0.3">
      <c r="B53" s="451"/>
      <c r="C53" s="45"/>
      <c r="D53" s="44" t="s">
        <v>172</v>
      </c>
      <c r="E53" s="44"/>
      <c r="F53" s="44"/>
      <c r="G53" s="44"/>
      <c r="H53" s="44"/>
      <c r="I53" s="834">
        <f t="shared" si="12"/>
        <v>6.0446139190758017E-5</v>
      </c>
      <c r="J53" s="1391">
        <f t="shared" si="13"/>
        <v>2543</v>
      </c>
      <c r="K53" s="850">
        <f t="shared" si="14"/>
        <v>2543</v>
      </c>
      <c r="L53" s="836">
        <v>0</v>
      </c>
      <c r="M53" s="851">
        <v>2543</v>
      </c>
      <c r="N53" s="851">
        <v>0</v>
      </c>
      <c r="O53" s="851">
        <v>0</v>
      </c>
      <c r="P53" s="851">
        <v>0</v>
      </c>
      <c r="Q53" s="851">
        <v>0</v>
      </c>
      <c r="R53" s="462"/>
      <c r="S53" s="844">
        <f t="shared" si="15"/>
        <v>0</v>
      </c>
      <c r="T53" s="836">
        <v>0</v>
      </c>
      <c r="U53" s="851">
        <v>0</v>
      </c>
      <c r="V53" s="851"/>
      <c r="W53" s="851"/>
      <c r="X53" s="851"/>
      <c r="Y53" s="845"/>
      <c r="Z53" s="409"/>
    </row>
    <row r="54" spans="2:26" x14ac:dyDescent="0.3">
      <c r="B54" s="451"/>
      <c r="C54" s="45"/>
      <c r="D54" s="44" t="s">
        <v>173</v>
      </c>
      <c r="E54" s="44"/>
      <c r="F54" s="44"/>
      <c r="G54" s="44"/>
      <c r="H54" s="44"/>
      <c r="I54" s="834">
        <f t="shared" si="12"/>
        <v>3.2683652936609402E-2</v>
      </c>
      <c r="J54" s="1391">
        <f t="shared" si="13"/>
        <v>1375018</v>
      </c>
      <c r="K54" s="850">
        <f t="shared" si="14"/>
        <v>834765</v>
      </c>
      <c r="L54" s="836">
        <v>0</v>
      </c>
      <c r="M54" s="851">
        <v>834765</v>
      </c>
      <c r="N54" s="851">
        <v>0</v>
      </c>
      <c r="O54" s="851">
        <v>0</v>
      </c>
      <c r="P54" s="851">
        <v>0</v>
      </c>
      <c r="Q54" s="851">
        <v>0</v>
      </c>
      <c r="R54" s="462"/>
      <c r="S54" s="844">
        <f t="shared" si="15"/>
        <v>540253</v>
      </c>
      <c r="T54" s="836">
        <v>0</v>
      </c>
      <c r="U54" s="851">
        <v>540253</v>
      </c>
      <c r="V54" s="851"/>
      <c r="W54" s="851"/>
      <c r="X54" s="851"/>
      <c r="Y54" s="845"/>
      <c r="Z54" s="409"/>
    </row>
    <row r="55" spans="2:26" x14ac:dyDescent="0.3">
      <c r="B55" s="451"/>
      <c r="C55" s="45"/>
      <c r="D55" s="44" t="s">
        <v>174</v>
      </c>
      <c r="E55" s="44"/>
      <c r="F55" s="44"/>
      <c r="G55" s="44"/>
      <c r="H55" s="44"/>
      <c r="I55" s="834">
        <f t="shared" si="12"/>
        <v>0</v>
      </c>
      <c r="J55" s="1391">
        <f t="shared" si="13"/>
        <v>0</v>
      </c>
      <c r="K55" s="850">
        <f t="shared" si="14"/>
        <v>0</v>
      </c>
      <c r="L55" s="836">
        <v>0</v>
      </c>
      <c r="M55" s="851">
        <v>0</v>
      </c>
      <c r="N55" s="851">
        <v>0</v>
      </c>
      <c r="O55" s="851">
        <v>0</v>
      </c>
      <c r="P55" s="851">
        <v>0</v>
      </c>
      <c r="Q55" s="851">
        <v>0</v>
      </c>
      <c r="R55" s="462"/>
      <c r="S55" s="844">
        <f t="shared" si="15"/>
        <v>0</v>
      </c>
      <c r="T55" s="836">
        <v>0</v>
      </c>
      <c r="U55" s="851">
        <v>0</v>
      </c>
      <c r="V55" s="851"/>
      <c r="W55" s="851"/>
      <c r="X55" s="851"/>
      <c r="Y55" s="845"/>
      <c r="Z55" s="409"/>
    </row>
    <row r="56" spans="2:26" x14ac:dyDescent="0.3">
      <c r="B56" s="451"/>
      <c r="C56" s="45"/>
      <c r="D56" s="50" t="s">
        <v>175</v>
      </c>
      <c r="E56" s="50"/>
      <c r="F56" s="50"/>
      <c r="G56" s="50"/>
      <c r="H56" s="50"/>
      <c r="I56" s="834">
        <f t="shared" si="12"/>
        <v>0</v>
      </c>
      <c r="J56" s="1391">
        <f t="shared" si="13"/>
        <v>0</v>
      </c>
      <c r="K56" s="850">
        <f t="shared" si="14"/>
        <v>0</v>
      </c>
      <c r="L56" s="836">
        <v>0</v>
      </c>
      <c r="M56" s="851">
        <v>0</v>
      </c>
      <c r="N56" s="851">
        <v>0</v>
      </c>
      <c r="O56" s="851">
        <v>0</v>
      </c>
      <c r="P56" s="851">
        <v>0</v>
      </c>
      <c r="Q56" s="851">
        <v>0</v>
      </c>
      <c r="R56" s="462"/>
      <c r="S56" s="844">
        <f t="shared" si="15"/>
        <v>0</v>
      </c>
      <c r="T56" s="836">
        <v>0</v>
      </c>
      <c r="U56" s="851">
        <v>0</v>
      </c>
      <c r="V56" s="851"/>
      <c r="W56" s="851"/>
      <c r="X56" s="851"/>
      <c r="Y56" s="845"/>
      <c r="Z56" s="409"/>
    </row>
    <row r="57" spans="2:26" x14ac:dyDescent="0.3">
      <c r="B57" s="451"/>
      <c r="C57" s="45"/>
      <c r="D57" s="44" t="s">
        <v>176</v>
      </c>
      <c r="E57" s="44"/>
      <c r="F57" s="44"/>
      <c r="G57" s="44"/>
      <c r="H57" s="44"/>
      <c r="I57" s="834">
        <f t="shared" si="12"/>
        <v>3.3603109309467014E-4</v>
      </c>
      <c r="J57" s="1391">
        <f t="shared" si="13"/>
        <v>14137</v>
      </c>
      <c r="K57" s="850">
        <f t="shared" si="14"/>
        <v>8055</v>
      </c>
      <c r="L57" s="836"/>
      <c r="M57" s="851">
        <v>8055</v>
      </c>
      <c r="N57" s="851">
        <v>0</v>
      </c>
      <c r="O57" s="851">
        <v>0</v>
      </c>
      <c r="P57" s="851">
        <v>0</v>
      </c>
      <c r="Q57" s="851">
        <v>0</v>
      </c>
      <c r="R57" s="462"/>
      <c r="S57" s="844">
        <f t="shared" si="15"/>
        <v>6082</v>
      </c>
      <c r="T57" s="836">
        <v>0</v>
      </c>
      <c r="U57" s="851">
        <v>6082</v>
      </c>
      <c r="V57" s="851"/>
      <c r="W57" s="851"/>
      <c r="X57" s="851"/>
      <c r="Y57" s="845"/>
      <c r="Z57" s="409"/>
    </row>
    <row r="58" spans="2:26" x14ac:dyDescent="0.3">
      <c r="B58" s="451"/>
      <c r="C58" s="45"/>
      <c r="D58" s="44" t="s">
        <v>177</v>
      </c>
      <c r="E58" s="44"/>
      <c r="F58" s="44"/>
      <c r="G58" s="44"/>
      <c r="H58" s="44"/>
      <c r="I58" s="834">
        <f t="shared" si="12"/>
        <v>8.0888010879335247E-4</v>
      </c>
      <c r="J58" s="1391">
        <f t="shared" si="13"/>
        <v>34030</v>
      </c>
      <c r="K58" s="850">
        <f t="shared" si="14"/>
        <v>20128</v>
      </c>
      <c r="L58" s="836">
        <v>0</v>
      </c>
      <c r="M58" s="851">
        <v>20128</v>
      </c>
      <c r="N58" s="851">
        <v>0</v>
      </c>
      <c r="O58" s="851"/>
      <c r="P58" s="851">
        <v>0</v>
      </c>
      <c r="Q58" s="851">
        <v>0</v>
      </c>
      <c r="R58" s="462"/>
      <c r="S58" s="844">
        <f t="shared" si="15"/>
        <v>13902</v>
      </c>
      <c r="T58" s="836">
        <v>0</v>
      </c>
      <c r="U58" s="851">
        <v>13902</v>
      </c>
      <c r="V58" s="851"/>
      <c r="W58" s="851"/>
      <c r="X58" s="851"/>
      <c r="Y58" s="845"/>
      <c r="Z58" s="409"/>
    </row>
    <row r="59" spans="2:26" x14ac:dyDescent="0.3">
      <c r="B59" s="451"/>
      <c r="C59" s="45"/>
      <c r="D59" s="44" t="s">
        <v>178</v>
      </c>
      <c r="E59" s="44"/>
      <c r="F59" s="44"/>
      <c r="G59" s="44"/>
      <c r="H59" s="44"/>
      <c r="I59" s="834">
        <f t="shared" si="12"/>
        <v>1.6914460341385532E-3</v>
      </c>
      <c r="J59" s="1391">
        <f t="shared" si="13"/>
        <v>71160</v>
      </c>
      <c r="K59" s="850">
        <f t="shared" si="14"/>
        <v>41619</v>
      </c>
      <c r="L59" s="836">
        <v>0</v>
      </c>
      <c r="M59" s="851">
        <v>41619</v>
      </c>
      <c r="N59" s="851">
        <v>0</v>
      </c>
      <c r="O59" s="851">
        <v>0</v>
      </c>
      <c r="P59" s="851">
        <v>0</v>
      </c>
      <c r="Q59" s="851">
        <v>0</v>
      </c>
      <c r="R59" s="462"/>
      <c r="S59" s="844">
        <f t="shared" si="15"/>
        <v>29541</v>
      </c>
      <c r="T59" s="836">
        <v>0</v>
      </c>
      <c r="U59" s="851">
        <v>29541</v>
      </c>
      <c r="V59" s="851"/>
      <c r="W59" s="851"/>
      <c r="X59" s="851"/>
      <c r="Y59" s="845"/>
      <c r="Z59" s="409"/>
    </row>
    <row r="60" spans="2:26" x14ac:dyDescent="0.3">
      <c r="B60" s="451"/>
      <c r="C60" s="45"/>
      <c r="D60" s="50" t="s">
        <v>179</v>
      </c>
      <c r="E60" s="50"/>
      <c r="F60" s="50"/>
      <c r="G60" s="50"/>
      <c r="H60" s="50"/>
      <c r="I60" s="834">
        <f t="shared" si="12"/>
        <v>1.4327208704540687E-2</v>
      </c>
      <c r="J60" s="1391">
        <f t="shared" si="13"/>
        <v>602753</v>
      </c>
      <c r="K60" s="850">
        <f t="shared" si="14"/>
        <v>352753</v>
      </c>
      <c r="L60" s="836">
        <v>0</v>
      </c>
      <c r="M60" s="851">
        <v>152753</v>
      </c>
      <c r="N60" s="851">
        <v>0</v>
      </c>
      <c r="O60" s="851">
        <v>0</v>
      </c>
      <c r="P60" s="851">
        <v>200000</v>
      </c>
      <c r="Q60" s="851"/>
      <c r="R60" s="462"/>
      <c r="S60" s="844">
        <f t="shared" si="15"/>
        <v>250000</v>
      </c>
      <c r="T60" s="836">
        <v>0</v>
      </c>
      <c r="U60" s="851">
        <v>250000</v>
      </c>
      <c r="V60" s="851"/>
      <c r="W60" s="851"/>
      <c r="X60" s="851"/>
      <c r="Y60" s="845"/>
      <c r="Z60" s="409"/>
    </row>
    <row r="61" spans="2:26" x14ac:dyDescent="0.3">
      <c r="B61" s="451"/>
      <c r="C61" s="45"/>
      <c r="D61" s="50" t="s">
        <v>180</v>
      </c>
      <c r="E61" s="50"/>
      <c r="F61" s="50"/>
      <c r="G61" s="50"/>
      <c r="H61" s="50"/>
      <c r="I61" s="834">
        <f t="shared" si="12"/>
        <v>2.1763462462861989E-3</v>
      </c>
      <c r="J61" s="1391">
        <f t="shared" si="13"/>
        <v>91560</v>
      </c>
      <c r="K61" s="850">
        <f t="shared" si="14"/>
        <v>91560</v>
      </c>
      <c r="L61" s="836">
        <v>0</v>
      </c>
      <c r="M61" s="851">
        <v>91560</v>
      </c>
      <c r="N61" s="851">
        <v>0</v>
      </c>
      <c r="O61" s="851">
        <v>0</v>
      </c>
      <c r="P61" s="851">
        <v>0</v>
      </c>
      <c r="Q61" s="851">
        <v>0</v>
      </c>
      <c r="R61" s="462"/>
      <c r="S61" s="844">
        <f t="shared" si="15"/>
        <v>0</v>
      </c>
      <c r="T61" s="836">
        <v>0</v>
      </c>
      <c r="U61" s="851">
        <v>0</v>
      </c>
      <c r="V61" s="851"/>
      <c r="W61" s="851"/>
      <c r="X61" s="851"/>
      <c r="Y61" s="845"/>
      <c r="Z61" s="409"/>
    </row>
    <row r="62" spans="2:26" x14ac:dyDescent="0.3">
      <c r="B62" s="451"/>
      <c r="C62" s="45"/>
      <c r="D62" s="50" t="s">
        <v>181</v>
      </c>
      <c r="E62" s="50"/>
      <c r="F62" s="50"/>
      <c r="G62" s="50"/>
      <c r="H62" s="50"/>
      <c r="I62" s="834">
        <f t="shared" si="12"/>
        <v>1.7440006600727906E-3</v>
      </c>
      <c r="J62" s="1391">
        <f t="shared" si="13"/>
        <v>73371</v>
      </c>
      <c r="K62" s="850">
        <f t="shared" si="14"/>
        <v>42961</v>
      </c>
      <c r="L62" s="858">
        <v>0</v>
      </c>
      <c r="M62" s="859">
        <v>42961</v>
      </c>
      <c r="N62" s="859">
        <v>0</v>
      </c>
      <c r="O62" s="859">
        <v>0</v>
      </c>
      <c r="P62" s="859">
        <v>0</v>
      </c>
      <c r="Q62" s="859">
        <v>0</v>
      </c>
      <c r="R62" s="462"/>
      <c r="S62" s="844">
        <f t="shared" si="15"/>
        <v>30410</v>
      </c>
      <c r="T62" s="858">
        <v>0</v>
      </c>
      <c r="U62" s="859">
        <v>30410</v>
      </c>
      <c r="V62" s="859"/>
      <c r="W62" s="859"/>
      <c r="X62" s="859"/>
      <c r="Y62" s="861"/>
      <c r="Z62" s="409"/>
    </row>
    <row r="63" spans="2:26" x14ac:dyDescent="0.3">
      <c r="B63" s="451"/>
      <c r="C63" s="45"/>
      <c r="D63" s="83" t="s">
        <v>182</v>
      </c>
      <c r="E63" s="83"/>
      <c r="F63" s="83"/>
      <c r="G63" s="83"/>
      <c r="H63" s="83"/>
      <c r="I63" s="834">
        <f t="shared" si="12"/>
        <v>4.4116411458138766E-3</v>
      </c>
      <c r="J63" s="1391">
        <f t="shared" si="13"/>
        <v>185600</v>
      </c>
      <c r="K63" s="850">
        <f t="shared" si="14"/>
        <v>107402</v>
      </c>
      <c r="L63" s="858">
        <v>0</v>
      </c>
      <c r="M63" s="859">
        <v>107402</v>
      </c>
      <c r="N63" s="859">
        <v>0</v>
      </c>
      <c r="O63" s="859">
        <v>0</v>
      </c>
      <c r="P63" s="859">
        <v>0</v>
      </c>
      <c r="Q63" s="859">
        <v>0</v>
      </c>
      <c r="R63" s="462"/>
      <c r="S63" s="844">
        <f t="shared" si="15"/>
        <v>78198</v>
      </c>
      <c r="T63" s="858">
        <v>0</v>
      </c>
      <c r="U63" s="859">
        <v>78198</v>
      </c>
      <c r="V63" s="859"/>
      <c r="W63" s="859"/>
      <c r="X63" s="859"/>
      <c r="Y63" s="861"/>
      <c r="Z63" s="409"/>
    </row>
    <row r="64" spans="2:26" x14ac:dyDescent="0.3">
      <c r="B64" s="451"/>
      <c r="C64" s="45"/>
      <c r="D64" s="49" t="s">
        <v>422</v>
      </c>
      <c r="E64" s="2688" t="s">
        <v>2058</v>
      </c>
      <c r="F64" s="2689"/>
      <c r="G64" s="2690"/>
      <c r="H64" s="49"/>
      <c r="I64" s="838">
        <f t="shared" si="12"/>
        <v>6.0930088618175969E-3</v>
      </c>
      <c r="J64" s="1392">
        <f t="shared" si="13"/>
        <v>256336</v>
      </c>
      <c r="K64" s="852">
        <f t="shared" si="14"/>
        <v>26850</v>
      </c>
      <c r="L64" s="840">
        <v>0</v>
      </c>
      <c r="M64" s="860">
        <v>26850</v>
      </c>
      <c r="N64" s="860">
        <v>0</v>
      </c>
      <c r="O64" s="860">
        <v>0</v>
      </c>
      <c r="P64" s="860">
        <v>0</v>
      </c>
      <c r="Q64" s="860">
        <v>0</v>
      </c>
      <c r="R64" s="462"/>
      <c r="S64" s="856">
        <f t="shared" si="15"/>
        <v>229486</v>
      </c>
      <c r="T64" s="840">
        <v>0</v>
      </c>
      <c r="U64" s="860">
        <v>229486</v>
      </c>
      <c r="V64" s="860"/>
      <c r="W64" s="860"/>
      <c r="X64" s="860"/>
      <c r="Y64" s="847"/>
      <c r="Z64" s="409"/>
    </row>
    <row r="65" spans="2:26" ht="15" thickBot="1" x14ac:dyDescent="0.35">
      <c r="B65" s="451"/>
      <c r="C65" s="45"/>
      <c r="D65" s="44"/>
      <c r="E65" s="44"/>
      <c r="F65" s="44"/>
      <c r="G65" s="48" t="s">
        <v>153</v>
      </c>
      <c r="H65" s="48"/>
      <c r="I65" s="353">
        <f t="shared" si="12"/>
        <v>6.4458807294371007E-2</v>
      </c>
      <c r="J65" s="36">
        <f t="shared" ref="J65:Q65" si="16">SUM(J52:J64)</f>
        <v>2711815</v>
      </c>
      <c r="K65" s="22">
        <f t="shared" si="16"/>
        <v>1531858</v>
      </c>
      <c r="L65" s="1449">
        <f t="shared" si="16"/>
        <v>0</v>
      </c>
      <c r="M65" s="1450">
        <f t="shared" si="16"/>
        <v>1331858</v>
      </c>
      <c r="N65" s="1450">
        <f t="shared" si="16"/>
        <v>0</v>
      </c>
      <c r="O65" s="1450">
        <f t="shared" si="16"/>
        <v>0</v>
      </c>
      <c r="P65" s="1450">
        <f t="shared" si="16"/>
        <v>200000</v>
      </c>
      <c r="Q65" s="1450">
        <f t="shared" si="16"/>
        <v>0</v>
      </c>
      <c r="R65" s="463"/>
      <c r="S65" s="464">
        <f t="shared" ref="S65:Y65" si="17">SUM(S52:S64)</f>
        <v>1179957</v>
      </c>
      <c r="T65" s="1449">
        <f t="shared" si="17"/>
        <v>0</v>
      </c>
      <c r="U65" s="1450">
        <f t="shared" si="17"/>
        <v>1179957</v>
      </c>
      <c r="V65" s="1450">
        <f t="shared" si="17"/>
        <v>0</v>
      </c>
      <c r="W65" s="1450">
        <f t="shared" si="17"/>
        <v>0</v>
      </c>
      <c r="X65" s="1450">
        <f t="shared" si="17"/>
        <v>0</v>
      </c>
      <c r="Y65" s="1451">
        <f t="shared" si="17"/>
        <v>0</v>
      </c>
      <c r="Z65" s="409"/>
    </row>
    <row r="66" spans="2:26" ht="3.75" customHeight="1" x14ac:dyDescent="0.3">
      <c r="B66" s="451"/>
      <c r="C66" s="44"/>
      <c r="D66" s="44"/>
      <c r="E66" s="44"/>
      <c r="F66" s="44"/>
      <c r="G66" s="44"/>
      <c r="H66" s="44"/>
      <c r="I66" s="410"/>
      <c r="J66" s="471"/>
      <c r="K66" s="472"/>
      <c r="L66" s="473"/>
      <c r="M66" s="362"/>
      <c r="N66" s="362"/>
      <c r="O66" s="362"/>
      <c r="P66" s="472"/>
      <c r="Q66" s="362"/>
      <c r="R66" s="474"/>
      <c r="S66" s="362"/>
      <c r="T66" s="473"/>
      <c r="U66" s="362"/>
      <c r="V66" s="362"/>
      <c r="W66" s="362"/>
      <c r="X66" s="472"/>
      <c r="Y66" s="362"/>
      <c r="Z66" s="409"/>
    </row>
    <row r="67" spans="2:26" ht="15" thickBot="1" x14ac:dyDescent="0.35">
      <c r="B67" s="451"/>
      <c r="C67" s="78" t="s">
        <v>183</v>
      </c>
      <c r="D67" s="78"/>
      <c r="E67" s="78"/>
      <c r="F67" s="78"/>
      <c r="G67" s="78"/>
      <c r="H67" s="47"/>
      <c r="I67" s="47"/>
      <c r="J67" s="47"/>
      <c r="K67" s="47"/>
      <c r="L67" s="453"/>
      <c r="M67" s="45"/>
      <c r="N67" s="45"/>
      <c r="O67" s="15"/>
      <c r="P67" s="460"/>
      <c r="Q67" s="460"/>
      <c r="R67" s="457"/>
      <c r="S67" s="68"/>
      <c r="T67" s="460"/>
      <c r="U67" s="45"/>
      <c r="V67" s="45"/>
      <c r="W67" s="15"/>
      <c r="X67" s="460"/>
      <c r="Y67" s="460"/>
      <c r="Z67" s="409"/>
    </row>
    <row r="68" spans="2:26" x14ac:dyDescent="0.3">
      <c r="B68" s="451"/>
      <c r="C68" s="45"/>
      <c r="D68" s="155" t="s">
        <v>184</v>
      </c>
      <c r="E68" s="155"/>
      <c r="F68" s="155"/>
      <c r="G68" s="155"/>
      <c r="H68" s="155"/>
      <c r="I68" s="830">
        <f>IFERROR(J68/J$122," ")</f>
        <v>0</v>
      </c>
      <c r="J68" s="1393">
        <f t="shared" ref="J68:J69" si="18">SUM(K68+S68)</f>
        <v>0</v>
      </c>
      <c r="K68" s="848">
        <f>SUM(L68:Q68)</f>
        <v>0</v>
      </c>
      <c r="L68" s="832">
        <v>0</v>
      </c>
      <c r="M68" s="849">
        <v>0</v>
      </c>
      <c r="N68" s="849">
        <v>0</v>
      </c>
      <c r="O68" s="849">
        <v>0</v>
      </c>
      <c r="P68" s="849">
        <v>0</v>
      </c>
      <c r="Q68" s="849">
        <v>0</v>
      </c>
      <c r="R68" s="461"/>
      <c r="S68" s="855">
        <f>SUM(T68:Y68)</f>
        <v>0</v>
      </c>
      <c r="T68" s="832">
        <v>0</v>
      </c>
      <c r="U68" s="849">
        <v>0</v>
      </c>
      <c r="V68" s="849"/>
      <c r="W68" s="849"/>
      <c r="X68" s="849"/>
      <c r="Y68" s="843"/>
      <c r="Z68" s="409"/>
    </row>
    <row r="69" spans="2:26" x14ac:dyDescent="0.3">
      <c r="B69" s="451"/>
      <c r="C69" s="45"/>
      <c r="D69" s="44" t="s">
        <v>185</v>
      </c>
      <c r="E69" s="44"/>
      <c r="F69" s="44"/>
      <c r="G69" s="44"/>
      <c r="H69" s="44"/>
      <c r="I69" s="838">
        <f>IFERROR(J69/J$122," ")</f>
        <v>1.393674518567062E-3</v>
      </c>
      <c r="J69" s="1392">
        <f t="shared" si="18"/>
        <v>58632.6</v>
      </c>
      <c r="K69" s="852">
        <f>SUM(L69:Q69)</f>
        <v>32566.6</v>
      </c>
      <c r="L69" s="853"/>
      <c r="M69" s="854">
        <v>30878</v>
      </c>
      <c r="N69" s="854">
        <v>0</v>
      </c>
      <c r="O69" s="854">
        <v>0</v>
      </c>
      <c r="P69" s="854">
        <v>0</v>
      </c>
      <c r="Q69" s="854">
        <v>1688.6</v>
      </c>
      <c r="R69" s="462"/>
      <c r="S69" s="856">
        <f>SUM(T69:Y69)</f>
        <v>26066</v>
      </c>
      <c r="T69" s="853">
        <v>0</v>
      </c>
      <c r="U69" s="854">
        <v>26066</v>
      </c>
      <c r="V69" s="854"/>
      <c r="W69" s="854"/>
      <c r="X69" s="854"/>
      <c r="Y69" s="857"/>
      <c r="Z69" s="409"/>
    </row>
    <row r="70" spans="2:26" ht="15" thickBot="1" x14ac:dyDescent="0.35">
      <c r="B70" s="451"/>
      <c r="C70" s="45"/>
      <c r="D70" s="44"/>
      <c r="E70" s="44"/>
      <c r="F70" s="44"/>
      <c r="G70" s="48" t="s">
        <v>153</v>
      </c>
      <c r="H70" s="48"/>
      <c r="I70" s="353">
        <f>IFERROR(J70/J$122," ")</f>
        <v>1.393674518567062E-3</v>
      </c>
      <c r="J70" s="36">
        <f t="shared" ref="J70:Q70" si="19">SUM(J68:J69)</f>
        <v>58632.6</v>
      </c>
      <c r="K70" s="22">
        <f t="shared" si="19"/>
        <v>32566.6</v>
      </c>
      <c r="L70" s="1449">
        <f t="shared" si="19"/>
        <v>0</v>
      </c>
      <c r="M70" s="1450">
        <f t="shared" si="19"/>
        <v>30878</v>
      </c>
      <c r="N70" s="1450">
        <f t="shared" si="19"/>
        <v>0</v>
      </c>
      <c r="O70" s="1450">
        <f t="shared" si="19"/>
        <v>0</v>
      </c>
      <c r="P70" s="1450">
        <f t="shared" si="19"/>
        <v>0</v>
      </c>
      <c r="Q70" s="1450">
        <f t="shared" si="19"/>
        <v>1688.6</v>
      </c>
      <c r="R70" s="463"/>
      <c r="S70" s="464">
        <f t="shared" ref="S70:Y70" si="20">SUM(S68:S69)</f>
        <v>26066</v>
      </c>
      <c r="T70" s="1449">
        <f t="shared" si="20"/>
        <v>0</v>
      </c>
      <c r="U70" s="1450">
        <f t="shared" si="20"/>
        <v>26066</v>
      </c>
      <c r="V70" s="1450">
        <f t="shared" si="20"/>
        <v>0</v>
      </c>
      <c r="W70" s="1450">
        <f t="shared" si="20"/>
        <v>0</v>
      </c>
      <c r="X70" s="1450">
        <f t="shared" si="20"/>
        <v>0</v>
      </c>
      <c r="Y70" s="1451">
        <f t="shared" si="20"/>
        <v>0</v>
      </c>
      <c r="Z70" s="409"/>
    </row>
    <row r="71" spans="2:26" ht="3.75" customHeight="1" x14ac:dyDescent="0.3">
      <c r="B71" s="451"/>
      <c r="C71" s="44"/>
      <c r="D71" s="48"/>
      <c r="E71" s="48"/>
      <c r="F71" s="48"/>
      <c r="G71" s="48"/>
      <c r="H71" s="48"/>
      <c r="I71" s="453"/>
      <c r="J71" s="453"/>
      <c r="K71" s="45"/>
      <c r="L71" s="16"/>
      <c r="M71" s="16"/>
      <c r="N71" s="16"/>
      <c r="O71" s="16"/>
      <c r="P71" s="45"/>
      <c r="Q71" s="16"/>
      <c r="R71" s="462"/>
      <c r="S71" s="16"/>
      <c r="T71" s="16"/>
      <c r="U71" s="16"/>
      <c r="V71" s="16"/>
      <c r="W71" s="16"/>
      <c r="X71" s="45"/>
      <c r="Y71" s="16"/>
      <c r="Z71" s="409"/>
    </row>
    <row r="72" spans="2:26" ht="15" thickBot="1" x14ac:dyDescent="0.35">
      <c r="B72" s="451"/>
      <c r="C72" s="78" t="s">
        <v>186</v>
      </c>
      <c r="D72" s="78"/>
      <c r="E72" s="78"/>
      <c r="F72" s="78"/>
      <c r="G72" s="78"/>
      <c r="H72" s="47"/>
      <c r="I72" s="47"/>
      <c r="J72" s="47"/>
      <c r="K72" s="47"/>
      <c r="L72" s="453"/>
      <c r="M72" s="45"/>
      <c r="N72" s="45"/>
      <c r="O72" s="15"/>
      <c r="P72" s="460"/>
      <c r="Q72" s="460"/>
      <c r="R72" s="457"/>
      <c r="S72" s="68"/>
      <c r="T72" s="460"/>
      <c r="U72" s="45"/>
      <c r="V72" s="45"/>
      <c r="W72" s="15"/>
      <c r="X72" s="460"/>
      <c r="Y72" s="460"/>
      <c r="Z72" s="409"/>
    </row>
    <row r="73" spans="2:26" x14ac:dyDescent="0.3">
      <c r="B73" s="451"/>
      <c r="C73" s="45"/>
      <c r="D73" s="155" t="s">
        <v>187</v>
      </c>
      <c r="E73" s="155"/>
      <c r="F73" s="155"/>
      <c r="G73" s="155"/>
      <c r="H73" s="155"/>
      <c r="I73" s="830">
        <f t="shared" ref="I73:I78" si="21">IFERROR(J73/J$122," ")</f>
        <v>2.8523541891037995E-3</v>
      </c>
      <c r="J73" s="1393">
        <f t="shared" ref="J73:J77" si="22">SUM(K73+S73)</f>
        <v>120000</v>
      </c>
      <c r="K73" s="848">
        <f>SUM(L73:Q73)</f>
        <v>70000</v>
      </c>
      <c r="L73" s="832">
        <v>0</v>
      </c>
      <c r="M73" s="849">
        <v>0</v>
      </c>
      <c r="N73" s="849">
        <v>0</v>
      </c>
      <c r="O73" s="849">
        <v>70000</v>
      </c>
      <c r="P73" s="849">
        <v>0</v>
      </c>
      <c r="Q73" s="849">
        <v>0</v>
      </c>
      <c r="R73" s="461"/>
      <c r="S73" s="855">
        <f>SUM(T73:Y73)</f>
        <v>50000</v>
      </c>
      <c r="T73" s="832">
        <v>0</v>
      </c>
      <c r="U73" s="849">
        <v>50000</v>
      </c>
      <c r="V73" s="849"/>
      <c r="W73" s="849"/>
      <c r="X73" s="849"/>
      <c r="Y73" s="843"/>
      <c r="Z73" s="409"/>
    </row>
    <row r="74" spans="2:26" x14ac:dyDescent="0.3">
      <c r="B74" s="451"/>
      <c r="C74" s="45"/>
      <c r="D74" s="44" t="s">
        <v>188</v>
      </c>
      <c r="E74" s="44"/>
      <c r="F74" s="44"/>
      <c r="G74" s="44"/>
      <c r="H74" s="44"/>
      <c r="I74" s="834">
        <f t="shared" si="21"/>
        <v>0</v>
      </c>
      <c r="J74" s="1391">
        <f t="shared" si="22"/>
        <v>0</v>
      </c>
      <c r="K74" s="850">
        <f>SUM(L74:Q74)</f>
        <v>0</v>
      </c>
      <c r="L74" s="836">
        <v>0</v>
      </c>
      <c r="M74" s="851">
        <v>0</v>
      </c>
      <c r="N74" s="851">
        <v>0</v>
      </c>
      <c r="O74" s="851">
        <v>0</v>
      </c>
      <c r="P74" s="851">
        <v>0</v>
      </c>
      <c r="Q74" s="851">
        <v>0</v>
      </c>
      <c r="R74" s="462"/>
      <c r="S74" s="844">
        <f>SUM(T74:Y74)</f>
        <v>0</v>
      </c>
      <c r="T74" s="836">
        <v>0</v>
      </c>
      <c r="U74" s="851">
        <v>0</v>
      </c>
      <c r="V74" s="851"/>
      <c r="W74" s="851"/>
      <c r="X74" s="851"/>
      <c r="Y74" s="845"/>
      <c r="Z74" s="409"/>
    </row>
    <row r="75" spans="2:26" x14ac:dyDescent="0.3">
      <c r="B75" s="451"/>
      <c r="C75" s="45"/>
      <c r="D75" s="44" t="s">
        <v>189</v>
      </c>
      <c r="E75" s="44"/>
      <c r="F75" s="44"/>
      <c r="G75" s="44"/>
      <c r="H75" s="44"/>
      <c r="I75" s="834">
        <f t="shared" si="21"/>
        <v>8.3193663848860826E-4</v>
      </c>
      <c r="J75" s="1391">
        <f t="shared" si="22"/>
        <v>35000</v>
      </c>
      <c r="K75" s="850">
        <f>SUM(L75:Q75)</f>
        <v>25000</v>
      </c>
      <c r="L75" s="836">
        <v>0</v>
      </c>
      <c r="M75" s="851">
        <v>0</v>
      </c>
      <c r="N75" s="851">
        <v>0</v>
      </c>
      <c r="O75" s="851">
        <v>25000</v>
      </c>
      <c r="P75" s="851">
        <v>0</v>
      </c>
      <c r="Q75" s="851">
        <v>0</v>
      </c>
      <c r="R75" s="462"/>
      <c r="S75" s="844">
        <f>SUM(T75:Y75)</f>
        <v>10000</v>
      </c>
      <c r="T75" s="836">
        <v>0</v>
      </c>
      <c r="U75" s="851">
        <v>10000</v>
      </c>
      <c r="V75" s="851"/>
      <c r="W75" s="851"/>
      <c r="X75" s="851"/>
      <c r="Y75" s="845"/>
      <c r="Z75" s="409"/>
    </row>
    <row r="76" spans="2:26" x14ac:dyDescent="0.3">
      <c r="B76" s="451"/>
      <c r="C76" s="45"/>
      <c r="D76" s="44" t="s">
        <v>190</v>
      </c>
      <c r="E76" s="44"/>
      <c r="F76" s="44"/>
      <c r="G76" s="44"/>
      <c r="H76" s="44"/>
      <c r="I76" s="834">
        <f t="shared" si="21"/>
        <v>1.0102087753075957E-2</v>
      </c>
      <c r="J76" s="1391">
        <f t="shared" si="22"/>
        <v>425000</v>
      </c>
      <c r="K76" s="850">
        <f>SUM(L76:Q76)</f>
        <v>300000</v>
      </c>
      <c r="L76" s="836">
        <v>0</v>
      </c>
      <c r="M76" s="851">
        <v>0</v>
      </c>
      <c r="N76" s="851">
        <v>0</v>
      </c>
      <c r="O76" s="851">
        <v>300000</v>
      </c>
      <c r="P76" s="851">
        <v>0</v>
      </c>
      <c r="Q76" s="851">
        <v>0</v>
      </c>
      <c r="R76" s="462"/>
      <c r="S76" s="844">
        <f>SUM(T76:Y76)</f>
        <v>125000</v>
      </c>
      <c r="T76" s="836">
        <v>0</v>
      </c>
      <c r="U76" s="851">
        <v>125000</v>
      </c>
      <c r="V76" s="851"/>
      <c r="W76" s="851"/>
      <c r="X76" s="851"/>
      <c r="Y76" s="845"/>
      <c r="Z76" s="409"/>
    </row>
    <row r="77" spans="2:26" x14ac:dyDescent="0.3">
      <c r="B77" s="451"/>
      <c r="C77" s="45"/>
      <c r="D77" s="44" t="s">
        <v>191</v>
      </c>
      <c r="E77" s="44"/>
      <c r="F77" s="44"/>
      <c r="G77" s="44"/>
      <c r="H77" s="44"/>
      <c r="I77" s="838">
        <f t="shared" si="21"/>
        <v>3.5654427363797495E-3</v>
      </c>
      <c r="J77" s="1392">
        <f t="shared" si="22"/>
        <v>150000</v>
      </c>
      <c r="K77" s="862">
        <f>SUM(L77:Q77)</f>
        <v>150000</v>
      </c>
      <c r="L77" s="853">
        <v>0</v>
      </c>
      <c r="M77" s="854">
        <v>0</v>
      </c>
      <c r="N77" s="854">
        <v>0</v>
      </c>
      <c r="O77" s="854">
        <v>150000</v>
      </c>
      <c r="P77" s="854">
        <v>0</v>
      </c>
      <c r="Q77" s="854">
        <v>0</v>
      </c>
      <c r="R77" s="462"/>
      <c r="S77" s="856">
        <f>SUM(T77:Y77)</f>
        <v>0</v>
      </c>
      <c r="T77" s="853">
        <v>0</v>
      </c>
      <c r="U77" s="854">
        <v>0</v>
      </c>
      <c r="V77" s="854"/>
      <c r="W77" s="854"/>
      <c r="X77" s="854"/>
      <c r="Y77" s="857"/>
      <c r="Z77" s="409"/>
    </row>
    <row r="78" spans="2:26" ht="15" thickBot="1" x14ac:dyDescent="0.35">
      <c r="B78" s="451"/>
      <c r="C78" s="45"/>
      <c r="D78" s="44"/>
      <c r="E78" s="44"/>
      <c r="F78" s="44"/>
      <c r="G78" s="48" t="s">
        <v>153</v>
      </c>
      <c r="H78" s="48"/>
      <c r="I78" s="353">
        <f t="shared" si="21"/>
        <v>1.7351821317048113E-2</v>
      </c>
      <c r="J78" s="36">
        <f t="shared" ref="J78:Q78" si="23">SUM(J73:J77)</f>
        <v>730000</v>
      </c>
      <c r="K78" s="22">
        <f t="shared" si="23"/>
        <v>545000</v>
      </c>
      <c r="L78" s="1449">
        <f t="shared" si="23"/>
        <v>0</v>
      </c>
      <c r="M78" s="1450">
        <f t="shared" si="23"/>
        <v>0</v>
      </c>
      <c r="N78" s="1450">
        <f t="shared" si="23"/>
        <v>0</v>
      </c>
      <c r="O78" s="1450">
        <f t="shared" si="23"/>
        <v>545000</v>
      </c>
      <c r="P78" s="1450">
        <f t="shared" si="23"/>
        <v>0</v>
      </c>
      <c r="Q78" s="1450">
        <f t="shared" si="23"/>
        <v>0</v>
      </c>
      <c r="R78" s="463"/>
      <c r="S78" s="464">
        <f t="shared" ref="S78:Y78" si="24">SUM(S73:S77)</f>
        <v>185000</v>
      </c>
      <c r="T78" s="1449">
        <f t="shared" si="24"/>
        <v>0</v>
      </c>
      <c r="U78" s="1450">
        <f t="shared" si="24"/>
        <v>185000</v>
      </c>
      <c r="V78" s="1450">
        <f t="shared" si="24"/>
        <v>0</v>
      </c>
      <c r="W78" s="1450">
        <f t="shared" si="24"/>
        <v>0</v>
      </c>
      <c r="X78" s="1450">
        <f t="shared" si="24"/>
        <v>0</v>
      </c>
      <c r="Y78" s="1451">
        <f t="shared" si="24"/>
        <v>0</v>
      </c>
      <c r="Z78" s="409"/>
    </row>
    <row r="79" spans="2:26" ht="9" customHeight="1" thickBot="1" x14ac:dyDescent="0.35">
      <c r="B79" s="466"/>
      <c r="C79" s="28"/>
      <c r="D79" s="31"/>
      <c r="E79" s="31"/>
      <c r="F79" s="31"/>
      <c r="G79" s="31"/>
      <c r="H79" s="31"/>
      <c r="I79" s="415"/>
      <c r="J79" s="467"/>
      <c r="K79" s="468"/>
      <c r="L79" s="29"/>
      <c r="M79" s="29"/>
      <c r="N79" s="29"/>
      <c r="O79" s="29"/>
      <c r="P79" s="468"/>
      <c r="Q79" s="29"/>
      <c r="R79" s="470"/>
      <c r="S79" s="29"/>
      <c r="T79" s="29"/>
      <c r="U79" s="29"/>
      <c r="V79" s="29"/>
      <c r="W79" s="29"/>
      <c r="X79" s="468"/>
      <c r="Y79" s="29"/>
      <c r="Z79" s="416"/>
    </row>
    <row r="80" spans="2:26" ht="15" thickBot="1" x14ac:dyDescent="0.35">
      <c r="B80" s="451"/>
      <c r="C80" s="78" t="s">
        <v>192</v>
      </c>
      <c r="D80" s="78"/>
      <c r="E80" s="78"/>
      <c r="F80" s="78"/>
      <c r="G80" s="78"/>
      <c r="H80" s="47"/>
      <c r="I80" s="47"/>
      <c r="J80" s="47"/>
      <c r="K80" s="47"/>
      <c r="L80" s="16"/>
      <c r="M80" s="16"/>
      <c r="N80" s="16"/>
      <c r="O80" s="16"/>
      <c r="P80" s="45"/>
      <c r="Q80" s="16"/>
      <c r="R80" s="462"/>
      <c r="S80" s="16"/>
      <c r="T80" s="16"/>
      <c r="U80" s="16"/>
      <c r="V80" s="16"/>
      <c r="W80" s="16"/>
      <c r="X80" s="45"/>
      <c r="Y80" s="16"/>
      <c r="Z80" s="409"/>
    </row>
    <row r="81" spans="2:26" x14ac:dyDescent="0.3">
      <c r="B81" s="451"/>
      <c r="C81" s="45"/>
      <c r="D81" s="155" t="s">
        <v>193</v>
      </c>
      <c r="E81" s="155"/>
      <c r="F81" s="155"/>
      <c r="G81" s="155"/>
      <c r="H81" s="155"/>
      <c r="I81" s="830">
        <f t="shared" ref="I81:I89" si="25">IFERROR(J81/J$122," ")</f>
        <v>5.9424045606329163E-4</v>
      </c>
      <c r="J81" s="1393">
        <f t="shared" ref="J81:J88" si="26">SUM(K81+S81)</f>
        <v>25000</v>
      </c>
      <c r="K81" s="848">
        <f t="shared" ref="K81:K88" si="27">SUM(L81:Q81)</f>
        <v>25000</v>
      </c>
      <c r="L81" s="832">
        <v>0</v>
      </c>
      <c r="M81" s="849">
        <v>0</v>
      </c>
      <c r="N81" s="849">
        <v>0</v>
      </c>
      <c r="O81" s="849">
        <v>25000</v>
      </c>
      <c r="P81" s="849">
        <v>0</v>
      </c>
      <c r="Q81" s="849">
        <v>0</v>
      </c>
      <c r="R81" s="461"/>
      <c r="S81" s="855">
        <f t="shared" ref="S81:S88" si="28">SUM(T81:Y81)</f>
        <v>0</v>
      </c>
      <c r="T81" s="832">
        <v>0</v>
      </c>
      <c r="U81" s="849">
        <v>0</v>
      </c>
      <c r="V81" s="849"/>
      <c r="W81" s="849"/>
      <c r="X81" s="849"/>
      <c r="Y81" s="843"/>
      <c r="Z81" s="409"/>
    </row>
    <row r="82" spans="2:26" x14ac:dyDescent="0.3">
      <c r="B82" s="451"/>
      <c r="C82" s="45"/>
      <c r="D82" s="44" t="s">
        <v>194</v>
      </c>
      <c r="E82" s="44"/>
      <c r="F82" s="44"/>
      <c r="G82" s="44"/>
      <c r="H82" s="44"/>
      <c r="I82" s="834">
        <f t="shared" si="25"/>
        <v>0</v>
      </c>
      <c r="J82" s="1391">
        <f t="shared" si="26"/>
        <v>0</v>
      </c>
      <c r="K82" s="850">
        <f t="shared" si="27"/>
        <v>0</v>
      </c>
      <c r="L82" s="836">
        <v>0</v>
      </c>
      <c r="M82" s="851">
        <v>0</v>
      </c>
      <c r="N82" s="851">
        <v>0</v>
      </c>
      <c r="O82" s="851">
        <v>0</v>
      </c>
      <c r="P82" s="851">
        <v>0</v>
      </c>
      <c r="Q82" s="851">
        <v>0</v>
      </c>
      <c r="R82" s="462"/>
      <c r="S82" s="844">
        <f t="shared" si="28"/>
        <v>0</v>
      </c>
      <c r="T82" s="836">
        <v>0</v>
      </c>
      <c r="U82" s="851">
        <v>0</v>
      </c>
      <c r="V82" s="851"/>
      <c r="W82" s="851"/>
      <c r="X82" s="851"/>
      <c r="Y82" s="845"/>
      <c r="Z82" s="409"/>
    </row>
    <row r="83" spans="2:26" x14ac:dyDescent="0.3">
      <c r="B83" s="451"/>
      <c r="C83" s="45"/>
      <c r="D83" s="44" t="s">
        <v>195</v>
      </c>
      <c r="E83" s="44"/>
      <c r="F83" s="44"/>
      <c r="G83" s="44"/>
      <c r="H83" s="44"/>
      <c r="I83" s="834">
        <f t="shared" si="25"/>
        <v>5.9424045606329163E-4</v>
      </c>
      <c r="J83" s="1391">
        <f t="shared" si="26"/>
        <v>25000</v>
      </c>
      <c r="K83" s="850">
        <f t="shared" si="27"/>
        <v>25000</v>
      </c>
      <c r="L83" s="836">
        <v>0</v>
      </c>
      <c r="M83" s="851">
        <v>0</v>
      </c>
      <c r="N83" s="851">
        <v>0</v>
      </c>
      <c r="O83" s="851">
        <v>25000</v>
      </c>
      <c r="P83" s="851">
        <v>0</v>
      </c>
      <c r="Q83" s="851">
        <v>0</v>
      </c>
      <c r="R83" s="462"/>
      <c r="S83" s="844">
        <f t="shared" si="28"/>
        <v>0</v>
      </c>
      <c r="T83" s="836">
        <v>0</v>
      </c>
      <c r="U83" s="851">
        <v>0</v>
      </c>
      <c r="V83" s="851"/>
      <c r="W83" s="851"/>
      <c r="X83" s="851"/>
      <c r="Y83" s="845"/>
      <c r="Z83" s="409"/>
    </row>
    <row r="84" spans="2:26" x14ac:dyDescent="0.3">
      <c r="B84" s="451"/>
      <c r="C84" s="45"/>
      <c r="D84" s="49" t="s">
        <v>196</v>
      </c>
      <c r="E84" s="49"/>
      <c r="F84" s="49"/>
      <c r="G84" s="49"/>
      <c r="H84" s="49"/>
      <c r="I84" s="834">
        <f t="shared" si="25"/>
        <v>3.684290827592408E-3</v>
      </c>
      <c r="J84" s="1391">
        <f t="shared" si="26"/>
        <v>155000</v>
      </c>
      <c r="K84" s="850">
        <f t="shared" si="27"/>
        <v>155000</v>
      </c>
      <c r="L84" s="836">
        <v>0</v>
      </c>
      <c r="M84" s="851">
        <v>155000</v>
      </c>
      <c r="N84" s="851">
        <v>0</v>
      </c>
      <c r="O84" s="851"/>
      <c r="P84" s="851">
        <v>0</v>
      </c>
      <c r="Q84" s="851">
        <v>0</v>
      </c>
      <c r="R84" s="462"/>
      <c r="S84" s="844">
        <f t="shared" si="28"/>
        <v>0</v>
      </c>
      <c r="T84" s="836">
        <v>0</v>
      </c>
      <c r="U84" s="851">
        <v>0</v>
      </c>
      <c r="V84" s="851"/>
      <c r="W84" s="851"/>
      <c r="X84" s="851"/>
      <c r="Y84" s="845"/>
      <c r="Z84" s="409"/>
    </row>
    <row r="85" spans="2:26" x14ac:dyDescent="0.3">
      <c r="B85" s="451"/>
      <c r="C85" s="45"/>
      <c r="D85" s="49" t="s">
        <v>197</v>
      </c>
      <c r="E85" s="49"/>
      <c r="F85" s="49"/>
      <c r="G85" s="49"/>
      <c r="H85" s="49"/>
      <c r="I85" s="834">
        <f t="shared" si="25"/>
        <v>9.5078472970126652E-4</v>
      </c>
      <c r="J85" s="1391">
        <f t="shared" si="26"/>
        <v>40000</v>
      </c>
      <c r="K85" s="850">
        <f t="shared" si="27"/>
        <v>40000</v>
      </c>
      <c r="L85" s="836">
        <v>0</v>
      </c>
      <c r="M85" s="851">
        <v>40000</v>
      </c>
      <c r="N85" s="851">
        <v>0</v>
      </c>
      <c r="O85" s="851"/>
      <c r="P85" s="851">
        <v>0</v>
      </c>
      <c r="Q85" s="851">
        <v>0</v>
      </c>
      <c r="R85" s="462"/>
      <c r="S85" s="844">
        <f t="shared" si="28"/>
        <v>0</v>
      </c>
      <c r="T85" s="836">
        <v>0</v>
      </c>
      <c r="U85" s="851">
        <v>0</v>
      </c>
      <c r="V85" s="851"/>
      <c r="W85" s="851"/>
      <c r="X85" s="851"/>
      <c r="Y85" s="845"/>
      <c r="Z85" s="409"/>
    </row>
    <row r="86" spans="2:26" x14ac:dyDescent="0.3">
      <c r="B86" s="451"/>
      <c r="C86" s="45"/>
      <c r="D86" s="49" t="s">
        <v>198</v>
      </c>
      <c r="E86" s="49"/>
      <c r="F86" s="49"/>
      <c r="G86" s="49"/>
      <c r="H86" s="49"/>
      <c r="I86" s="834">
        <f t="shared" si="25"/>
        <v>0</v>
      </c>
      <c r="J86" s="1391">
        <f t="shared" si="26"/>
        <v>0</v>
      </c>
      <c r="K86" s="850">
        <f t="shared" si="27"/>
        <v>0</v>
      </c>
      <c r="L86" s="836">
        <v>0</v>
      </c>
      <c r="M86" s="851">
        <v>0</v>
      </c>
      <c r="N86" s="851">
        <v>0</v>
      </c>
      <c r="O86" s="851">
        <v>0</v>
      </c>
      <c r="P86" s="851">
        <v>0</v>
      </c>
      <c r="Q86" s="851">
        <v>0</v>
      </c>
      <c r="R86" s="462"/>
      <c r="S86" s="844">
        <f t="shared" si="28"/>
        <v>0</v>
      </c>
      <c r="T86" s="836">
        <v>0</v>
      </c>
      <c r="U86" s="851">
        <v>0</v>
      </c>
      <c r="V86" s="851"/>
      <c r="W86" s="851"/>
      <c r="X86" s="851"/>
      <c r="Y86" s="845"/>
      <c r="Z86" s="409"/>
    </row>
    <row r="87" spans="2:26" x14ac:dyDescent="0.3">
      <c r="B87" s="451"/>
      <c r="C87" s="45"/>
      <c r="D87" s="50" t="s">
        <v>199</v>
      </c>
      <c r="E87" s="50"/>
      <c r="F87" s="50"/>
      <c r="G87" s="50"/>
      <c r="H87" s="50"/>
      <c r="I87" s="834">
        <f t="shared" si="25"/>
        <v>1.4261770945518998E-3</v>
      </c>
      <c r="J87" s="1391">
        <f t="shared" si="26"/>
        <v>60000</v>
      </c>
      <c r="K87" s="850">
        <f t="shared" si="27"/>
        <v>60000</v>
      </c>
      <c r="L87" s="836">
        <v>0</v>
      </c>
      <c r="M87" s="851">
        <v>60000</v>
      </c>
      <c r="N87" s="851">
        <v>0</v>
      </c>
      <c r="O87" s="851"/>
      <c r="P87" s="851">
        <v>0</v>
      </c>
      <c r="Q87" s="851">
        <v>0</v>
      </c>
      <c r="R87" s="462"/>
      <c r="S87" s="844">
        <f t="shared" si="28"/>
        <v>0</v>
      </c>
      <c r="T87" s="836">
        <v>0</v>
      </c>
      <c r="U87" s="851">
        <v>0</v>
      </c>
      <c r="V87" s="851"/>
      <c r="W87" s="851"/>
      <c r="X87" s="851"/>
      <c r="Y87" s="845"/>
      <c r="Z87" s="409"/>
    </row>
    <row r="88" spans="2:26" x14ac:dyDescent="0.3">
      <c r="B88" s="451"/>
      <c r="C88" s="45"/>
      <c r="D88" s="49" t="s">
        <v>422</v>
      </c>
      <c r="E88" s="2688" t="s">
        <v>2055</v>
      </c>
      <c r="F88" s="2689"/>
      <c r="G88" s="2690"/>
      <c r="H88" s="49"/>
      <c r="I88" s="838">
        <f t="shared" si="25"/>
        <v>1.2136529378454241E-3</v>
      </c>
      <c r="J88" s="1392">
        <f t="shared" si="26"/>
        <v>51059</v>
      </c>
      <c r="K88" s="862">
        <f t="shared" si="27"/>
        <v>31714</v>
      </c>
      <c r="L88" s="853">
        <v>0</v>
      </c>
      <c r="M88" s="854">
        <v>0</v>
      </c>
      <c r="N88" s="854">
        <v>0</v>
      </c>
      <c r="O88" s="854">
        <v>31714</v>
      </c>
      <c r="P88" s="854">
        <v>0</v>
      </c>
      <c r="Q88" s="854">
        <v>0</v>
      </c>
      <c r="R88" s="462"/>
      <c r="S88" s="856">
        <f t="shared" si="28"/>
        <v>19345</v>
      </c>
      <c r="T88" s="853">
        <v>0</v>
      </c>
      <c r="U88" s="854">
        <v>19345</v>
      </c>
      <c r="V88" s="854"/>
      <c r="W88" s="854"/>
      <c r="X88" s="854"/>
      <c r="Y88" s="857"/>
      <c r="Z88" s="409"/>
    </row>
    <row r="89" spans="2:26" ht="15" thickBot="1" x14ac:dyDescent="0.35">
      <c r="B89" s="451"/>
      <c r="C89" s="45"/>
      <c r="D89" s="44"/>
      <c r="E89" s="44"/>
      <c r="F89" s="44"/>
      <c r="G89" s="48" t="s">
        <v>153</v>
      </c>
      <c r="H89" s="48"/>
      <c r="I89" s="353">
        <f t="shared" si="25"/>
        <v>8.4633865018175821E-3</v>
      </c>
      <c r="J89" s="36">
        <f t="shared" ref="J89:Q89" si="29">SUM(J81:J88)</f>
        <v>356059</v>
      </c>
      <c r="K89" s="22">
        <f t="shared" si="29"/>
        <v>336714</v>
      </c>
      <c r="L89" s="1449">
        <f t="shared" si="29"/>
        <v>0</v>
      </c>
      <c r="M89" s="1450">
        <f t="shared" si="29"/>
        <v>255000</v>
      </c>
      <c r="N89" s="1450">
        <f t="shared" si="29"/>
        <v>0</v>
      </c>
      <c r="O89" s="1450">
        <f t="shared" si="29"/>
        <v>81714</v>
      </c>
      <c r="P89" s="1450">
        <f t="shared" si="29"/>
        <v>0</v>
      </c>
      <c r="Q89" s="1450">
        <f t="shared" si="29"/>
        <v>0</v>
      </c>
      <c r="R89" s="463"/>
      <c r="S89" s="464">
        <f t="shared" ref="S89:Y89" si="30">SUM(S81:S88)</f>
        <v>19345</v>
      </c>
      <c r="T89" s="1449">
        <f t="shared" si="30"/>
        <v>0</v>
      </c>
      <c r="U89" s="1450">
        <f t="shared" si="30"/>
        <v>19345</v>
      </c>
      <c r="V89" s="1450">
        <f t="shared" si="30"/>
        <v>0</v>
      </c>
      <c r="W89" s="1450">
        <f t="shared" si="30"/>
        <v>0</v>
      </c>
      <c r="X89" s="1450">
        <f t="shared" si="30"/>
        <v>0</v>
      </c>
      <c r="Y89" s="1451">
        <f t="shared" si="30"/>
        <v>0</v>
      </c>
      <c r="Z89" s="409"/>
    </row>
    <row r="90" spans="2:26" ht="3.75" customHeight="1" x14ac:dyDescent="0.3">
      <c r="B90" s="451"/>
      <c r="C90" s="44"/>
      <c r="D90" s="44"/>
      <c r="E90" s="44"/>
      <c r="F90" s="44"/>
      <c r="G90" s="44"/>
      <c r="H90" s="44"/>
      <c r="I90" s="453"/>
      <c r="J90" s="465"/>
      <c r="K90" s="45"/>
      <c r="L90" s="16"/>
      <c r="M90" s="16"/>
      <c r="N90" s="16"/>
      <c r="O90" s="16"/>
      <c r="P90" s="45"/>
      <c r="Q90" s="16"/>
      <c r="R90" s="462"/>
      <c r="S90" s="16"/>
      <c r="T90" s="16"/>
      <c r="U90" s="16"/>
      <c r="V90" s="16"/>
      <c r="W90" s="16"/>
      <c r="X90" s="45"/>
      <c r="Y90" s="16"/>
      <c r="Z90" s="409"/>
    </row>
    <row r="91" spans="2:26" ht="15" thickBot="1" x14ac:dyDescent="0.35">
      <c r="B91" s="451"/>
      <c r="C91" s="78" t="s">
        <v>200</v>
      </c>
      <c r="D91" s="78"/>
      <c r="E91" s="78"/>
      <c r="F91" s="78"/>
      <c r="G91" s="78"/>
      <c r="H91" s="47"/>
      <c r="I91" s="47"/>
      <c r="J91" s="47"/>
      <c r="K91" s="47"/>
      <c r="L91" s="475"/>
      <c r="M91" s="19"/>
      <c r="N91" s="19"/>
      <c r="O91" s="19"/>
      <c r="P91" s="45"/>
      <c r="Q91" s="19"/>
      <c r="R91" s="462"/>
      <c r="S91" s="19"/>
      <c r="T91" s="19"/>
      <c r="U91" s="19"/>
      <c r="V91" s="19"/>
      <c r="W91" s="19"/>
      <c r="X91" s="45"/>
      <c r="Y91" s="19"/>
      <c r="Z91" s="409"/>
    </row>
    <row r="92" spans="2:26" x14ac:dyDescent="0.3">
      <c r="B92" s="451"/>
      <c r="C92" s="45"/>
      <c r="D92" s="156" t="s">
        <v>201</v>
      </c>
      <c r="E92" s="156"/>
      <c r="F92" s="156"/>
      <c r="G92" s="156"/>
      <c r="H92" s="156"/>
      <c r="I92" s="830">
        <f>IFERROR(J92/J$122," ")</f>
        <v>6.5366450166962076E-3</v>
      </c>
      <c r="J92" s="1393">
        <f t="shared" ref="J92:J94" si="31">SUM(K92+S92)</f>
        <v>275000</v>
      </c>
      <c r="K92" s="848">
        <f>SUM(L92:Q92)</f>
        <v>275000</v>
      </c>
      <c r="L92" s="832">
        <v>0</v>
      </c>
      <c r="M92" s="849">
        <v>275000</v>
      </c>
      <c r="N92" s="849">
        <v>0</v>
      </c>
      <c r="O92" s="849">
        <v>0</v>
      </c>
      <c r="P92" s="849">
        <v>0</v>
      </c>
      <c r="Q92" s="849">
        <v>0</v>
      </c>
      <c r="R92" s="461"/>
      <c r="S92" s="855">
        <f>SUM(T92:Y92)</f>
        <v>0</v>
      </c>
      <c r="T92" s="832">
        <v>0</v>
      </c>
      <c r="U92" s="849">
        <v>0</v>
      </c>
      <c r="V92" s="849"/>
      <c r="W92" s="849"/>
      <c r="X92" s="849"/>
      <c r="Y92" s="843"/>
      <c r="Z92" s="409"/>
    </row>
    <row r="93" spans="2:26" x14ac:dyDescent="0.3">
      <c r="B93" s="451"/>
      <c r="C93" s="45"/>
      <c r="D93" s="50" t="s">
        <v>202</v>
      </c>
      <c r="E93" s="50"/>
      <c r="F93" s="50"/>
      <c r="G93" s="50"/>
      <c r="H93" s="50"/>
      <c r="I93" s="834">
        <f>IFERROR(J93/J$122," ")</f>
        <v>0</v>
      </c>
      <c r="J93" s="1391">
        <f t="shared" si="31"/>
        <v>0</v>
      </c>
      <c r="K93" s="850">
        <f>SUM(L93:Q93)</f>
        <v>0</v>
      </c>
      <c r="L93" s="836">
        <v>0</v>
      </c>
      <c r="M93" s="851">
        <v>0</v>
      </c>
      <c r="N93" s="851">
        <v>0</v>
      </c>
      <c r="O93" s="851">
        <v>0</v>
      </c>
      <c r="P93" s="851">
        <v>0</v>
      </c>
      <c r="Q93" s="851">
        <v>0</v>
      </c>
      <c r="R93" s="462"/>
      <c r="S93" s="844">
        <f>SUM(T93:Y93)</f>
        <v>0</v>
      </c>
      <c r="T93" s="836">
        <v>0</v>
      </c>
      <c r="U93" s="851">
        <v>0</v>
      </c>
      <c r="V93" s="851"/>
      <c r="W93" s="851"/>
      <c r="X93" s="851"/>
      <c r="Y93" s="845"/>
      <c r="Z93" s="409"/>
    </row>
    <row r="94" spans="2:26" x14ac:dyDescent="0.3">
      <c r="B94" s="451"/>
      <c r="C94" s="45"/>
      <c r="D94" s="49" t="s">
        <v>422</v>
      </c>
      <c r="E94" s="2688"/>
      <c r="F94" s="2689"/>
      <c r="G94" s="2690"/>
      <c r="H94" s="49"/>
      <c r="I94" s="838">
        <f>IFERROR(J94/J$122," ")</f>
        <v>0</v>
      </c>
      <c r="J94" s="1392">
        <f t="shared" si="31"/>
        <v>0</v>
      </c>
      <c r="K94" s="862">
        <f>SUM(L94:Q94)</f>
        <v>0</v>
      </c>
      <c r="L94" s="853">
        <v>0</v>
      </c>
      <c r="M94" s="854">
        <v>0</v>
      </c>
      <c r="N94" s="854">
        <v>0</v>
      </c>
      <c r="O94" s="854">
        <v>0</v>
      </c>
      <c r="P94" s="854">
        <v>0</v>
      </c>
      <c r="Q94" s="854">
        <v>0</v>
      </c>
      <c r="R94" s="462"/>
      <c r="S94" s="856">
        <f>SUM(T94:Y94)</f>
        <v>0</v>
      </c>
      <c r="T94" s="853">
        <v>0</v>
      </c>
      <c r="U94" s="854">
        <v>0</v>
      </c>
      <c r="V94" s="854"/>
      <c r="W94" s="854"/>
      <c r="X94" s="854"/>
      <c r="Y94" s="857"/>
      <c r="Z94" s="409"/>
    </row>
    <row r="95" spans="2:26" ht="15" thickBot="1" x14ac:dyDescent="0.35">
      <c r="B95" s="451"/>
      <c r="C95" s="45"/>
      <c r="D95" s="44"/>
      <c r="E95" s="44"/>
      <c r="F95" s="44"/>
      <c r="G95" s="48" t="s">
        <v>153</v>
      </c>
      <c r="H95" s="48"/>
      <c r="I95" s="353">
        <f>IFERROR(J95/J$122," ")</f>
        <v>6.5366450166962076E-3</v>
      </c>
      <c r="J95" s="36">
        <f t="shared" ref="J95:Q95" si="32">SUM(J92:J94)</f>
        <v>275000</v>
      </c>
      <c r="K95" s="22">
        <f t="shared" si="32"/>
        <v>275000</v>
      </c>
      <c r="L95" s="1449">
        <f t="shared" si="32"/>
        <v>0</v>
      </c>
      <c r="M95" s="1450">
        <f t="shared" si="32"/>
        <v>275000</v>
      </c>
      <c r="N95" s="1450">
        <f t="shared" si="32"/>
        <v>0</v>
      </c>
      <c r="O95" s="1450">
        <f t="shared" si="32"/>
        <v>0</v>
      </c>
      <c r="P95" s="1450">
        <f t="shared" si="32"/>
        <v>0</v>
      </c>
      <c r="Q95" s="1450">
        <f t="shared" si="32"/>
        <v>0</v>
      </c>
      <c r="R95" s="463"/>
      <c r="S95" s="464">
        <f t="shared" ref="S95:Y95" si="33">SUM(S92:S94)</f>
        <v>0</v>
      </c>
      <c r="T95" s="1449">
        <f t="shared" si="33"/>
        <v>0</v>
      </c>
      <c r="U95" s="1450">
        <f t="shared" si="33"/>
        <v>0</v>
      </c>
      <c r="V95" s="1450">
        <f t="shared" si="33"/>
        <v>0</v>
      </c>
      <c r="W95" s="1450">
        <f t="shared" si="33"/>
        <v>0</v>
      </c>
      <c r="X95" s="1450">
        <f t="shared" si="33"/>
        <v>0</v>
      </c>
      <c r="Y95" s="1451">
        <f t="shared" si="33"/>
        <v>0</v>
      </c>
      <c r="Z95" s="409"/>
    </row>
    <row r="96" spans="2:26" ht="3.75" customHeight="1" x14ac:dyDescent="0.3">
      <c r="B96" s="451"/>
      <c r="C96" s="44"/>
      <c r="D96" s="44"/>
      <c r="E96" s="44"/>
      <c r="F96" s="44"/>
      <c r="G96" s="44"/>
      <c r="H96" s="44"/>
      <c r="I96" s="453"/>
      <c r="J96" s="465"/>
      <c r="K96" s="45"/>
      <c r="L96" s="76"/>
      <c r="M96" s="76"/>
      <c r="N96" s="76"/>
      <c r="O96" s="76"/>
      <c r="P96" s="45"/>
      <c r="Q96" s="76"/>
      <c r="R96" s="462"/>
      <c r="S96" s="76"/>
      <c r="T96" s="76"/>
      <c r="U96" s="76"/>
      <c r="V96" s="76"/>
      <c r="W96" s="76"/>
      <c r="X96" s="45"/>
      <c r="Y96" s="76"/>
      <c r="Z96" s="409"/>
    </row>
    <row r="97" spans="2:26" ht="15" thickBot="1" x14ac:dyDescent="0.35">
      <c r="B97" s="451"/>
      <c r="C97" s="78" t="s">
        <v>203</v>
      </c>
      <c r="D97" s="78"/>
      <c r="E97" s="78"/>
      <c r="F97" s="78"/>
      <c r="G97" s="78"/>
      <c r="H97" s="47"/>
      <c r="I97" s="47"/>
      <c r="J97" s="47"/>
      <c r="K97" s="47"/>
      <c r="L97" s="19"/>
      <c r="M97" s="19"/>
      <c r="N97" s="19"/>
      <c r="O97" s="19"/>
      <c r="P97" s="45"/>
      <c r="Q97" s="19"/>
      <c r="R97" s="462"/>
      <c r="S97" s="19"/>
      <c r="T97" s="19"/>
      <c r="U97" s="19"/>
      <c r="V97" s="19"/>
      <c r="W97" s="19"/>
      <c r="X97" s="45"/>
      <c r="Y97" s="19"/>
      <c r="Z97" s="409"/>
    </row>
    <row r="98" spans="2:26" x14ac:dyDescent="0.3">
      <c r="B98" s="451"/>
      <c r="C98" s="45"/>
      <c r="D98" s="156" t="s">
        <v>204</v>
      </c>
      <c r="E98" s="156"/>
      <c r="F98" s="156"/>
      <c r="G98" s="156"/>
      <c r="H98" s="156"/>
      <c r="I98" s="830">
        <f t="shared" ref="I98:I109" si="34">IFERROR(J98/J$122," ")</f>
        <v>1.3666579704726006E-3</v>
      </c>
      <c r="J98" s="1393">
        <f t="shared" ref="J98:J108" si="35">SUM(K98+S98)</f>
        <v>57496</v>
      </c>
      <c r="K98" s="848">
        <f t="shared" ref="K98:K108" si="36">SUM(L98:Q98)</f>
        <v>34906</v>
      </c>
      <c r="L98" s="832">
        <v>0</v>
      </c>
      <c r="M98" s="849">
        <v>34906</v>
      </c>
      <c r="N98" s="849">
        <v>0</v>
      </c>
      <c r="O98" s="849"/>
      <c r="P98" s="849">
        <v>0</v>
      </c>
      <c r="Q98" s="849">
        <v>0</v>
      </c>
      <c r="R98" s="461"/>
      <c r="S98" s="855">
        <f t="shared" ref="S98:S108" si="37">SUM(T98:Y98)</f>
        <v>22590</v>
      </c>
      <c r="T98" s="832">
        <v>0</v>
      </c>
      <c r="U98" s="849">
        <v>22590</v>
      </c>
      <c r="V98" s="849"/>
      <c r="W98" s="849"/>
      <c r="X98" s="849"/>
      <c r="Y98" s="843"/>
      <c r="Z98" s="409"/>
    </row>
    <row r="99" spans="2:26" x14ac:dyDescent="0.3">
      <c r="B99" s="451"/>
      <c r="C99" s="45"/>
      <c r="D99" s="50" t="s">
        <v>205</v>
      </c>
      <c r="E99" s="50"/>
      <c r="F99" s="50"/>
      <c r="G99" s="50"/>
      <c r="H99" s="50"/>
      <c r="I99" s="834">
        <f t="shared" si="34"/>
        <v>4.2974043605402698E-3</v>
      </c>
      <c r="J99" s="1391">
        <f t="shared" si="35"/>
        <v>180794</v>
      </c>
      <c r="K99" s="850">
        <f t="shared" si="36"/>
        <v>106279</v>
      </c>
      <c r="L99" s="836">
        <v>0</v>
      </c>
      <c r="M99" s="851">
        <v>0</v>
      </c>
      <c r="N99" s="851">
        <v>0</v>
      </c>
      <c r="O99" s="851">
        <v>106279</v>
      </c>
      <c r="P99" s="851">
        <v>0</v>
      </c>
      <c r="Q99" s="851">
        <v>0</v>
      </c>
      <c r="R99" s="462"/>
      <c r="S99" s="844">
        <f t="shared" si="37"/>
        <v>74515</v>
      </c>
      <c r="T99" s="836">
        <v>0</v>
      </c>
      <c r="U99" s="851">
        <v>74515</v>
      </c>
      <c r="V99" s="851"/>
      <c r="W99" s="851"/>
      <c r="X99" s="851"/>
      <c r="Y99" s="845"/>
      <c r="Z99" s="409"/>
    </row>
    <row r="100" spans="2:26" x14ac:dyDescent="0.3">
      <c r="B100" s="451"/>
      <c r="C100" s="45"/>
      <c r="D100" s="50" t="s">
        <v>103</v>
      </c>
      <c r="E100" s="50"/>
      <c r="F100" s="50"/>
      <c r="G100" s="50"/>
      <c r="H100" s="50"/>
      <c r="I100" s="834">
        <f t="shared" si="34"/>
        <v>0</v>
      </c>
      <c r="J100" s="1391">
        <f t="shared" si="35"/>
        <v>0</v>
      </c>
      <c r="K100" s="850">
        <f t="shared" si="36"/>
        <v>0</v>
      </c>
      <c r="L100" s="836">
        <v>0</v>
      </c>
      <c r="M100" s="851">
        <v>0</v>
      </c>
      <c r="N100" s="851">
        <v>0</v>
      </c>
      <c r="O100" s="851">
        <v>0</v>
      </c>
      <c r="P100" s="851">
        <v>0</v>
      </c>
      <c r="Q100" s="851">
        <v>0</v>
      </c>
      <c r="R100" s="462"/>
      <c r="S100" s="844">
        <f t="shared" si="37"/>
        <v>0</v>
      </c>
      <c r="T100" s="836">
        <v>0</v>
      </c>
      <c r="U100" s="851">
        <v>0</v>
      </c>
      <c r="V100" s="851"/>
      <c r="W100" s="851"/>
      <c r="X100" s="851"/>
      <c r="Y100" s="845"/>
      <c r="Z100" s="409"/>
    </row>
    <row r="101" spans="2:26" x14ac:dyDescent="0.3">
      <c r="B101" s="451"/>
      <c r="C101" s="45"/>
      <c r="D101" s="50" t="s">
        <v>206</v>
      </c>
      <c r="E101" s="50"/>
      <c r="F101" s="50"/>
      <c r="G101" s="50"/>
      <c r="H101" s="50"/>
      <c r="I101" s="834">
        <f t="shared" si="34"/>
        <v>0</v>
      </c>
      <c r="J101" s="1391">
        <f t="shared" si="35"/>
        <v>0</v>
      </c>
      <c r="K101" s="850">
        <f t="shared" si="36"/>
        <v>0</v>
      </c>
      <c r="L101" s="836">
        <v>0</v>
      </c>
      <c r="M101" s="851">
        <v>0</v>
      </c>
      <c r="N101" s="851">
        <v>0</v>
      </c>
      <c r="O101" s="851">
        <v>0</v>
      </c>
      <c r="P101" s="851">
        <v>0</v>
      </c>
      <c r="Q101" s="851">
        <v>0</v>
      </c>
      <c r="R101" s="462"/>
      <c r="S101" s="844">
        <f t="shared" si="37"/>
        <v>0</v>
      </c>
      <c r="T101" s="836">
        <v>0</v>
      </c>
      <c r="U101" s="851">
        <v>0</v>
      </c>
      <c r="V101" s="851"/>
      <c r="W101" s="851"/>
      <c r="X101" s="851"/>
      <c r="Y101" s="845"/>
      <c r="Z101" s="409"/>
    </row>
    <row r="102" spans="2:26" x14ac:dyDescent="0.3">
      <c r="B102" s="451"/>
      <c r="C102" s="45"/>
      <c r="D102" s="50" t="s">
        <v>207</v>
      </c>
      <c r="E102" s="50"/>
      <c r="F102" s="50"/>
      <c r="G102" s="354" t="str">
        <f>IF(AND(J102&lt;&gt;0,'6E - 4% Building'!H60=0),"Complete Form 6E","")</f>
        <v/>
      </c>
      <c r="H102" s="50"/>
      <c r="I102" s="834">
        <f t="shared" si="34"/>
        <v>2.0657200660236325E-2</v>
      </c>
      <c r="J102" s="1391">
        <f t="shared" si="35"/>
        <v>869059</v>
      </c>
      <c r="K102" s="850">
        <f t="shared" si="36"/>
        <v>679614</v>
      </c>
      <c r="L102" s="836">
        <v>0</v>
      </c>
      <c r="M102" s="851">
        <v>200000</v>
      </c>
      <c r="N102" s="851">
        <v>0</v>
      </c>
      <c r="O102" s="851">
        <v>479614</v>
      </c>
      <c r="P102" s="851">
        <v>0</v>
      </c>
      <c r="Q102" s="851">
        <v>0</v>
      </c>
      <c r="R102" s="462"/>
      <c r="S102" s="844">
        <f t="shared" si="37"/>
        <v>189445</v>
      </c>
      <c r="T102" s="836">
        <v>0</v>
      </c>
      <c r="U102" s="851">
        <v>189445</v>
      </c>
      <c r="V102" s="851"/>
      <c r="W102" s="851"/>
      <c r="X102" s="851"/>
      <c r="Y102" s="845"/>
      <c r="Z102" s="409"/>
    </row>
    <row r="103" spans="2:26" x14ac:dyDescent="0.3">
      <c r="B103" s="451"/>
      <c r="C103" s="45"/>
      <c r="D103" s="49" t="s">
        <v>208</v>
      </c>
      <c r="E103" s="49"/>
      <c r="F103" s="49"/>
      <c r="G103" s="354" t="str">
        <f>IF(AND(J103&lt;&gt;0,'6E - 4% Building'!H60=0),"Complete Form 6E","")</f>
        <v/>
      </c>
      <c r="H103" s="49"/>
      <c r="I103" s="834">
        <f t="shared" si="34"/>
        <v>0</v>
      </c>
      <c r="J103" s="1391">
        <f t="shared" si="35"/>
        <v>0</v>
      </c>
      <c r="K103" s="850">
        <f t="shared" si="36"/>
        <v>0</v>
      </c>
      <c r="L103" s="836">
        <v>0</v>
      </c>
      <c r="M103" s="851">
        <v>0</v>
      </c>
      <c r="N103" s="851">
        <v>0</v>
      </c>
      <c r="O103" s="851">
        <v>0</v>
      </c>
      <c r="P103" s="851">
        <v>0</v>
      </c>
      <c r="Q103" s="851">
        <v>0</v>
      </c>
      <c r="R103" s="462"/>
      <c r="S103" s="844">
        <f t="shared" si="37"/>
        <v>0</v>
      </c>
      <c r="T103" s="836">
        <v>0</v>
      </c>
      <c r="U103" s="851">
        <v>0</v>
      </c>
      <c r="V103" s="851"/>
      <c r="W103" s="851"/>
      <c r="X103" s="851"/>
      <c r="Y103" s="845"/>
      <c r="Z103" s="409"/>
    </row>
    <row r="104" spans="2:26" x14ac:dyDescent="0.3">
      <c r="B104" s="451"/>
      <c r="C104" s="45"/>
      <c r="D104" s="49" t="s">
        <v>209</v>
      </c>
      <c r="E104" s="49"/>
      <c r="F104" s="49"/>
      <c r="G104" s="49"/>
      <c r="H104" s="49"/>
      <c r="I104" s="834">
        <f t="shared" si="34"/>
        <v>0</v>
      </c>
      <c r="J104" s="1391">
        <f t="shared" si="35"/>
        <v>0</v>
      </c>
      <c r="K104" s="850">
        <f t="shared" si="36"/>
        <v>0</v>
      </c>
      <c r="L104" s="836">
        <v>0</v>
      </c>
      <c r="M104" s="851">
        <v>0</v>
      </c>
      <c r="N104" s="851">
        <v>0</v>
      </c>
      <c r="O104" s="851">
        <v>0</v>
      </c>
      <c r="P104" s="851">
        <v>0</v>
      </c>
      <c r="Q104" s="851">
        <v>0</v>
      </c>
      <c r="R104" s="462"/>
      <c r="S104" s="844">
        <f t="shared" si="37"/>
        <v>0</v>
      </c>
      <c r="T104" s="836">
        <v>0</v>
      </c>
      <c r="U104" s="851">
        <v>0</v>
      </c>
      <c r="V104" s="851"/>
      <c r="W104" s="851"/>
      <c r="X104" s="851"/>
      <c r="Y104" s="845"/>
      <c r="Z104" s="409"/>
    </row>
    <row r="105" spans="2:26" x14ac:dyDescent="0.3">
      <c r="B105" s="451"/>
      <c r="C105" s="45"/>
      <c r="D105" s="49" t="s">
        <v>210</v>
      </c>
      <c r="E105" s="49"/>
      <c r="F105" s="49"/>
      <c r="G105" s="49"/>
      <c r="H105" s="49"/>
      <c r="I105" s="834">
        <f t="shared" si="34"/>
        <v>5.9424045606329163E-4</v>
      </c>
      <c r="J105" s="1391">
        <f t="shared" si="35"/>
        <v>25000</v>
      </c>
      <c r="K105" s="850">
        <f t="shared" si="36"/>
        <v>25000</v>
      </c>
      <c r="L105" s="836">
        <v>0</v>
      </c>
      <c r="M105" s="851">
        <v>25000</v>
      </c>
      <c r="N105" s="851">
        <v>0</v>
      </c>
      <c r="O105" s="851"/>
      <c r="P105" s="851">
        <v>0</v>
      </c>
      <c r="Q105" s="851">
        <v>0</v>
      </c>
      <c r="R105" s="462"/>
      <c r="S105" s="844">
        <f t="shared" si="37"/>
        <v>0</v>
      </c>
      <c r="T105" s="836">
        <v>0</v>
      </c>
      <c r="U105" s="851">
        <v>0</v>
      </c>
      <c r="V105" s="851"/>
      <c r="W105" s="851"/>
      <c r="X105" s="851"/>
      <c r="Y105" s="845"/>
      <c r="Z105" s="409"/>
    </row>
    <row r="106" spans="2:26" x14ac:dyDescent="0.3">
      <c r="B106" s="451"/>
      <c r="C106" s="45"/>
      <c r="D106" s="50" t="s">
        <v>211</v>
      </c>
      <c r="E106" s="50"/>
      <c r="F106" s="50"/>
      <c r="G106" s="50"/>
      <c r="H106" s="50"/>
      <c r="I106" s="834">
        <f t="shared" si="34"/>
        <v>4.0408351012303828E-4</v>
      </c>
      <c r="J106" s="1391">
        <f t="shared" si="35"/>
        <v>17000</v>
      </c>
      <c r="K106" s="850">
        <f t="shared" si="36"/>
        <v>8500</v>
      </c>
      <c r="L106" s="836">
        <v>0</v>
      </c>
      <c r="M106" s="851">
        <v>8500</v>
      </c>
      <c r="N106" s="851">
        <v>0</v>
      </c>
      <c r="O106" s="851"/>
      <c r="P106" s="851">
        <v>0</v>
      </c>
      <c r="Q106" s="851">
        <v>0</v>
      </c>
      <c r="R106" s="462"/>
      <c r="S106" s="844">
        <f t="shared" si="37"/>
        <v>8500</v>
      </c>
      <c r="T106" s="836">
        <v>0</v>
      </c>
      <c r="U106" s="851">
        <v>8500</v>
      </c>
      <c r="V106" s="851"/>
      <c r="W106" s="851"/>
      <c r="X106" s="851"/>
      <c r="Y106" s="845"/>
      <c r="Z106" s="409"/>
    </row>
    <row r="107" spans="2:26" x14ac:dyDescent="0.3">
      <c r="B107" s="451"/>
      <c r="C107" s="45"/>
      <c r="D107" s="49" t="s">
        <v>212</v>
      </c>
      <c r="E107" s="49"/>
      <c r="F107" s="49"/>
      <c r="G107" s="49"/>
      <c r="H107" s="49"/>
      <c r="I107" s="834">
        <f t="shared" si="34"/>
        <v>1.0884108193255249E-3</v>
      </c>
      <c r="J107" s="1391">
        <f t="shared" si="35"/>
        <v>45790</v>
      </c>
      <c r="K107" s="850">
        <f t="shared" si="36"/>
        <v>45790</v>
      </c>
      <c r="L107" s="836">
        <v>0</v>
      </c>
      <c r="M107" s="851">
        <v>45790</v>
      </c>
      <c r="N107" s="851">
        <v>0</v>
      </c>
      <c r="O107" s="851"/>
      <c r="P107" s="851">
        <v>0</v>
      </c>
      <c r="Q107" s="851">
        <v>0</v>
      </c>
      <c r="R107" s="462"/>
      <c r="S107" s="844">
        <f t="shared" si="37"/>
        <v>0</v>
      </c>
      <c r="T107" s="836">
        <v>0</v>
      </c>
      <c r="U107" s="851">
        <v>0</v>
      </c>
      <c r="V107" s="851"/>
      <c r="W107" s="851"/>
      <c r="X107" s="851"/>
      <c r="Y107" s="845"/>
      <c r="Z107" s="409"/>
    </row>
    <row r="108" spans="2:26" x14ac:dyDescent="0.3">
      <c r="B108" s="451"/>
      <c r="C108" s="45"/>
      <c r="D108" s="50" t="s">
        <v>497</v>
      </c>
      <c r="E108" s="50"/>
      <c r="F108" s="50"/>
      <c r="G108" s="50"/>
      <c r="H108" s="50"/>
      <c r="I108" s="838">
        <f t="shared" si="34"/>
        <v>7.2544874876206641E-4</v>
      </c>
      <c r="J108" s="1392">
        <f t="shared" si="35"/>
        <v>30520</v>
      </c>
      <c r="K108" s="862">
        <f t="shared" si="36"/>
        <v>30520</v>
      </c>
      <c r="L108" s="853">
        <v>0</v>
      </c>
      <c r="M108" s="854">
        <v>30520</v>
      </c>
      <c r="N108" s="854">
        <v>0</v>
      </c>
      <c r="O108" s="854"/>
      <c r="P108" s="854">
        <v>0</v>
      </c>
      <c r="Q108" s="854">
        <v>0</v>
      </c>
      <c r="R108" s="462"/>
      <c r="S108" s="856">
        <f t="shared" si="37"/>
        <v>0</v>
      </c>
      <c r="T108" s="853">
        <v>0</v>
      </c>
      <c r="U108" s="854">
        <v>0</v>
      </c>
      <c r="V108" s="854"/>
      <c r="W108" s="854"/>
      <c r="X108" s="854"/>
      <c r="Y108" s="857"/>
      <c r="Z108" s="409"/>
    </row>
    <row r="109" spans="2:26" ht="15" thickBot="1" x14ac:dyDescent="0.35">
      <c r="B109" s="451"/>
      <c r="C109" s="45"/>
      <c r="D109" s="44"/>
      <c r="E109" s="44"/>
      <c r="F109" s="44"/>
      <c r="G109" s="48" t="s">
        <v>153</v>
      </c>
      <c r="H109" s="48"/>
      <c r="I109" s="353">
        <f t="shared" si="34"/>
        <v>2.9133446525523115E-2</v>
      </c>
      <c r="J109" s="36">
        <f t="shared" ref="J109:Q109" si="38">SUM(J98:J108)</f>
        <v>1225659</v>
      </c>
      <c r="K109" s="22">
        <f t="shared" si="38"/>
        <v>930609</v>
      </c>
      <c r="L109" s="1449">
        <f t="shared" si="38"/>
        <v>0</v>
      </c>
      <c r="M109" s="1450">
        <f t="shared" si="38"/>
        <v>344716</v>
      </c>
      <c r="N109" s="1450">
        <f t="shared" si="38"/>
        <v>0</v>
      </c>
      <c r="O109" s="1450">
        <f t="shared" si="38"/>
        <v>585893</v>
      </c>
      <c r="P109" s="1450">
        <f t="shared" si="38"/>
        <v>0</v>
      </c>
      <c r="Q109" s="1450">
        <f t="shared" si="38"/>
        <v>0</v>
      </c>
      <c r="R109" s="463"/>
      <c r="S109" s="464">
        <f t="shared" ref="S109:Y109" si="39">SUM(S98:S108)</f>
        <v>295050</v>
      </c>
      <c r="T109" s="1449">
        <f t="shared" si="39"/>
        <v>0</v>
      </c>
      <c r="U109" s="1450">
        <f t="shared" si="39"/>
        <v>295050</v>
      </c>
      <c r="V109" s="1450">
        <f t="shared" si="39"/>
        <v>0</v>
      </c>
      <c r="W109" s="1450">
        <f t="shared" si="39"/>
        <v>0</v>
      </c>
      <c r="X109" s="1450">
        <f t="shared" si="39"/>
        <v>0</v>
      </c>
      <c r="Y109" s="1451">
        <f t="shared" si="39"/>
        <v>0</v>
      </c>
      <c r="Z109" s="409"/>
    </row>
    <row r="110" spans="2:26" ht="9" customHeight="1" thickBot="1" x14ac:dyDescent="0.35">
      <c r="B110" s="466"/>
      <c r="C110" s="30"/>
      <c r="D110" s="31"/>
      <c r="E110" s="31"/>
      <c r="F110" s="31"/>
      <c r="G110" s="31"/>
      <c r="H110" s="31"/>
      <c r="I110" s="415"/>
      <c r="J110" s="467"/>
      <c r="K110" s="476"/>
      <c r="L110" s="32"/>
      <c r="M110" s="32"/>
      <c r="N110" s="32"/>
      <c r="O110" s="32"/>
      <c r="P110" s="476"/>
      <c r="Q110" s="32"/>
      <c r="R110" s="477"/>
      <c r="S110" s="32"/>
      <c r="T110" s="32"/>
      <c r="U110" s="32"/>
      <c r="V110" s="32"/>
      <c r="W110" s="32"/>
      <c r="X110" s="476"/>
      <c r="Y110" s="32"/>
      <c r="Z110" s="416"/>
    </row>
    <row r="111" spans="2:26" ht="3.75" customHeight="1" x14ac:dyDescent="0.3">
      <c r="B111" s="451"/>
      <c r="C111" s="47"/>
      <c r="D111" s="48"/>
      <c r="E111" s="48"/>
      <c r="F111" s="48"/>
      <c r="G111" s="48"/>
      <c r="H111" s="48"/>
      <c r="I111" s="453"/>
      <c r="J111" s="453"/>
      <c r="K111" s="45"/>
      <c r="L111" s="16"/>
      <c r="M111" s="16"/>
      <c r="N111" s="16"/>
      <c r="O111" s="16"/>
      <c r="P111" s="45"/>
      <c r="Q111" s="16"/>
      <c r="R111" s="462"/>
      <c r="S111" s="16"/>
      <c r="T111" s="16"/>
      <c r="U111" s="16"/>
      <c r="V111" s="16"/>
      <c r="W111" s="16"/>
      <c r="X111" s="45"/>
      <c r="Y111" s="16"/>
      <c r="Z111" s="409"/>
    </row>
    <row r="112" spans="2:26" ht="15" thickBot="1" x14ac:dyDescent="0.35">
      <c r="B112" s="451"/>
      <c r="C112" s="78" t="s">
        <v>214</v>
      </c>
      <c r="D112" s="78"/>
      <c r="E112" s="78"/>
      <c r="F112" s="78"/>
      <c r="G112" s="78"/>
      <c r="H112" s="47"/>
      <c r="I112" s="47"/>
      <c r="J112" s="47"/>
      <c r="K112" s="47"/>
      <c r="L112" s="16"/>
      <c r="M112" s="16"/>
      <c r="N112" s="16"/>
      <c r="O112" s="16"/>
      <c r="P112" s="68"/>
      <c r="Q112" s="16"/>
      <c r="R112" s="462"/>
      <c r="S112" s="16"/>
      <c r="T112" s="16"/>
      <c r="U112" s="16"/>
      <c r="V112" s="16"/>
      <c r="W112" s="16"/>
      <c r="X112" s="68"/>
      <c r="Y112" s="16"/>
      <c r="Z112" s="409"/>
    </row>
    <row r="113" spans="2:26" x14ac:dyDescent="0.3">
      <c r="B113" s="451"/>
      <c r="C113" s="68"/>
      <c r="D113" s="155" t="s">
        <v>215</v>
      </c>
      <c r="E113" s="155"/>
      <c r="F113" s="155"/>
      <c r="G113" s="155"/>
      <c r="H113" s="155"/>
      <c r="I113" s="830">
        <f t="shared" ref="I113:I120" si="40">IFERROR(J113/J$122," ")</f>
        <v>0</v>
      </c>
      <c r="J113" s="1393">
        <f t="shared" ref="J113:J119" si="41">SUM(K113+S113)</f>
        <v>0</v>
      </c>
      <c r="K113" s="848">
        <f t="shared" ref="K113:K119" si="42">SUM(L113:Q113)</f>
        <v>0</v>
      </c>
      <c r="L113" s="832">
        <v>0</v>
      </c>
      <c r="M113" s="849">
        <v>0</v>
      </c>
      <c r="N113" s="849">
        <v>0</v>
      </c>
      <c r="O113" s="849">
        <v>0</v>
      </c>
      <c r="P113" s="849">
        <v>0</v>
      </c>
      <c r="Q113" s="849">
        <v>0</v>
      </c>
      <c r="R113" s="461"/>
      <c r="S113" s="855">
        <f t="shared" ref="S113:S119" si="43">SUM(T113:Y113)</f>
        <v>0</v>
      </c>
      <c r="T113" s="832">
        <v>0</v>
      </c>
      <c r="U113" s="849">
        <v>0</v>
      </c>
      <c r="V113" s="849"/>
      <c r="W113" s="849"/>
      <c r="X113" s="849"/>
      <c r="Y113" s="843"/>
      <c r="Z113" s="409"/>
    </row>
    <row r="114" spans="2:26" x14ac:dyDescent="0.3">
      <c r="B114" s="451"/>
      <c r="C114" s="68"/>
      <c r="D114" s="44" t="s">
        <v>216</v>
      </c>
      <c r="E114" s="44"/>
      <c r="F114" s="44"/>
      <c r="G114" s="44"/>
      <c r="H114" s="44"/>
      <c r="I114" s="834">
        <f t="shared" si="40"/>
        <v>0</v>
      </c>
      <c r="J114" s="1391">
        <f t="shared" si="41"/>
        <v>0</v>
      </c>
      <c r="K114" s="863">
        <f t="shared" si="42"/>
        <v>0</v>
      </c>
      <c r="L114" s="836">
        <v>0</v>
      </c>
      <c r="M114" s="851">
        <v>0</v>
      </c>
      <c r="N114" s="851">
        <v>0</v>
      </c>
      <c r="O114" s="851">
        <v>0</v>
      </c>
      <c r="P114" s="851">
        <v>0</v>
      </c>
      <c r="Q114" s="851">
        <v>0</v>
      </c>
      <c r="R114" s="462"/>
      <c r="S114" s="866">
        <f t="shared" si="43"/>
        <v>0</v>
      </c>
      <c r="T114" s="836">
        <v>0</v>
      </c>
      <c r="U114" s="851">
        <v>0</v>
      </c>
      <c r="V114" s="851"/>
      <c r="W114" s="851"/>
      <c r="X114" s="851"/>
      <c r="Y114" s="845"/>
      <c r="Z114" s="409"/>
    </row>
    <row r="115" spans="2:26" x14ac:dyDescent="0.3">
      <c r="B115" s="451"/>
      <c r="C115" s="45"/>
      <c r="D115" s="44" t="s">
        <v>217</v>
      </c>
      <c r="E115" s="44"/>
      <c r="F115" s="44"/>
      <c r="G115" s="44"/>
      <c r="H115" s="44"/>
      <c r="I115" s="834">
        <f t="shared" si="40"/>
        <v>0</v>
      </c>
      <c r="J115" s="1391">
        <f t="shared" si="41"/>
        <v>0</v>
      </c>
      <c r="K115" s="863">
        <f t="shared" si="42"/>
        <v>0</v>
      </c>
      <c r="L115" s="836">
        <v>0</v>
      </c>
      <c r="M115" s="851">
        <v>0</v>
      </c>
      <c r="N115" s="851">
        <v>0</v>
      </c>
      <c r="O115" s="851">
        <v>0</v>
      </c>
      <c r="P115" s="851">
        <v>0</v>
      </c>
      <c r="Q115" s="851">
        <v>0</v>
      </c>
      <c r="R115" s="462"/>
      <c r="S115" s="866">
        <f t="shared" si="43"/>
        <v>0</v>
      </c>
      <c r="T115" s="836">
        <v>0</v>
      </c>
      <c r="U115" s="851">
        <v>0</v>
      </c>
      <c r="V115" s="851"/>
      <c r="W115" s="851"/>
      <c r="X115" s="851"/>
      <c r="Y115" s="845"/>
      <c r="Z115" s="409"/>
    </row>
    <row r="116" spans="2:26" x14ac:dyDescent="0.3">
      <c r="B116" s="451"/>
      <c r="C116" s="45"/>
      <c r="D116" s="44" t="s">
        <v>218</v>
      </c>
      <c r="E116" s="44"/>
      <c r="F116" s="44"/>
      <c r="G116" s="44"/>
      <c r="H116" s="44"/>
      <c r="I116" s="834">
        <f>IFERROR(J116/J$122," ")</f>
        <v>0</v>
      </c>
      <c r="J116" s="1391">
        <f t="shared" si="41"/>
        <v>0</v>
      </c>
      <c r="K116" s="863">
        <f t="shared" si="42"/>
        <v>0</v>
      </c>
      <c r="L116" s="836">
        <v>0</v>
      </c>
      <c r="M116" s="851">
        <v>0</v>
      </c>
      <c r="N116" s="851">
        <v>0</v>
      </c>
      <c r="O116" s="851">
        <v>0</v>
      </c>
      <c r="P116" s="851">
        <v>0</v>
      </c>
      <c r="Q116" s="851">
        <v>0</v>
      </c>
      <c r="R116" s="462"/>
      <c r="S116" s="866">
        <f t="shared" si="43"/>
        <v>0</v>
      </c>
      <c r="T116" s="836">
        <v>0</v>
      </c>
      <c r="U116" s="851">
        <v>0</v>
      </c>
      <c r="V116" s="851"/>
      <c r="W116" s="851"/>
      <c r="X116" s="851"/>
      <c r="Y116" s="845"/>
      <c r="Z116" s="409"/>
    </row>
    <row r="117" spans="2:26" x14ac:dyDescent="0.3">
      <c r="B117" s="451"/>
      <c r="C117" s="45"/>
      <c r="D117" s="44" t="s">
        <v>219</v>
      </c>
      <c r="E117" s="44"/>
      <c r="F117" s="44"/>
      <c r="G117" s="44"/>
      <c r="H117" s="44"/>
      <c r="I117" s="834">
        <f t="shared" si="40"/>
        <v>0</v>
      </c>
      <c r="J117" s="1391">
        <f t="shared" si="41"/>
        <v>0</v>
      </c>
      <c r="K117" s="863">
        <f t="shared" si="42"/>
        <v>0</v>
      </c>
      <c r="L117" s="836">
        <v>0</v>
      </c>
      <c r="M117" s="851">
        <v>0</v>
      </c>
      <c r="N117" s="851">
        <v>0</v>
      </c>
      <c r="O117" s="851">
        <v>0</v>
      </c>
      <c r="P117" s="851">
        <v>0</v>
      </c>
      <c r="Q117" s="851">
        <v>0</v>
      </c>
      <c r="R117" s="462"/>
      <c r="S117" s="866">
        <f t="shared" si="43"/>
        <v>0</v>
      </c>
      <c r="T117" s="836">
        <v>0</v>
      </c>
      <c r="U117" s="851">
        <v>0</v>
      </c>
      <c r="V117" s="851"/>
      <c r="W117" s="851"/>
      <c r="X117" s="851"/>
      <c r="Y117" s="845"/>
      <c r="Z117" s="409"/>
    </row>
    <row r="118" spans="2:26" x14ac:dyDescent="0.3">
      <c r="B118" s="451"/>
      <c r="C118" s="45"/>
      <c r="D118" s="44" t="s">
        <v>220</v>
      </c>
      <c r="E118" s="44"/>
      <c r="F118" s="44"/>
      <c r="G118" s="44"/>
      <c r="H118" s="44"/>
      <c r="I118" s="834">
        <f t="shared" si="40"/>
        <v>0</v>
      </c>
      <c r="J118" s="1391">
        <f t="shared" si="41"/>
        <v>0</v>
      </c>
      <c r="K118" s="863">
        <f t="shared" si="42"/>
        <v>0</v>
      </c>
      <c r="L118" s="836">
        <v>0</v>
      </c>
      <c r="M118" s="851">
        <v>0</v>
      </c>
      <c r="N118" s="851">
        <v>0</v>
      </c>
      <c r="O118" s="851">
        <v>0</v>
      </c>
      <c r="P118" s="851">
        <v>0</v>
      </c>
      <c r="Q118" s="851">
        <v>0</v>
      </c>
      <c r="R118" s="462"/>
      <c r="S118" s="866">
        <f t="shared" si="43"/>
        <v>0</v>
      </c>
      <c r="T118" s="836">
        <v>0</v>
      </c>
      <c r="U118" s="851">
        <v>0</v>
      </c>
      <c r="V118" s="851"/>
      <c r="W118" s="851"/>
      <c r="X118" s="851"/>
      <c r="Y118" s="845"/>
      <c r="Z118" s="409"/>
    </row>
    <row r="119" spans="2:26" x14ac:dyDescent="0.3">
      <c r="B119" s="451"/>
      <c r="C119" s="45"/>
      <c r="D119" s="44" t="s">
        <v>221</v>
      </c>
      <c r="E119" s="44"/>
      <c r="F119" s="44"/>
      <c r="G119" s="44"/>
      <c r="H119" s="44"/>
      <c r="I119" s="864">
        <f t="shared" si="40"/>
        <v>0</v>
      </c>
      <c r="J119" s="1392">
        <f t="shared" si="41"/>
        <v>0</v>
      </c>
      <c r="K119" s="865">
        <f t="shared" si="42"/>
        <v>0</v>
      </c>
      <c r="L119" s="853">
        <v>0</v>
      </c>
      <c r="M119" s="854">
        <v>0</v>
      </c>
      <c r="N119" s="854">
        <v>0</v>
      </c>
      <c r="O119" s="854">
        <v>0</v>
      </c>
      <c r="P119" s="854">
        <v>0</v>
      </c>
      <c r="Q119" s="854">
        <v>0</v>
      </c>
      <c r="R119" s="462"/>
      <c r="S119" s="868">
        <f t="shared" si="43"/>
        <v>0</v>
      </c>
      <c r="T119" s="853">
        <v>0</v>
      </c>
      <c r="U119" s="854">
        <v>0</v>
      </c>
      <c r="V119" s="854"/>
      <c r="W119" s="854"/>
      <c r="X119" s="854"/>
      <c r="Y119" s="857"/>
      <c r="Z119" s="409"/>
    </row>
    <row r="120" spans="2:26" ht="15" thickBot="1" x14ac:dyDescent="0.35">
      <c r="B120" s="451"/>
      <c r="C120" s="45"/>
      <c r="D120" s="44"/>
      <c r="E120" s="44"/>
      <c r="F120" s="44"/>
      <c r="G120" s="48" t="s">
        <v>153</v>
      </c>
      <c r="H120" s="48"/>
      <c r="I120" s="353">
        <f t="shared" si="40"/>
        <v>0</v>
      </c>
      <c r="J120" s="36">
        <f t="shared" ref="J120:Q120" si="44">SUM(J113:J119)</f>
        <v>0</v>
      </c>
      <c r="K120" s="22">
        <f t="shared" si="44"/>
        <v>0</v>
      </c>
      <c r="L120" s="1449">
        <f t="shared" si="44"/>
        <v>0</v>
      </c>
      <c r="M120" s="1450">
        <f t="shared" si="44"/>
        <v>0</v>
      </c>
      <c r="N120" s="1450">
        <f t="shared" si="44"/>
        <v>0</v>
      </c>
      <c r="O120" s="1450">
        <f t="shared" si="44"/>
        <v>0</v>
      </c>
      <c r="P120" s="1450">
        <f t="shared" si="44"/>
        <v>0</v>
      </c>
      <c r="Q120" s="1450">
        <f t="shared" si="44"/>
        <v>0</v>
      </c>
      <c r="R120" s="463"/>
      <c r="S120" s="867">
        <f t="shared" ref="S120:Y120" si="45">SUM(S113:S119)</f>
        <v>0</v>
      </c>
      <c r="T120" s="1452">
        <f t="shared" si="45"/>
        <v>0</v>
      </c>
      <c r="U120" s="1450">
        <f t="shared" si="45"/>
        <v>0</v>
      </c>
      <c r="V120" s="1450">
        <f t="shared" si="45"/>
        <v>0</v>
      </c>
      <c r="W120" s="1450">
        <f t="shared" si="45"/>
        <v>0</v>
      </c>
      <c r="X120" s="1450">
        <f t="shared" si="45"/>
        <v>0</v>
      </c>
      <c r="Y120" s="1453">
        <f t="shared" si="45"/>
        <v>0</v>
      </c>
      <c r="Z120" s="409"/>
    </row>
    <row r="121" spans="2:26" ht="7.5" customHeight="1" thickBot="1" x14ac:dyDescent="0.35">
      <c r="B121" s="451"/>
      <c r="C121" s="50"/>
      <c r="D121" s="44"/>
      <c r="E121" s="44"/>
      <c r="F121" s="44"/>
      <c r="G121" s="44"/>
      <c r="H121" s="44"/>
      <c r="I121" s="45"/>
      <c r="J121" s="20"/>
      <c r="K121" s="45"/>
      <c r="L121" s="20"/>
      <c r="M121" s="20"/>
      <c r="N121" s="20"/>
      <c r="O121" s="20"/>
      <c r="P121" s="45"/>
      <c r="Q121" s="20"/>
      <c r="R121" s="462"/>
      <c r="S121" s="20"/>
      <c r="T121" s="20"/>
      <c r="U121" s="20"/>
      <c r="V121" s="20"/>
      <c r="W121" s="20"/>
      <c r="X121" s="45"/>
      <c r="Y121" s="20"/>
      <c r="Z121" s="409"/>
    </row>
    <row r="122" spans="2:26" ht="15" thickBot="1" x14ac:dyDescent="0.35">
      <c r="B122" s="451"/>
      <c r="C122" s="157" t="s">
        <v>222</v>
      </c>
      <c r="D122" s="158"/>
      <c r="E122" s="158"/>
      <c r="F122" s="158"/>
      <c r="G122" s="158"/>
      <c r="H122" s="158"/>
      <c r="I122" s="34"/>
      <c r="J122" s="2473">
        <f>J30+J49+J65+J70+J78+J89+J95+J109+J120</f>
        <v>42070511.600000001</v>
      </c>
      <c r="K122" s="2472">
        <f>K30+K49+K65+K70+K78+K89+K95+K109+K120</f>
        <v>26047669.600000001</v>
      </c>
      <c r="L122" s="478"/>
      <c r="M122" s="478"/>
      <c r="N122" s="478"/>
      <c r="O122" s="478"/>
      <c r="P122" s="478"/>
      <c r="Q122" s="478"/>
      <c r="R122" s="461"/>
      <c r="S122" s="23">
        <f>S30+S49+S65+S70+S78+S89+S95+S109+S120</f>
        <v>16022842</v>
      </c>
      <c r="T122" s="478"/>
      <c r="U122" s="478"/>
      <c r="V122" s="478"/>
      <c r="W122" s="478"/>
      <c r="X122" s="478"/>
      <c r="Y122" s="479"/>
      <c r="Z122" s="409"/>
    </row>
    <row r="123" spans="2:26" ht="15" thickBot="1" x14ac:dyDescent="0.35">
      <c r="B123" s="451"/>
      <c r="C123" s="159" t="s">
        <v>223</v>
      </c>
      <c r="D123" s="160"/>
      <c r="E123" s="160"/>
      <c r="F123" s="160"/>
      <c r="G123" s="160"/>
      <c r="H123" s="160"/>
      <c r="I123" s="35"/>
      <c r="J123" s="2456">
        <f>(K123+S123)</f>
        <v>42070511.600000001</v>
      </c>
      <c r="K123" s="2470">
        <f>SUM(L123:Q123)</f>
        <v>26047669.600000001</v>
      </c>
      <c r="L123" s="2471">
        <f t="shared" ref="L123:Q123" si="46">L30+L49+L65+L70+L78+L89+L95+L109+L120</f>
        <v>2335000</v>
      </c>
      <c r="M123" s="2466">
        <f t="shared" si="46"/>
        <v>3000000</v>
      </c>
      <c r="N123" s="2466">
        <f t="shared" si="46"/>
        <v>674168</v>
      </c>
      <c r="O123" s="2466">
        <f t="shared" si="46"/>
        <v>2951351</v>
      </c>
      <c r="P123" s="2466">
        <f t="shared" si="46"/>
        <v>200000</v>
      </c>
      <c r="Q123" s="2466">
        <f t="shared" si="46"/>
        <v>16887150.600000001</v>
      </c>
      <c r="R123" s="480"/>
      <c r="S123" s="464">
        <f>SUM(T123:Y123)</f>
        <v>16022842</v>
      </c>
      <c r="T123" s="1454">
        <f t="shared" ref="T123:Y123" si="47">T30+T49+T65+T70+T78+T89+T95+T109+T120</f>
        <v>5550000</v>
      </c>
      <c r="U123" s="1455">
        <f t="shared" si="47"/>
        <v>10472842</v>
      </c>
      <c r="V123" s="1455">
        <f t="shared" si="47"/>
        <v>0</v>
      </c>
      <c r="W123" s="1455">
        <f t="shared" si="47"/>
        <v>0</v>
      </c>
      <c r="X123" s="1455">
        <f t="shared" si="47"/>
        <v>0</v>
      </c>
      <c r="Y123" s="1456">
        <f t="shared" si="47"/>
        <v>0</v>
      </c>
      <c r="Z123" s="409"/>
    </row>
    <row r="124" spans="2:26" x14ac:dyDescent="0.3">
      <c r="B124" s="451"/>
      <c r="C124" s="355"/>
      <c r="D124" s="355"/>
      <c r="E124" s="355"/>
      <c r="F124" s="355"/>
      <c r="G124" s="355"/>
      <c r="H124" s="355"/>
      <c r="I124" s="356"/>
      <c r="J124" s="357" t="e">
        <f>IF((ROUND(J123,0))&lt;&gt;((ROUND(('7A (Rollup)'!F41+'7A (Rollup)'!#REF!),0))),"WARNING: Sources on Form 6A do not match Sources on Form 7A","")</f>
        <v>#REF!</v>
      </c>
      <c r="K124" s="2104"/>
      <c r="L124" s="16"/>
      <c r="M124" s="16"/>
      <c r="N124" s="16"/>
      <c r="O124" s="16"/>
      <c r="P124" s="16"/>
      <c r="Q124" s="16"/>
      <c r="R124" s="481"/>
      <c r="S124" s="16"/>
      <c r="T124" s="16"/>
      <c r="U124" s="16"/>
      <c r="V124" s="16"/>
      <c r="W124" s="16"/>
      <c r="X124" s="16"/>
      <c r="Y124" s="16"/>
      <c r="Z124" s="409"/>
    </row>
    <row r="125" spans="2:26" ht="9" customHeight="1" thickBot="1" x14ac:dyDescent="0.35">
      <c r="B125" s="466"/>
      <c r="C125" s="482"/>
      <c r="D125" s="482"/>
      <c r="E125" s="482"/>
      <c r="F125" s="482"/>
      <c r="G125" s="482"/>
      <c r="H125" s="482"/>
      <c r="I125" s="482"/>
      <c r="J125" s="483" t="s">
        <v>31</v>
      </c>
      <c r="K125" s="482"/>
      <c r="L125" s="482"/>
      <c r="M125" s="482"/>
      <c r="N125" s="482"/>
      <c r="O125" s="482"/>
      <c r="P125" s="482"/>
      <c r="Q125" s="482"/>
      <c r="R125" s="482"/>
      <c r="S125" s="482"/>
      <c r="T125" s="482"/>
      <c r="U125" s="482"/>
      <c r="V125" s="482"/>
      <c r="W125" s="482"/>
      <c r="X125" s="482"/>
      <c r="Y125" s="482"/>
      <c r="Z125" s="484"/>
    </row>
    <row r="126" spans="2:26" x14ac:dyDescent="0.3">
      <c r="J126" s="399" t="s">
        <v>2210</v>
      </c>
    </row>
    <row r="128" spans="2:26" x14ac:dyDescent="0.3">
      <c r="J128" s="1667"/>
    </row>
    <row r="129" spans="10:10" x14ac:dyDescent="0.3">
      <c r="J129" s="1666"/>
    </row>
  </sheetData>
  <sheetProtection algorithmName="SHA-512" hashValue="Pfq1h0fpr2dVtkHX8rAebX3qoCZbzitSx+L+FMmwTZ9PgeMjGV6hfX9bcX4NCMosqDnk/vgDEXVnTB/6ONiEZQ==" saltValue="TAE5VQji67nXujDQM5MIQQ==" spinCount="100000" sheet="1" formatCells="0" formatColumns="0" formatRows="0"/>
  <mergeCells count="26">
    <mergeCell ref="E94:G94"/>
    <mergeCell ref="U21:U22"/>
    <mergeCell ref="N21:N22"/>
    <mergeCell ref="O21:O22"/>
    <mergeCell ref="P21:P22"/>
    <mergeCell ref="Q21:Q22"/>
    <mergeCell ref="T21:T22"/>
    <mergeCell ref="E29:G29"/>
    <mergeCell ref="E48:G48"/>
    <mergeCell ref="E64:G64"/>
    <mergeCell ref="E88:G88"/>
    <mergeCell ref="Y21:Y22"/>
    <mergeCell ref="V21:V22"/>
    <mergeCell ref="W21:W22"/>
    <mergeCell ref="X21:X22"/>
    <mergeCell ref="C13:Y13"/>
    <mergeCell ref="C15:N15"/>
    <mergeCell ref="I19:I22"/>
    <mergeCell ref="J19:J22"/>
    <mergeCell ref="K19:Q19"/>
    <mergeCell ref="S19:Y19"/>
    <mergeCell ref="K20:K22"/>
    <mergeCell ref="S20:S22"/>
    <mergeCell ref="L21:L22"/>
    <mergeCell ref="M21:M22"/>
    <mergeCell ref="C17:N17"/>
  </mergeCells>
  <conditionalFormatting sqref="J24">
    <cfRule type="expression" dxfId="86" priority="26">
      <formula>J24&lt;&gt;(K24+S24)</formula>
    </cfRule>
  </conditionalFormatting>
  <conditionalFormatting sqref="J29">
    <cfRule type="expression" dxfId="85" priority="25">
      <formula>J29&lt;&gt;(K29+S29)</formula>
    </cfRule>
  </conditionalFormatting>
  <conditionalFormatting sqref="J25:J28">
    <cfRule type="expression" dxfId="84" priority="24">
      <formula>J25&lt;&gt;(K25+S25)</formula>
    </cfRule>
  </conditionalFormatting>
  <conditionalFormatting sqref="J33">
    <cfRule type="expression" dxfId="83" priority="23">
      <formula>J33&lt;&gt;(K33+S33)</formula>
    </cfRule>
  </conditionalFormatting>
  <conditionalFormatting sqref="J52">
    <cfRule type="expression" dxfId="82" priority="22">
      <formula>J52&lt;&gt;(K52+S52)</formula>
    </cfRule>
  </conditionalFormatting>
  <conditionalFormatting sqref="J68">
    <cfRule type="expression" dxfId="81" priority="21">
      <formula>J68&lt;&gt;(K68+S68)</formula>
    </cfRule>
  </conditionalFormatting>
  <conditionalFormatting sqref="J73">
    <cfRule type="expression" dxfId="80" priority="20">
      <formula>J73&lt;&gt;(K73+S73)</formula>
    </cfRule>
  </conditionalFormatting>
  <conditionalFormatting sqref="J81">
    <cfRule type="expression" dxfId="79" priority="19">
      <formula>J81&lt;&gt;(K81+S81)</formula>
    </cfRule>
  </conditionalFormatting>
  <conditionalFormatting sqref="J92">
    <cfRule type="expression" dxfId="78" priority="18">
      <formula>J92&lt;&gt;(K92+S92)</formula>
    </cfRule>
  </conditionalFormatting>
  <conditionalFormatting sqref="J98">
    <cfRule type="expression" dxfId="77" priority="17">
      <formula>J98&lt;&gt;(K98+S98)</formula>
    </cfRule>
  </conditionalFormatting>
  <conditionalFormatting sqref="J113">
    <cfRule type="expression" dxfId="76" priority="16">
      <formula>J113&lt;&gt;(K113+S113)</formula>
    </cfRule>
  </conditionalFormatting>
  <conditionalFormatting sqref="J48">
    <cfRule type="expression" dxfId="75" priority="15">
      <formula>J48&lt;&gt;(K48+S48)</formula>
    </cfRule>
  </conditionalFormatting>
  <conditionalFormatting sqref="J64">
    <cfRule type="expression" dxfId="74" priority="14">
      <formula>J64&lt;&gt;(K64+S64)</formula>
    </cfRule>
  </conditionalFormatting>
  <conditionalFormatting sqref="J69">
    <cfRule type="expression" dxfId="73" priority="13">
      <formula>J69&lt;&gt;(K69+S69)</formula>
    </cfRule>
  </conditionalFormatting>
  <conditionalFormatting sqref="J77">
    <cfRule type="expression" dxfId="72" priority="12">
      <formula>J77&lt;&gt;(K77+S77)</formula>
    </cfRule>
  </conditionalFormatting>
  <conditionalFormatting sqref="J88">
    <cfRule type="expression" dxfId="71" priority="11">
      <formula>J88&lt;&gt;(K88+S88)</formula>
    </cfRule>
  </conditionalFormatting>
  <conditionalFormatting sqref="J94">
    <cfRule type="expression" dxfId="70" priority="10">
      <formula>J94&lt;&gt;(K94+S94)</formula>
    </cfRule>
  </conditionalFormatting>
  <conditionalFormatting sqref="J108">
    <cfRule type="expression" dxfId="69" priority="9">
      <formula>J108&lt;&gt;(K108+S108)</formula>
    </cfRule>
  </conditionalFormatting>
  <conditionalFormatting sqref="J119">
    <cfRule type="expression" dxfId="68" priority="8">
      <formula>J119&lt;&gt;(K119+S119)</formula>
    </cfRule>
  </conditionalFormatting>
  <conditionalFormatting sqref="J34:J47">
    <cfRule type="expression" dxfId="67" priority="7">
      <formula>J34&lt;&gt;(K34+S34)</formula>
    </cfRule>
  </conditionalFormatting>
  <conditionalFormatting sqref="J53:J63">
    <cfRule type="expression" dxfId="66" priority="6">
      <formula>J53&lt;&gt;(K53+S53)</formula>
    </cfRule>
  </conditionalFormatting>
  <conditionalFormatting sqref="J74:J76">
    <cfRule type="expression" dxfId="65" priority="5">
      <formula>J74&lt;&gt;(K74+S74)</formula>
    </cfRule>
  </conditionalFormatting>
  <conditionalFormatting sqref="J82:J87">
    <cfRule type="expression" dxfId="64" priority="4">
      <formula>J82&lt;&gt;(K82+S82)</formula>
    </cfRule>
  </conditionalFormatting>
  <conditionalFormatting sqref="J93">
    <cfRule type="expression" dxfId="63" priority="3">
      <formula>J93&lt;&gt;(K93+S93)</formula>
    </cfRule>
  </conditionalFormatting>
  <conditionalFormatting sqref="J99:J107">
    <cfRule type="expression" dxfId="62" priority="2">
      <formula>J99&lt;&gt;(K99+S99)</formula>
    </cfRule>
  </conditionalFormatting>
  <conditionalFormatting sqref="J114:J118">
    <cfRule type="expression" dxfId="61" priority="1">
      <formula>J114&lt;&gt;(K114+S114)</formula>
    </cfRule>
  </conditionalFormatting>
  <conditionalFormatting sqref="J123">
    <cfRule type="expression" dxfId="60" priority="27">
      <formula>$J$123&lt;&gt;(#REF!+#REF!)</formula>
    </cfRule>
  </conditionalFormatting>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9" xr:uid="{00000000-0002-0000-15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8" xr:uid="{00000000-0002-0000-1500-000001000000}"/>
  </dataValidations>
  <pageMargins left="1" right="1" top="0.75" bottom="0.75" header="0.3" footer="0.3"/>
  <pageSetup paperSize="17" scale="92" fitToHeight="0" orientation="landscape" r:id="rId1"/>
  <headerFooter>
    <oddFooter>&amp;LForm 6A
Development Budgets&amp;CCFA Forms&amp;REdition: 2017
Version: 1.0</oddFooter>
  </headerFooter>
  <rowBreaks count="3" manualBreakCount="3">
    <brk id="50" max="25" man="1"/>
    <brk id="79" max="25" man="1"/>
    <brk id="110"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B5:L104"/>
  <sheetViews>
    <sheetView showGridLines="0" zoomScaleNormal="100" workbookViewId="0">
      <selection activeCell="Q16" sqref="Q16"/>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10" style="399" customWidth="1"/>
    <col min="8" max="8" width="1.44140625" style="399" customWidth="1"/>
    <col min="9" max="9" width="13.5546875" style="399" customWidth="1"/>
    <col min="10" max="10" width="19.33203125" style="399" customWidth="1"/>
    <col min="11" max="11" width="39.6640625" style="399" customWidth="1"/>
    <col min="12" max="12" width="1.6640625" style="399" customWidth="1"/>
    <col min="13" max="16384" width="9.109375" style="399"/>
  </cols>
  <sheetData>
    <row r="5" spans="2:12" ht="15" thickBot="1" x14ac:dyDescent="0.35"/>
    <row r="6" spans="2:12" ht="9" customHeight="1" x14ac:dyDescent="0.3">
      <c r="B6" s="486"/>
      <c r="C6" s="487"/>
      <c r="D6" s="487"/>
      <c r="E6" s="487"/>
      <c r="F6" s="487"/>
      <c r="G6" s="487"/>
      <c r="H6" s="487"/>
      <c r="I6" s="487"/>
      <c r="J6" s="487"/>
      <c r="K6" s="487"/>
      <c r="L6" s="488"/>
    </row>
    <row r="7" spans="2:12" ht="18" x14ac:dyDescent="0.35">
      <c r="B7" s="489"/>
      <c r="C7" s="2515" t="s">
        <v>1878</v>
      </c>
      <c r="D7" s="2515"/>
      <c r="E7" s="2515"/>
      <c r="F7" s="2515"/>
      <c r="G7" s="2515"/>
      <c r="H7" s="2515"/>
      <c r="I7" s="2515"/>
      <c r="J7" s="2515"/>
      <c r="K7" s="2515"/>
      <c r="L7" s="490"/>
    </row>
    <row r="8" spans="2:12" x14ac:dyDescent="0.3">
      <c r="B8" s="489"/>
      <c r="C8" s="491"/>
      <c r="D8" s="491"/>
      <c r="E8" s="491"/>
      <c r="F8" s="491"/>
      <c r="G8" s="491"/>
      <c r="H8" s="491"/>
      <c r="I8" s="491"/>
      <c r="J8" s="491"/>
      <c r="K8" s="491"/>
      <c r="L8" s="490"/>
    </row>
    <row r="9" spans="2:12" ht="15" thickBot="1" x14ac:dyDescent="0.35">
      <c r="B9" s="489"/>
      <c r="C9" s="2703" t="str">
        <f>IF('1'!G5="","Enter Project Name on Form 1",(CONCATENATE("Project Name: ",'1'!G5)))</f>
        <v>Project Name: 6600 Roosevelt Way NE</v>
      </c>
      <c r="D9" s="2703"/>
      <c r="E9" s="2703"/>
      <c r="F9" s="2703"/>
      <c r="G9" s="2703"/>
      <c r="H9" s="2703"/>
      <c r="I9" s="2703"/>
      <c r="J9" s="2703"/>
      <c r="K9" s="2703"/>
      <c r="L9" s="490"/>
    </row>
    <row r="10" spans="2:12" ht="7.5" customHeight="1" x14ac:dyDescent="0.3">
      <c r="B10" s="494"/>
      <c r="C10" s="495"/>
      <c r="D10" s="495"/>
      <c r="E10" s="495"/>
      <c r="F10" s="495"/>
      <c r="G10" s="495"/>
      <c r="H10" s="495"/>
      <c r="I10" s="495"/>
      <c r="J10" s="495"/>
      <c r="K10" s="453"/>
      <c r="L10" s="490"/>
    </row>
    <row r="11" spans="2:12" ht="15" thickBot="1" x14ac:dyDescent="0.35">
      <c r="B11" s="494"/>
      <c r="C11" s="2703" t="str">
        <f>IF('1'!G55="","Enter Site Name/ID Number on Form 1",(CONCATENATE("Site Name/ID: ",'1'!G55)))</f>
        <v>Site Name/ID: Site B - 9% Building</v>
      </c>
      <c r="D11" s="2703"/>
      <c r="E11" s="2703"/>
      <c r="F11" s="2703"/>
      <c r="G11" s="2703"/>
      <c r="H11" s="2703"/>
      <c r="I11" s="2703"/>
      <c r="J11" s="2703"/>
      <c r="K11" s="2703"/>
      <c r="L11" s="490"/>
    </row>
    <row r="12" spans="2:12" ht="7.5" customHeight="1" thickBot="1" x14ac:dyDescent="0.35">
      <c r="B12" s="494"/>
      <c r="C12" s="495"/>
      <c r="D12" s="495"/>
      <c r="E12" s="495"/>
      <c r="F12" s="495"/>
      <c r="G12" s="495"/>
      <c r="H12" s="495"/>
      <c r="I12" s="495"/>
      <c r="J12" s="495"/>
      <c r="K12" s="453"/>
      <c r="L12" s="490"/>
    </row>
    <row r="13" spans="2:12" x14ac:dyDescent="0.3">
      <c r="B13" s="494"/>
      <c r="C13" s="68"/>
      <c r="D13" s="68"/>
      <c r="E13" s="68"/>
      <c r="F13" s="68"/>
      <c r="G13" s="68"/>
      <c r="H13" s="68"/>
      <c r="I13" s="2704" t="s">
        <v>144</v>
      </c>
      <c r="J13" s="2705"/>
      <c r="K13" s="2706"/>
      <c r="L13" s="490"/>
    </row>
    <row r="14" spans="2:12" ht="37.5" customHeight="1" thickBot="1" x14ac:dyDescent="0.35">
      <c r="B14" s="494"/>
      <c r="C14" s="69"/>
      <c r="D14" s="45"/>
      <c r="E14" s="45"/>
      <c r="F14" s="70"/>
      <c r="G14" s="70"/>
      <c r="H14" s="70"/>
      <c r="I14" s="164" t="s">
        <v>224</v>
      </c>
      <c r="J14" s="2707" t="s">
        <v>225</v>
      </c>
      <c r="K14" s="2708"/>
      <c r="L14" s="490"/>
    </row>
    <row r="15" spans="2:12" ht="15" thickBot="1" x14ac:dyDescent="0.35">
      <c r="B15" s="494"/>
      <c r="C15" s="60" t="s">
        <v>147</v>
      </c>
      <c r="D15" s="61"/>
      <c r="E15" s="61"/>
      <c r="F15" s="62"/>
      <c r="G15" s="62"/>
      <c r="H15" s="62"/>
      <c r="I15" s="43"/>
      <c r="J15" s="43"/>
      <c r="K15" s="491"/>
      <c r="L15" s="490"/>
    </row>
    <row r="16" spans="2:12" x14ac:dyDescent="0.3">
      <c r="B16" s="494"/>
      <c r="C16" s="453"/>
      <c r="D16" s="151" t="s">
        <v>148</v>
      </c>
      <c r="E16" s="151"/>
      <c r="F16" s="151"/>
      <c r="G16" s="151"/>
      <c r="H16" s="152"/>
      <c r="I16" s="869">
        <f>'6A - 9% Building'!K24</f>
        <v>1427511</v>
      </c>
      <c r="J16" s="2697" t="s">
        <v>2186</v>
      </c>
      <c r="K16" s="2698"/>
      <c r="L16" s="490"/>
    </row>
    <row r="17" spans="2:12" x14ac:dyDescent="0.3">
      <c r="B17" s="494"/>
      <c r="C17" s="453"/>
      <c r="D17" s="153" t="s">
        <v>149</v>
      </c>
      <c r="E17" s="153"/>
      <c r="F17" s="153"/>
      <c r="G17" s="153"/>
      <c r="H17" s="154"/>
      <c r="I17" s="870">
        <f>'6A - 9% Building'!K25</f>
        <v>0</v>
      </c>
      <c r="J17" s="2693"/>
      <c r="K17" s="2694"/>
      <c r="L17" s="490"/>
    </row>
    <row r="18" spans="2:12" x14ac:dyDescent="0.3">
      <c r="B18" s="494"/>
      <c r="C18" s="453"/>
      <c r="D18" s="153" t="s">
        <v>150</v>
      </c>
      <c r="E18" s="153"/>
      <c r="F18" s="153"/>
      <c r="G18" s="153"/>
      <c r="H18" s="154"/>
      <c r="I18" s="870">
        <f>'6A - 9% Building'!K26</f>
        <v>0</v>
      </c>
      <c r="J18" s="2693"/>
      <c r="K18" s="2694"/>
      <c r="L18" s="490"/>
    </row>
    <row r="19" spans="2:12" x14ac:dyDescent="0.3">
      <c r="B19" s="494"/>
      <c r="C19" s="453"/>
      <c r="D19" s="153" t="s">
        <v>151</v>
      </c>
      <c r="E19" s="153"/>
      <c r="F19" s="153"/>
      <c r="G19" s="153"/>
      <c r="H19" s="154"/>
      <c r="I19" s="870">
        <f>'6A - 9% Building'!K27</f>
        <v>16110</v>
      </c>
      <c r="J19" s="2693" t="s">
        <v>2142</v>
      </c>
      <c r="K19" s="2694"/>
      <c r="L19" s="490"/>
    </row>
    <row r="20" spans="2:12" x14ac:dyDescent="0.3">
      <c r="B20" s="494"/>
      <c r="C20" s="453"/>
      <c r="D20" s="153" t="s">
        <v>152</v>
      </c>
      <c r="E20" s="153"/>
      <c r="F20" s="153"/>
      <c r="G20" s="153"/>
      <c r="H20" s="154"/>
      <c r="I20" s="870">
        <f>'6A - 9% Building'!K28</f>
        <v>0</v>
      </c>
      <c r="J20" s="2693"/>
      <c r="K20" s="2694"/>
      <c r="L20" s="490"/>
    </row>
    <row r="21" spans="2:12" ht="15" thickBot="1" x14ac:dyDescent="0.35">
      <c r="B21" s="494"/>
      <c r="C21" s="453"/>
      <c r="D21" s="153" t="s">
        <v>226</v>
      </c>
      <c r="E21" s="153"/>
      <c r="F21" s="153"/>
      <c r="G21" s="153"/>
      <c r="H21" s="154"/>
      <c r="I21" s="871">
        <f>'6A - 9% Building'!K29</f>
        <v>0</v>
      </c>
      <c r="J21" s="2695"/>
      <c r="K21" s="2696"/>
      <c r="L21" s="490"/>
    </row>
    <row r="22" spans="2:12" ht="3.75" customHeight="1" x14ac:dyDescent="0.3">
      <c r="B22" s="494"/>
      <c r="C22" s="47"/>
      <c r="D22" s="48"/>
      <c r="E22" s="48"/>
      <c r="F22" s="44"/>
      <c r="G22" s="44"/>
      <c r="H22" s="44"/>
      <c r="I22" s="39"/>
      <c r="J22" s="39"/>
      <c r="K22" s="491"/>
      <c r="L22" s="490"/>
    </row>
    <row r="23" spans="2:12" ht="15" thickBot="1" x14ac:dyDescent="0.35">
      <c r="B23" s="494"/>
      <c r="C23" s="60" t="s">
        <v>154</v>
      </c>
      <c r="D23" s="61"/>
      <c r="E23" s="61"/>
      <c r="F23" s="62"/>
      <c r="G23" s="62"/>
      <c r="H23" s="62"/>
      <c r="I23" s="40"/>
      <c r="J23" s="40"/>
      <c r="K23" s="453"/>
      <c r="L23" s="490"/>
    </row>
    <row r="24" spans="2:12" x14ac:dyDescent="0.3">
      <c r="B24" s="494"/>
      <c r="C24" s="453"/>
      <c r="D24" s="151" t="s">
        <v>155</v>
      </c>
      <c r="E24" s="151"/>
      <c r="F24" s="151"/>
      <c r="G24" s="151"/>
      <c r="H24" s="152"/>
      <c r="I24" s="869">
        <f>'6A - 9% Building'!K33</f>
        <v>0</v>
      </c>
      <c r="J24" s="2697"/>
      <c r="K24" s="2698"/>
      <c r="L24" s="490"/>
    </row>
    <row r="25" spans="2:12" ht="27.75" customHeight="1" x14ac:dyDescent="0.3">
      <c r="B25" s="494"/>
      <c r="C25" s="453"/>
      <c r="D25" s="153" t="s">
        <v>156</v>
      </c>
      <c r="E25" s="153"/>
      <c r="F25" s="153"/>
      <c r="G25" s="153"/>
      <c r="H25" s="154"/>
      <c r="I25" s="870">
        <f>'6A - 9% Building'!K34</f>
        <v>18070351</v>
      </c>
      <c r="J25" s="2701" t="s">
        <v>2220</v>
      </c>
      <c r="K25" s="2702"/>
      <c r="L25" s="490"/>
    </row>
    <row r="26" spans="2:12" x14ac:dyDescent="0.3">
      <c r="B26" s="494"/>
      <c r="C26" s="453"/>
      <c r="D26" s="153" t="s">
        <v>157</v>
      </c>
      <c r="E26" s="153"/>
      <c r="F26" s="153"/>
      <c r="G26" s="153"/>
      <c r="H26" s="154"/>
      <c r="I26" s="870">
        <f>'6A - 9% Building'!K35</f>
        <v>0</v>
      </c>
      <c r="J26" s="2693"/>
      <c r="K26" s="2694"/>
      <c r="L26" s="490"/>
    </row>
    <row r="27" spans="2:12" x14ac:dyDescent="0.3">
      <c r="B27" s="494"/>
      <c r="C27" s="453"/>
      <c r="D27" s="153" t="s">
        <v>158</v>
      </c>
      <c r="E27" s="153"/>
      <c r="F27" s="153"/>
      <c r="G27" s="153"/>
      <c r="H27" s="154"/>
      <c r="I27" s="870">
        <f>'6A - 9% Building'!K36</f>
        <v>0</v>
      </c>
      <c r="J27" s="2693"/>
      <c r="K27" s="2694"/>
      <c r="L27" s="490"/>
    </row>
    <row r="28" spans="2:12" x14ac:dyDescent="0.3">
      <c r="B28" s="494"/>
      <c r="C28" s="453"/>
      <c r="D28" s="153" t="s">
        <v>159</v>
      </c>
      <c r="E28" s="153"/>
      <c r="F28" s="153"/>
      <c r="G28" s="153"/>
      <c r="H28" s="154"/>
      <c r="I28" s="870">
        <f>'6A - 9% Building'!K37</f>
        <v>0</v>
      </c>
      <c r="J28" s="2693"/>
      <c r="K28" s="2694"/>
      <c r="L28" s="490"/>
    </row>
    <row r="29" spans="2:12" x14ac:dyDescent="0.3">
      <c r="B29" s="494"/>
      <c r="C29" s="453"/>
      <c r="D29" s="153" t="s">
        <v>160</v>
      </c>
      <c r="E29" s="153"/>
      <c r="F29" s="153"/>
      <c r="G29" s="153"/>
      <c r="H29" s="154"/>
      <c r="I29" s="870">
        <f>'6A - 9% Building'!K38</f>
        <v>997729</v>
      </c>
      <c r="J29" s="2693" t="s">
        <v>2086</v>
      </c>
      <c r="K29" s="2694"/>
      <c r="L29" s="490"/>
    </row>
    <row r="30" spans="2:12" x14ac:dyDescent="0.3">
      <c r="B30" s="494"/>
      <c r="C30" s="453"/>
      <c r="D30" s="153" t="s">
        <v>161</v>
      </c>
      <c r="E30" s="153"/>
      <c r="F30" s="153"/>
      <c r="G30" s="153"/>
      <c r="H30" s="154"/>
      <c r="I30" s="870">
        <f>'6A - 9% Building'!K39</f>
        <v>0</v>
      </c>
      <c r="J30" s="2693"/>
      <c r="K30" s="2694"/>
      <c r="L30" s="490"/>
    </row>
    <row r="31" spans="2:12" x14ac:dyDescent="0.3">
      <c r="B31" s="494"/>
      <c r="C31" s="453"/>
      <c r="D31" s="153" t="s">
        <v>162</v>
      </c>
      <c r="E31" s="153"/>
      <c r="F31" s="153"/>
      <c r="G31" s="153"/>
      <c r="H31" s="154"/>
      <c r="I31" s="870">
        <f>'6A - 9% Building'!K40</f>
        <v>0</v>
      </c>
      <c r="J31" s="2693"/>
      <c r="K31" s="2694"/>
      <c r="L31" s="490"/>
    </row>
    <row r="32" spans="2:12" x14ac:dyDescent="0.3">
      <c r="B32" s="494"/>
      <c r="C32" s="453"/>
      <c r="D32" s="153" t="s">
        <v>163</v>
      </c>
      <c r="E32" s="153"/>
      <c r="F32" s="153"/>
      <c r="G32" s="153"/>
      <c r="H32" s="154"/>
      <c r="I32" s="870">
        <f>'6A - 9% Building'!K41</f>
        <v>0</v>
      </c>
      <c r="J32" s="2693" t="s">
        <v>2143</v>
      </c>
      <c r="K32" s="2694"/>
      <c r="L32" s="490"/>
    </row>
    <row r="33" spans="2:12" x14ac:dyDescent="0.3">
      <c r="B33" s="494"/>
      <c r="C33" s="453"/>
      <c r="D33" s="153" t="s">
        <v>164</v>
      </c>
      <c r="E33" s="153"/>
      <c r="F33" s="153"/>
      <c r="G33" s="153"/>
      <c r="H33" s="154"/>
      <c r="I33" s="870">
        <f>'6A - 9% Building'!K42</f>
        <v>0</v>
      </c>
      <c r="J33" s="2693"/>
      <c r="K33" s="2694"/>
      <c r="L33" s="490"/>
    </row>
    <row r="34" spans="2:12" x14ac:dyDescent="0.3">
      <c r="B34" s="494"/>
      <c r="C34" s="453"/>
      <c r="D34" s="153" t="s">
        <v>165</v>
      </c>
      <c r="E34" s="153"/>
      <c r="F34" s="153"/>
      <c r="G34" s="153"/>
      <c r="H34" s="154"/>
      <c r="I34" s="870">
        <f>'6A - 9% Building'!K43</f>
        <v>0</v>
      </c>
      <c r="J34" s="2693"/>
      <c r="K34" s="2694"/>
      <c r="L34" s="490"/>
    </row>
    <row r="35" spans="2:12" x14ac:dyDescent="0.3">
      <c r="B35" s="494"/>
      <c r="C35" s="453"/>
      <c r="D35" s="153" t="s">
        <v>166</v>
      </c>
      <c r="E35" s="153"/>
      <c r="F35" s="153"/>
      <c r="G35" s="153"/>
      <c r="H35" s="154"/>
      <c r="I35" s="870">
        <f>'6A - 9% Building'!K44</f>
        <v>0</v>
      </c>
      <c r="J35" s="2693"/>
      <c r="K35" s="2694"/>
      <c r="L35" s="490"/>
    </row>
    <row r="36" spans="2:12" x14ac:dyDescent="0.3">
      <c r="B36" s="494"/>
      <c r="C36" s="453"/>
      <c r="D36" s="153" t="s">
        <v>167</v>
      </c>
      <c r="E36" s="153"/>
      <c r="F36" s="153"/>
      <c r="G36" s="153"/>
      <c r="H36" s="154"/>
      <c r="I36" s="870">
        <f>'6A - 9% Building'!K45</f>
        <v>1830520</v>
      </c>
      <c r="J36" s="2693" t="s">
        <v>2067</v>
      </c>
      <c r="K36" s="2694"/>
      <c r="L36" s="490"/>
    </row>
    <row r="37" spans="2:12" x14ac:dyDescent="0.3">
      <c r="B37" s="494"/>
      <c r="C37" s="453"/>
      <c r="D37" s="153" t="s">
        <v>168</v>
      </c>
      <c r="E37" s="153"/>
      <c r="F37" s="153"/>
      <c r="G37" s="153"/>
      <c r="H37" s="154"/>
      <c r="I37" s="870">
        <f>'6A - 9% Building'!K46</f>
        <v>0</v>
      </c>
      <c r="J37" s="2693"/>
      <c r="K37" s="2694"/>
      <c r="L37" s="490"/>
    </row>
    <row r="38" spans="2:12" x14ac:dyDescent="0.3">
      <c r="B38" s="494"/>
      <c r="C38" s="453"/>
      <c r="D38" s="153" t="s">
        <v>169</v>
      </c>
      <c r="E38" s="153"/>
      <c r="F38" s="153"/>
      <c r="G38" s="153"/>
      <c r="H38" s="154"/>
      <c r="I38" s="870">
        <f>'6A - 9% Building'!K47</f>
        <v>53701</v>
      </c>
      <c r="J38" s="2693" t="s">
        <v>2092</v>
      </c>
      <c r="K38" s="2694"/>
      <c r="L38" s="490"/>
    </row>
    <row r="39" spans="2:12" ht="15" thickBot="1" x14ac:dyDescent="0.35">
      <c r="B39" s="494"/>
      <c r="C39" s="453"/>
      <c r="D39" s="153" t="s">
        <v>227</v>
      </c>
      <c r="E39" s="153"/>
      <c r="F39" s="153"/>
      <c r="G39" s="153"/>
      <c r="H39" s="154"/>
      <c r="I39" s="871">
        <f>'6A - 9% Building'!K48</f>
        <v>0</v>
      </c>
      <c r="J39" s="2695"/>
      <c r="K39" s="2696"/>
      <c r="L39" s="490"/>
    </row>
    <row r="40" spans="2:12" ht="3.75" customHeight="1" x14ac:dyDescent="0.3">
      <c r="B40" s="494"/>
      <c r="C40" s="47"/>
      <c r="D40" s="48"/>
      <c r="E40" s="48"/>
      <c r="F40" s="44"/>
      <c r="G40" s="44"/>
      <c r="H40" s="44"/>
      <c r="I40" s="39"/>
      <c r="J40" s="39"/>
      <c r="K40" s="491"/>
      <c r="L40" s="490"/>
    </row>
    <row r="41" spans="2:12" ht="15" thickBot="1" x14ac:dyDescent="0.35">
      <c r="B41" s="494"/>
      <c r="C41" s="60" t="s">
        <v>170</v>
      </c>
      <c r="D41" s="61"/>
      <c r="E41" s="61"/>
      <c r="F41" s="62"/>
      <c r="G41" s="62"/>
      <c r="H41" s="62"/>
      <c r="I41" s="39"/>
      <c r="J41" s="39"/>
      <c r="K41" s="453"/>
      <c r="L41" s="490"/>
    </row>
    <row r="42" spans="2:12" ht="15" thickBot="1" x14ac:dyDescent="0.35">
      <c r="B42" s="494"/>
      <c r="C42" s="453"/>
      <c r="D42" s="151" t="s">
        <v>171</v>
      </c>
      <c r="E42" s="151"/>
      <c r="F42" s="151"/>
      <c r="G42" s="151"/>
      <c r="H42" s="152"/>
      <c r="I42" s="869">
        <f>'6A - 9% Building'!K52</f>
        <v>3222</v>
      </c>
      <c r="J42" s="2697" t="s">
        <v>2093</v>
      </c>
      <c r="K42" s="2698"/>
      <c r="L42" s="490"/>
    </row>
    <row r="43" spans="2:12" x14ac:dyDescent="0.3">
      <c r="B43" s="494"/>
      <c r="C43" s="453"/>
      <c r="D43" s="153" t="s">
        <v>172</v>
      </c>
      <c r="E43" s="153"/>
      <c r="F43" s="153"/>
      <c r="G43" s="153"/>
      <c r="H43" s="154"/>
      <c r="I43" s="870">
        <f>'6A - 9% Building'!K53</f>
        <v>2543</v>
      </c>
      <c r="J43" s="2697" t="s">
        <v>2094</v>
      </c>
      <c r="K43" s="2698"/>
      <c r="L43" s="490"/>
    </row>
    <row r="44" spans="2:12" x14ac:dyDescent="0.3">
      <c r="B44" s="494"/>
      <c r="C44" s="453"/>
      <c r="D44" s="153" t="s">
        <v>173</v>
      </c>
      <c r="E44" s="153"/>
      <c r="F44" s="153"/>
      <c r="G44" s="153"/>
      <c r="H44" s="154"/>
      <c r="I44" s="870">
        <f>'6A - 9% Building'!K54</f>
        <v>834765</v>
      </c>
      <c r="J44" s="2693" t="s">
        <v>2095</v>
      </c>
      <c r="K44" s="2694"/>
      <c r="L44" s="490"/>
    </row>
    <row r="45" spans="2:12" x14ac:dyDescent="0.3">
      <c r="B45" s="494"/>
      <c r="C45" s="453"/>
      <c r="D45" s="153" t="s">
        <v>174</v>
      </c>
      <c r="E45" s="153"/>
      <c r="F45" s="153"/>
      <c r="G45" s="153"/>
      <c r="H45" s="154"/>
      <c r="I45" s="870">
        <f>'6A - 9% Building'!K55</f>
        <v>0</v>
      </c>
      <c r="J45" s="2693"/>
      <c r="K45" s="2694"/>
      <c r="L45" s="490"/>
    </row>
    <row r="46" spans="2:12" x14ac:dyDescent="0.3">
      <c r="B46" s="494"/>
      <c r="C46" s="453"/>
      <c r="D46" s="153" t="s">
        <v>175</v>
      </c>
      <c r="E46" s="153"/>
      <c r="F46" s="153"/>
      <c r="G46" s="153"/>
      <c r="H46" s="154"/>
      <c r="I46" s="870">
        <f>'6A - 9% Building'!K56</f>
        <v>0</v>
      </c>
      <c r="J46" s="2693"/>
      <c r="K46" s="2694"/>
      <c r="L46" s="490"/>
    </row>
    <row r="47" spans="2:12" x14ac:dyDescent="0.3">
      <c r="B47" s="494"/>
      <c r="C47" s="453"/>
      <c r="D47" s="153" t="s">
        <v>176</v>
      </c>
      <c r="E47" s="153"/>
      <c r="F47" s="153"/>
      <c r="G47" s="153"/>
      <c r="H47" s="154"/>
      <c r="I47" s="870">
        <f>'6A - 9% Building'!K57</f>
        <v>8055</v>
      </c>
      <c r="J47" s="2693" t="s">
        <v>2144</v>
      </c>
      <c r="K47" s="2694"/>
      <c r="L47" s="490"/>
    </row>
    <row r="48" spans="2:12" x14ac:dyDescent="0.3">
      <c r="B48" s="494"/>
      <c r="C48" s="453"/>
      <c r="D48" s="153" t="s">
        <v>177</v>
      </c>
      <c r="E48" s="153"/>
      <c r="F48" s="153"/>
      <c r="G48" s="153"/>
      <c r="H48" s="154"/>
      <c r="I48" s="870">
        <f>'6A - 9% Building'!K58</f>
        <v>20128</v>
      </c>
      <c r="J48" s="2693" t="s">
        <v>2218</v>
      </c>
      <c r="K48" s="2694"/>
      <c r="L48" s="490"/>
    </row>
    <row r="49" spans="2:12" x14ac:dyDescent="0.3">
      <c r="B49" s="494"/>
      <c r="C49" s="453"/>
      <c r="D49" s="153" t="s">
        <v>178</v>
      </c>
      <c r="E49" s="153"/>
      <c r="F49" s="153"/>
      <c r="G49" s="153"/>
      <c r="H49" s="154"/>
      <c r="I49" s="870">
        <f>'6A - 9% Building'!K59</f>
        <v>41619</v>
      </c>
      <c r="J49" s="2693" t="s">
        <v>2069</v>
      </c>
      <c r="K49" s="2694"/>
      <c r="L49" s="490"/>
    </row>
    <row r="50" spans="2:12" x14ac:dyDescent="0.3">
      <c r="B50" s="494"/>
      <c r="C50" s="453"/>
      <c r="D50" s="153" t="s">
        <v>179</v>
      </c>
      <c r="E50" s="153"/>
      <c r="F50" s="153"/>
      <c r="G50" s="153"/>
      <c r="H50" s="154"/>
      <c r="I50" s="870">
        <f>'6A - 9% Building'!K60</f>
        <v>352753</v>
      </c>
      <c r="J50" s="2693" t="s">
        <v>2145</v>
      </c>
      <c r="K50" s="2694"/>
      <c r="L50" s="490"/>
    </row>
    <row r="51" spans="2:12" x14ac:dyDescent="0.3">
      <c r="B51" s="494"/>
      <c r="C51" s="453"/>
      <c r="D51" s="153" t="s">
        <v>180</v>
      </c>
      <c r="E51" s="153"/>
      <c r="F51" s="153"/>
      <c r="G51" s="153"/>
      <c r="H51" s="154"/>
      <c r="I51" s="870">
        <f>'6A - 9% Building'!K61</f>
        <v>91560</v>
      </c>
      <c r="J51" s="2693" t="s">
        <v>2096</v>
      </c>
      <c r="K51" s="2694"/>
      <c r="L51" s="490"/>
    </row>
    <row r="52" spans="2:12" x14ac:dyDescent="0.3">
      <c r="B52" s="494"/>
      <c r="C52" s="453"/>
      <c r="D52" s="153" t="s">
        <v>181</v>
      </c>
      <c r="E52" s="153"/>
      <c r="F52" s="153"/>
      <c r="G52" s="153"/>
      <c r="H52" s="154"/>
      <c r="I52" s="870">
        <f>'6A - 9% Building'!K62</f>
        <v>42961</v>
      </c>
      <c r="J52" s="2693" t="s">
        <v>2189</v>
      </c>
      <c r="K52" s="2694"/>
      <c r="L52" s="490"/>
    </row>
    <row r="53" spans="2:12" x14ac:dyDescent="0.3">
      <c r="B53" s="494"/>
      <c r="C53" s="496"/>
      <c r="D53" s="91" t="s">
        <v>182</v>
      </c>
      <c r="E53" s="91"/>
      <c r="F53" s="91"/>
      <c r="G53" s="91"/>
      <c r="H53" s="91"/>
      <c r="I53" s="870">
        <f>'6A - 9% Building'!K63</f>
        <v>107402</v>
      </c>
      <c r="J53" s="2693" t="s">
        <v>2097</v>
      </c>
      <c r="K53" s="2694"/>
      <c r="L53" s="490"/>
    </row>
    <row r="54" spans="2:12" ht="15" thickBot="1" x14ac:dyDescent="0.35">
      <c r="B54" s="494"/>
      <c r="C54" s="453"/>
      <c r="D54" s="153" t="s">
        <v>226</v>
      </c>
      <c r="E54" s="153"/>
      <c r="F54" s="153"/>
      <c r="G54" s="153"/>
      <c r="H54" s="154"/>
      <c r="I54" s="871">
        <f>'6A - 9% Building'!K64</f>
        <v>26850</v>
      </c>
      <c r="J54" s="2695" t="s">
        <v>2098</v>
      </c>
      <c r="K54" s="2696"/>
      <c r="L54" s="490"/>
    </row>
    <row r="55" spans="2:12" ht="3.75" customHeight="1" x14ac:dyDescent="0.3">
      <c r="B55" s="494"/>
      <c r="C55" s="47"/>
      <c r="D55" s="48"/>
      <c r="E55" s="48"/>
      <c r="F55" s="44"/>
      <c r="G55" s="44"/>
      <c r="H55" s="44"/>
      <c r="I55" s="39"/>
      <c r="J55" s="39"/>
      <c r="K55" s="491"/>
      <c r="L55" s="490"/>
    </row>
    <row r="56" spans="2:12" ht="15" thickBot="1" x14ac:dyDescent="0.35">
      <c r="B56" s="494"/>
      <c r="C56" s="60" t="s">
        <v>183</v>
      </c>
      <c r="D56" s="61"/>
      <c r="E56" s="61"/>
      <c r="F56" s="62"/>
      <c r="G56" s="62"/>
      <c r="H56" s="62"/>
      <c r="I56" s="39"/>
      <c r="J56" s="39"/>
      <c r="K56" s="453"/>
      <c r="L56" s="490"/>
    </row>
    <row r="57" spans="2:12" x14ac:dyDescent="0.3">
      <c r="B57" s="494"/>
      <c r="C57" s="453"/>
      <c r="D57" s="151" t="s">
        <v>184</v>
      </c>
      <c r="E57" s="151"/>
      <c r="F57" s="151"/>
      <c r="G57" s="151"/>
      <c r="H57" s="152"/>
      <c r="I57" s="869">
        <f>'6A - 9% Building'!K68</f>
        <v>0</v>
      </c>
      <c r="J57" s="2697"/>
      <c r="K57" s="2698"/>
      <c r="L57" s="490"/>
    </row>
    <row r="58" spans="2:12" ht="15" thickBot="1" x14ac:dyDescent="0.35">
      <c r="B58" s="494"/>
      <c r="C58" s="453"/>
      <c r="D58" s="153" t="s">
        <v>185</v>
      </c>
      <c r="E58" s="153"/>
      <c r="F58" s="153"/>
      <c r="G58" s="153"/>
      <c r="H58" s="154"/>
      <c r="I58" s="871">
        <f>'6A - 9% Building'!K69</f>
        <v>32566.6</v>
      </c>
      <c r="J58" s="2695" t="s">
        <v>2081</v>
      </c>
      <c r="K58" s="2696"/>
      <c r="L58" s="490"/>
    </row>
    <row r="59" spans="2:12" ht="9" customHeight="1" thickBot="1" x14ac:dyDescent="0.35">
      <c r="B59" s="497"/>
      <c r="C59" s="57"/>
      <c r="D59" s="58"/>
      <c r="E59" s="58"/>
      <c r="F59" s="57"/>
      <c r="G59" s="57"/>
      <c r="H59" s="57"/>
      <c r="I59" s="41"/>
      <c r="J59" s="41"/>
      <c r="K59" s="498"/>
      <c r="L59" s="499"/>
    </row>
    <row r="60" spans="2:12" ht="15" thickBot="1" x14ac:dyDescent="0.35">
      <c r="B60" s="494"/>
      <c r="C60" s="60" t="s">
        <v>186</v>
      </c>
      <c r="D60" s="61"/>
      <c r="E60" s="61"/>
      <c r="F60" s="62"/>
      <c r="G60" s="62"/>
      <c r="H60" s="62"/>
      <c r="I60" s="39"/>
      <c r="J60" s="39"/>
      <c r="K60" s="453"/>
      <c r="L60" s="490"/>
    </row>
    <row r="61" spans="2:12" x14ac:dyDescent="0.3">
      <c r="B61" s="494"/>
      <c r="C61" s="453"/>
      <c r="D61" s="151" t="s">
        <v>187</v>
      </c>
      <c r="E61" s="151"/>
      <c r="F61" s="151"/>
      <c r="G61" s="151"/>
      <c r="H61" s="152"/>
      <c r="I61" s="869">
        <f>'6A - 9% Building'!K73</f>
        <v>70000</v>
      </c>
      <c r="J61" s="2697" t="s">
        <v>2099</v>
      </c>
      <c r="K61" s="2698"/>
      <c r="L61" s="500"/>
    </row>
    <row r="62" spans="2:12" x14ac:dyDescent="0.3">
      <c r="B62" s="494"/>
      <c r="C62" s="453"/>
      <c r="D62" s="153" t="s">
        <v>188</v>
      </c>
      <c r="E62" s="153"/>
      <c r="F62" s="153"/>
      <c r="G62" s="153"/>
      <c r="H62" s="154"/>
      <c r="I62" s="870">
        <f>'6A - 9% Building'!K74</f>
        <v>0</v>
      </c>
      <c r="J62" s="2693"/>
      <c r="K62" s="2694"/>
      <c r="L62" s="490"/>
    </row>
    <row r="63" spans="2:12" x14ac:dyDescent="0.3">
      <c r="B63" s="494"/>
      <c r="C63" s="453"/>
      <c r="D63" s="153" t="s">
        <v>189</v>
      </c>
      <c r="E63" s="153"/>
      <c r="F63" s="153"/>
      <c r="G63" s="153"/>
      <c r="H63" s="154"/>
      <c r="I63" s="870">
        <f>'6A - 9% Building'!K75</f>
        <v>25000</v>
      </c>
      <c r="J63" s="2693" t="s">
        <v>2075</v>
      </c>
      <c r="K63" s="2694"/>
      <c r="L63" s="490"/>
    </row>
    <row r="64" spans="2:12" x14ac:dyDescent="0.3">
      <c r="B64" s="494"/>
      <c r="C64" s="453"/>
      <c r="D64" s="153" t="s">
        <v>190</v>
      </c>
      <c r="E64" s="153"/>
      <c r="F64" s="153"/>
      <c r="G64" s="153"/>
      <c r="H64" s="154"/>
      <c r="I64" s="870">
        <f>'6A - 9% Building'!K76</f>
        <v>300000</v>
      </c>
      <c r="J64" s="2693" t="s">
        <v>2073</v>
      </c>
      <c r="K64" s="2694"/>
      <c r="L64" s="490"/>
    </row>
    <row r="65" spans="2:12" ht="15" thickBot="1" x14ac:dyDescent="0.35">
      <c r="B65" s="494"/>
      <c r="C65" s="453"/>
      <c r="D65" s="153" t="s">
        <v>191</v>
      </c>
      <c r="E65" s="153"/>
      <c r="F65" s="153"/>
      <c r="G65" s="153"/>
      <c r="H65" s="154"/>
      <c r="I65" s="871">
        <f>'6A - 9% Building'!K77</f>
        <v>150000</v>
      </c>
      <c r="J65" s="2695" t="s">
        <v>2082</v>
      </c>
      <c r="K65" s="2696"/>
      <c r="L65" s="490"/>
    </row>
    <row r="66" spans="2:12" ht="4.5" customHeight="1" x14ac:dyDescent="0.3">
      <c r="B66" s="494"/>
      <c r="C66" s="44"/>
      <c r="D66" s="48"/>
      <c r="E66" s="48"/>
      <c r="F66" s="44"/>
      <c r="G66" s="44"/>
      <c r="H66" s="44"/>
      <c r="I66" s="39"/>
      <c r="J66" s="39"/>
      <c r="K66" s="491"/>
      <c r="L66" s="490"/>
    </row>
    <row r="67" spans="2:12" ht="15" thickBot="1" x14ac:dyDescent="0.35">
      <c r="B67" s="494"/>
      <c r="C67" s="60" t="s">
        <v>192</v>
      </c>
      <c r="D67" s="61"/>
      <c r="E67" s="61"/>
      <c r="F67" s="62"/>
      <c r="G67" s="62"/>
      <c r="H67" s="62"/>
      <c r="I67" s="39"/>
      <c r="J67" s="39"/>
      <c r="K67" s="453"/>
      <c r="L67" s="490"/>
    </row>
    <row r="68" spans="2:12" x14ac:dyDescent="0.3">
      <c r="B68" s="494"/>
      <c r="C68" s="453"/>
      <c r="D68" s="151" t="s">
        <v>193</v>
      </c>
      <c r="E68" s="151"/>
      <c r="F68" s="151"/>
      <c r="G68" s="151"/>
      <c r="H68" s="152"/>
      <c r="I68" s="869">
        <f>'6A - 9% Building'!K81</f>
        <v>25000</v>
      </c>
      <c r="J68" s="2697" t="s">
        <v>2074</v>
      </c>
      <c r="K68" s="2698"/>
      <c r="L68" s="490"/>
    </row>
    <row r="69" spans="2:12" x14ac:dyDescent="0.3">
      <c r="B69" s="494"/>
      <c r="C69" s="453"/>
      <c r="D69" s="153" t="s">
        <v>194</v>
      </c>
      <c r="E69" s="153"/>
      <c r="F69" s="153"/>
      <c r="G69" s="153"/>
      <c r="H69" s="154"/>
      <c r="I69" s="870">
        <f>'6A - 9% Building'!K82</f>
        <v>0</v>
      </c>
      <c r="J69" s="2693"/>
      <c r="K69" s="2694"/>
      <c r="L69" s="490"/>
    </row>
    <row r="70" spans="2:12" x14ac:dyDescent="0.3">
      <c r="B70" s="494"/>
      <c r="C70" s="453"/>
      <c r="D70" s="153" t="s">
        <v>195</v>
      </c>
      <c r="E70" s="153"/>
      <c r="F70" s="153"/>
      <c r="G70" s="153"/>
      <c r="H70" s="154"/>
      <c r="I70" s="870">
        <f>'6A - 9% Building'!K83</f>
        <v>25000</v>
      </c>
      <c r="J70" s="2693" t="s">
        <v>2075</v>
      </c>
      <c r="K70" s="2694"/>
      <c r="L70" s="490"/>
    </row>
    <row r="71" spans="2:12" x14ac:dyDescent="0.3">
      <c r="B71" s="494"/>
      <c r="C71" s="453"/>
      <c r="D71" s="153" t="s">
        <v>196</v>
      </c>
      <c r="E71" s="153"/>
      <c r="F71" s="153"/>
      <c r="G71" s="153"/>
      <c r="H71" s="154"/>
      <c r="I71" s="870">
        <f>'6A - 9% Building'!K84</f>
        <v>155000</v>
      </c>
      <c r="J71" s="2693" t="s">
        <v>2089</v>
      </c>
      <c r="K71" s="2694"/>
      <c r="L71" s="490"/>
    </row>
    <row r="72" spans="2:12" x14ac:dyDescent="0.3">
      <c r="B72" s="494"/>
      <c r="C72" s="453"/>
      <c r="D72" s="153" t="s">
        <v>197</v>
      </c>
      <c r="E72" s="153"/>
      <c r="F72" s="153"/>
      <c r="G72" s="153"/>
      <c r="H72" s="154"/>
      <c r="I72" s="870">
        <f>'6A - 9% Building'!K85</f>
        <v>40000</v>
      </c>
      <c r="J72" s="2693" t="s">
        <v>2075</v>
      </c>
      <c r="K72" s="2694"/>
      <c r="L72" s="490"/>
    </row>
    <row r="73" spans="2:12" x14ac:dyDescent="0.3">
      <c r="B73" s="494"/>
      <c r="C73" s="453"/>
      <c r="D73" s="153" t="s">
        <v>198</v>
      </c>
      <c r="E73" s="153"/>
      <c r="F73" s="153"/>
      <c r="G73" s="153"/>
      <c r="H73" s="154"/>
      <c r="I73" s="870">
        <f>'6A - 9% Building'!K86</f>
        <v>0</v>
      </c>
      <c r="J73" s="2693"/>
      <c r="K73" s="2694"/>
      <c r="L73" s="490"/>
    </row>
    <row r="74" spans="2:12" x14ac:dyDescent="0.3">
      <c r="B74" s="494"/>
      <c r="C74" s="453"/>
      <c r="D74" s="153" t="s">
        <v>199</v>
      </c>
      <c r="E74" s="153"/>
      <c r="F74" s="153"/>
      <c r="G74" s="153"/>
      <c r="H74" s="154"/>
      <c r="I74" s="870">
        <f>'6A - 9% Building'!K87</f>
        <v>60000</v>
      </c>
      <c r="J74" s="2693"/>
      <c r="K74" s="2694"/>
      <c r="L74" s="490"/>
    </row>
    <row r="75" spans="2:12" ht="15" thickBot="1" x14ac:dyDescent="0.35">
      <c r="B75" s="494"/>
      <c r="C75" s="453"/>
      <c r="D75" s="153" t="s">
        <v>226</v>
      </c>
      <c r="E75" s="153"/>
      <c r="F75" s="153"/>
      <c r="G75" s="153"/>
      <c r="H75" s="154"/>
      <c r="I75" s="871">
        <f>'6A - 9% Building'!K88</f>
        <v>31714</v>
      </c>
      <c r="J75" s="2695" t="s">
        <v>2100</v>
      </c>
      <c r="K75" s="2696"/>
      <c r="L75" s="490"/>
    </row>
    <row r="76" spans="2:12" ht="3.75" customHeight="1" x14ac:dyDescent="0.3">
      <c r="B76" s="494"/>
      <c r="C76" s="47"/>
      <c r="D76" s="48"/>
      <c r="E76" s="48"/>
      <c r="F76" s="44"/>
      <c r="G76" s="44"/>
      <c r="H76" s="44"/>
      <c r="I76" s="39"/>
      <c r="J76" s="39"/>
      <c r="K76" s="491"/>
      <c r="L76" s="490"/>
    </row>
    <row r="77" spans="2:12" ht="15" thickBot="1" x14ac:dyDescent="0.35">
      <c r="B77" s="494"/>
      <c r="C77" s="60" t="s">
        <v>200</v>
      </c>
      <c r="D77" s="61"/>
      <c r="E77" s="61"/>
      <c r="F77" s="62"/>
      <c r="G77" s="62"/>
      <c r="H77" s="62"/>
      <c r="I77" s="42"/>
      <c r="J77" s="163"/>
      <c r="K77" s="410"/>
      <c r="L77" s="490"/>
    </row>
    <row r="78" spans="2:12" x14ac:dyDescent="0.3">
      <c r="B78" s="494"/>
      <c r="C78" s="453"/>
      <c r="D78" s="151" t="s">
        <v>201</v>
      </c>
      <c r="E78" s="151"/>
      <c r="F78" s="151"/>
      <c r="G78" s="151"/>
      <c r="H78" s="152"/>
      <c r="I78" s="869">
        <f>'6A - 9% Building'!K92</f>
        <v>275000</v>
      </c>
      <c r="J78" s="2697" t="s">
        <v>2076</v>
      </c>
      <c r="K78" s="2698"/>
      <c r="L78" s="490"/>
    </row>
    <row r="79" spans="2:12" x14ac:dyDescent="0.3">
      <c r="B79" s="494"/>
      <c r="C79" s="453"/>
      <c r="D79" s="153" t="s">
        <v>202</v>
      </c>
      <c r="E79" s="153"/>
      <c r="F79" s="153"/>
      <c r="G79" s="153"/>
      <c r="H79" s="154"/>
      <c r="I79" s="870">
        <f>'6A - 9% Building'!K93</f>
        <v>0</v>
      </c>
      <c r="J79" s="2693"/>
      <c r="K79" s="2694"/>
      <c r="L79" s="490"/>
    </row>
    <row r="80" spans="2:12" ht="15" thickBot="1" x14ac:dyDescent="0.35">
      <c r="B80" s="494"/>
      <c r="C80" s="453"/>
      <c r="D80" s="153" t="s">
        <v>228</v>
      </c>
      <c r="E80" s="153"/>
      <c r="F80" s="153"/>
      <c r="G80" s="153"/>
      <c r="H80" s="154"/>
      <c r="I80" s="871">
        <f>'6A - 9% Building'!K94</f>
        <v>0</v>
      </c>
      <c r="J80" s="2695"/>
      <c r="K80" s="2696"/>
      <c r="L80" s="490"/>
    </row>
    <row r="81" spans="2:12" ht="3.75" customHeight="1" x14ac:dyDescent="0.3">
      <c r="B81" s="494"/>
      <c r="C81" s="47"/>
      <c r="D81" s="48"/>
      <c r="E81" s="48"/>
      <c r="F81" s="44"/>
      <c r="G81" s="44"/>
      <c r="H81" s="44"/>
      <c r="I81" s="39"/>
      <c r="J81" s="39"/>
      <c r="K81" s="491"/>
      <c r="L81" s="490"/>
    </row>
    <row r="82" spans="2:12" ht="15" thickBot="1" x14ac:dyDescent="0.35">
      <c r="B82" s="494"/>
      <c r="C82" s="60" t="s">
        <v>203</v>
      </c>
      <c r="D82" s="61"/>
      <c r="E82" s="61"/>
      <c r="F82" s="62"/>
      <c r="G82" s="62"/>
      <c r="H82" s="62"/>
      <c r="I82" s="42"/>
      <c r="J82" s="163"/>
      <c r="K82" s="410"/>
      <c r="L82" s="490"/>
    </row>
    <row r="83" spans="2:12" x14ac:dyDescent="0.3">
      <c r="B83" s="494"/>
      <c r="C83" s="453"/>
      <c r="D83" s="151" t="s">
        <v>204</v>
      </c>
      <c r="E83" s="151"/>
      <c r="F83" s="151"/>
      <c r="G83" s="151"/>
      <c r="H83" s="152"/>
      <c r="I83" s="869">
        <f>'6A - 9% Building'!K98</f>
        <v>34906</v>
      </c>
      <c r="J83" s="2697" t="s">
        <v>2147</v>
      </c>
      <c r="K83" s="2698"/>
      <c r="L83" s="490"/>
    </row>
    <row r="84" spans="2:12" x14ac:dyDescent="0.3">
      <c r="B84" s="494"/>
      <c r="C84" s="453"/>
      <c r="D84" s="153" t="s">
        <v>205</v>
      </c>
      <c r="E84" s="153"/>
      <c r="F84" s="153"/>
      <c r="G84" s="153"/>
      <c r="H84" s="154"/>
      <c r="I84" s="870">
        <f>'6A - 9% Building'!K99</f>
        <v>106279</v>
      </c>
      <c r="J84" s="2693" t="s">
        <v>2091</v>
      </c>
      <c r="K84" s="2694"/>
      <c r="L84" s="490"/>
    </row>
    <row r="85" spans="2:12" x14ac:dyDescent="0.3">
      <c r="B85" s="494"/>
      <c r="C85" s="453"/>
      <c r="D85" s="153" t="s">
        <v>103</v>
      </c>
      <c r="E85" s="153"/>
      <c r="F85" s="153"/>
      <c r="G85" s="153"/>
      <c r="H85" s="154"/>
      <c r="I85" s="870">
        <f>'6A - 9% Building'!K100</f>
        <v>0</v>
      </c>
      <c r="J85" s="2693"/>
      <c r="K85" s="2694"/>
      <c r="L85" s="490"/>
    </row>
    <row r="86" spans="2:12" x14ac:dyDescent="0.3">
      <c r="B86" s="494"/>
      <c r="C86" s="453"/>
      <c r="D86" s="153" t="s">
        <v>206</v>
      </c>
      <c r="E86" s="153"/>
      <c r="F86" s="153"/>
      <c r="G86" s="153"/>
      <c r="H86" s="154"/>
      <c r="I86" s="870">
        <f>'6A - 9% Building'!K101</f>
        <v>0</v>
      </c>
      <c r="J86" s="2693"/>
      <c r="K86" s="2694"/>
      <c r="L86" s="490"/>
    </row>
    <row r="87" spans="2:12" x14ac:dyDescent="0.3">
      <c r="B87" s="494"/>
      <c r="C87" s="453"/>
      <c r="D87" s="153" t="s">
        <v>207</v>
      </c>
      <c r="E87" s="153"/>
      <c r="F87" s="153"/>
      <c r="G87" s="153"/>
      <c r="H87" s="154"/>
      <c r="I87" s="870">
        <f>'6A - 9% Building'!K102</f>
        <v>679614</v>
      </c>
      <c r="J87" s="2693" t="s">
        <v>2077</v>
      </c>
      <c r="K87" s="2694"/>
      <c r="L87" s="490"/>
    </row>
    <row r="88" spans="2:12" x14ac:dyDescent="0.3">
      <c r="B88" s="494"/>
      <c r="C88" s="453"/>
      <c r="D88" s="153" t="s">
        <v>208</v>
      </c>
      <c r="E88" s="153"/>
      <c r="F88" s="153"/>
      <c r="G88" s="153"/>
      <c r="H88" s="154"/>
      <c r="I88" s="870">
        <f>'6A - 9% Building'!K103</f>
        <v>0</v>
      </c>
      <c r="J88" s="2693"/>
      <c r="K88" s="2694"/>
      <c r="L88" s="490"/>
    </row>
    <row r="89" spans="2:12" x14ac:dyDescent="0.3">
      <c r="B89" s="494"/>
      <c r="C89" s="453"/>
      <c r="D89" s="153" t="s">
        <v>209</v>
      </c>
      <c r="E89" s="153"/>
      <c r="F89" s="153"/>
      <c r="G89" s="153"/>
      <c r="H89" s="154"/>
      <c r="I89" s="870">
        <f>'6A - 9% Building'!K104</f>
        <v>0</v>
      </c>
      <c r="J89" s="2693"/>
      <c r="K89" s="2694"/>
      <c r="L89" s="490"/>
    </row>
    <row r="90" spans="2:12" x14ac:dyDescent="0.3">
      <c r="B90" s="494"/>
      <c r="C90" s="453"/>
      <c r="D90" s="153" t="s">
        <v>210</v>
      </c>
      <c r="E90" s="153"/>
      <c r="F90" s="153"/>
      <c r="G90" s="153"/>
      <c r="H90" s="154"/>
      <c r="I90" s="870">
        <f>'6A - 9% Building'!K105</f>
        <v>25000</v>
      </c>
      <c r="J90" s="2693"/>
      <c r="K90" s="2694"/>
      <c r="L90" s="490"/>
    </row>
    <row r="91" spans="2:12" x14ac:dyDescent="0.3">
      <c r="B91" s="494"/>
      <c r="C91" s="453"/>
      <c r="D91" s="153" t="s">
        <v>211</v>
      </c>
      <c r="E91" s="153"/>
      <c r="F91" s="153"/>
      <c r="G91" s="153"/>
      <c r="H91" s="154"/>
      <c r="I91" s="870">
        <f>'6A - 9% Building'!K106</f>
        <v>8500</v>
      </c>
      <c r="J91" s="2693" t="s">
        <v>2078</v>
      </c>
      <c r="K91" s="2694"/>
      <c r="L91" s="490"/>
    </row>
    <row r="92" spans="2:12" x14ac:dyDescent="0.3">
      <c r="B92" s="494"/>
      <c r="C92" s="453"/>
      <c r="D92" s="153" t="s">
        <v>212</v>
      </c>
      <c r="E92" s="153"/>
      <c r="F92" s="153"/>
      <c r="G92" s="153"/>
      <c r="H92" s="154"/>
      <c r="I92" s="870">
        <f>'6A - 9% Building'!K107</f>
        <v>45790</v>
      </c>
      <c r="J92" s="2693" t="s">
        <v>2079</v>
      </c>
      <c r="K92" s="2694"/>
      <c r="L92" s="490"/>
    </row>
    <row r="93" spans="2:12" ht="15" thickBot="1" x14ac:dyDescent="0.35">
      <c r="B93" s="494"/>
      <c r="C93" s="453"/>
      <c r="D93" s="153" t="s">
        <v>213</v>
      </c>
      <c r="E93" s="153"/>
      <c r="F93" s="153"/>
      <c r="G93" s="153"/>
      <c r="H93" s="154"/>
      <c r="I93" s="871">
        <f>'6A - 9% Building'!K108</f>
        <v>30520</v>
      </c>
      <c r="J93" s="2695"/>
      <c r="K93" s="2696"/>
      <c r="L93" s="490"/>
    </row>
    <row r="94" spans="2:12" ht="3.75" customHeight="1" x14ac:dyDescent="0.3">
      <c r="B94" s="494"/>
      <c r="C94" s="47"/>
      <c r="D94" s="48"/>
      <c r="E94" s="48"/>
      <c r="F94" s="44"/>
      <c r="G94" s="44"/>
      <c r="H94" s="44"/>
      <c r="I94" s="39"/>
      <c r="J94" s="39"/>
      <c r="K94" s="410"/>
      <c r="L94" s="490"/>
    </row>
    <row r="95" spans="2:12" ht="15" thickBot="1" x14ac:dyDescent="0.35">
      <c r="B95" s="494"/>
      <c r="C95" s="60" t="s">
        <v>214</v>
      </c>
      <c r="D95" s="61"/>
      <c r="E95" s="61"/>
      <c r="F95" s="62"/>
      <c r="G95" s="62"/>
      <c r="H95" s="62"/>
      <c r="I95" s="39"/>
      <c r="J95" s="39"/>
      <c r="K95" s="495"/>
      <c r="L95" s="501"/>
    </row>
    <row r="96" spans="2:12" x14ac:dyDescent="0.3">
      <c r="B96" s="494"/>
      <c r="C96" s="502"/>
      <c r="D96" s="151" t="s">
        <v>215</v>
      </c>
      <c r="E96" s="151"/>
      <c r="F96" s="151"/>
      <c r="G96" s="151"/>
      <c r="H96" s="152"/>
      <c r="I96" s="869">
        <f>'6A - 9% Building'!K113</f>
        <v>0</v>
      </c>
      <c r="J96" s="2697" t="s">
        <v>2080</v>
      </c>
      <c r="K96" s="2698"/>
      <c r="L96" s="501"/>
    </row>
    <row r="97" spans="2:12" x14ac:dyDescent="0.3">
      <c r="B97" s="494"/>
      <c r="C97" s="502"/>
      <c r="D97" s="153" t="s">
        <v>216</v>
      </c>
      <c r="E97" s="153"/>
      <c r="F97" s="153"/>
      <c r="G97" s="153"/>
      <c r="H97" s="154"/>
      <c r="I97" s="870">
        <f>'6A - 9% Building'!K114</f>
        <v>0</v>
      </c>
      <c r="J97" s="2693" t="s">
        <v>2075</v>
      </c>
      <c r="K97" s="2694"/>
      <c r="L97" s="501"/>
    </row>
    <row r="98" spans="2:12" x14ac:dyDescent="0.3">
      <c r="B98" s="494"/>
      <c r="C98" s="453"/>
      <c r="D98" s="153" t="s">
        <v>217</v>
      </c>
      <c r="E98" s="153"/>
      <c r="F98" s="153"/>
      <c r="G98" s="153"/>
      <c r="H98" s="154"/>
      <c r="I98" s="870">
        <f>'6A - 9% Building'!K115</f>
        <v>0</v>
      </c>
      <c r="J98" s="2693"/>
      <c r="K98" s="2694"/>
      <c r="L98" s="490"/>
    </row>
    <row r="99" spans="2:12" x14ac:dyDescent="0.3">
      <c r="B99" s="494"/>
      <c r="C99" s="453"/>
      <c r="D99" s="153" t="s">
        <v>218</v>
      </c>
      <c r="E99" s="153"/>
      <c r="F99" s="153"/>
      <c r="G99" s="153"/>
      <c r="H99" s="154"/>
      <c r="I99" s="870">
        <f>'6A - 9% Building'!K116</f>
        <v>0</v>
      </c>
      <c r="J99" s="2693"/>
      <c r="K99" s="2694"/>
      <c r="L99" s="490"/>
    </row>
    <row r="100" spans="2:12" x14ac:dyDescent="0.3">
      <c r="B100" s="494"/>
      <c r="C100" s="453"/>
      <c r="D100" s="153" t="s">
        <v>219</v>
      </c>
      <c r="E100" s="153"/>
      <c r="F100" s="153"/>
      <c r="G100" s="153"/>
      <c r="H100" s="154"/>
      <c r="I100" s="870">
        <f>'6A - 9% Building'!K117</f>
        <v>0</v>
      </c>
      <c r="J100" s="2693"/>
      <c r="K100" s="2694"/>
      <c r="L100" s="490"/>
    </row>
    <row r="101" spans="2:12" x14ac:dyDescent="0.3">
      <c r="B101" s="494"/>
      <c r="C101" s="453"/>
      <c r="D101" s="153" t="s">
        <v>220</v>
      </c>
      <c r="E101" s="153"/>
      <c r="F101" s="153"/>
      <c r="G101" s="153"/>
      <c r="H101" s="154"/>
      <c r="I101" s="870">
        <f>'6A - 9% Building'!K118</f>
        <v>0</v>
      </c>
      <c r="J101" s="2693"/>
      <c r="K101" s="2694"/>
      <c r="L101" s="490"/>
    </row>
    <row r="102" spans="2:12" ht="15" thickBot="1" x14ac:dyDescent="0.35">
      <c r="B102" s="494"/>
      <c r="C102" s="453"/>
      <c r="D102" s="153" t="s">
        <v>221</v>
      </c>
      <c r="E102" s="153"/>
      <c r="F102" s="153"/>
      <c r="G102" s="153"/>
      <c r="H102" s="154"/>
      <c r="I102" s="871">
        <f>'6A - 9% Building'!K119</f>
        <v>0</v>
      </c>
      <c r="J102" s="2695"/>
      <c r="K102" s="2696"/>
      <c r="L102" s="490"/>
    </row>
    <row r="103" spans="2:12" ht="15" thickBot="1" x14ac:dyDescent="0.35">
      <c r="B103" s="497"/>
      <c r="C103" s="37"/>
      <c r="D103" s="503"/>
      <c r="E103" s="503"/>
      <c r="F103" s="37"/>
      <c r="G103" s="37"/>
      <c r="H103" s="37"/>
      <c r="I103" s="38"/>
      <c r="J103" s="38"/>
      <c r="K103" s="498"/>
      <c r="L103" s="499"/>
    </row>
    <row r="104" spans="2:12" x14ac:dyDescent="0.3">
      <c r="I104" s="485"/>
    </row>
  </sheetData>
  <sheetProtection formatCells="0" formatColumns="0" formatRows="0"/>
  <mergeCells count="76">
    <mergeCell ref="J100:K100"/>
    <mergeCell ref="J101:K101"/>
    <mergeCell ref="J102:K102"/>
    <mergeCell ref="J92:K92"/>
    <mergeCell ref="J93:K93"/>
    <mergeCell ref="J96:K96"/>
    <mergeCell ref="J97:K97"/>
    <mergeCell ref="J98:K98"/>
    <mergeCell ref="J99:K99"/>
    <mergeCell ref="J91:K91"/>
    <mergeCell ref="J78:K78"/>
    <mergeCell ref="J79:K79"/>
    <mergeCell ref="J80:K80"/>
    <mergeCell ref="J83:K83"/>
    <mergeCell ref="J84:K84"/>
    <mergeCell ref="J85:K85"/>
    <mergeCell ref="J86:K86"/>
    <mergeCell ref="J87:K87"/>
    <mergeCell ref="J88:K88"/>
    <mergeCell ref="J89:K89"/>
    <mergeCell ref="J90:K90"/>
    <mergeCell ref="J75:K75"/>
    <mergeCell ref="J62:K62"/>
    <mergeCell ref="J63:K63"/>
    <mergeCell ref="J64:K64"/>
    <mergeCell ref="J65:K65"/>
    <mergeCell ref="J68:K68"/>
    <mergeCell ref="J69:K69"/>
    <mergeCell ref="J70:K70"/>
    <mergeCell ref="J71:K71"/>
    <mergeCell ref="J72:K72"/>
    <mergeCell ref="J73:K73"/>
    <mergeCell ref="J74:K74"/>
    <mergeCell ref="J61:K61"/>
    <mergeCell ref="J46:K46"/>
    <mergeCell ref="J47:K47"/>
    <mergeCell ref="J48:K48"/>
    <mergeCell ref="J49:K49"/>
    <mergeCell ref="J50:K50"/>
    <mergeCell ref="J51:K51"/>
    <mergeCell ref="J52:K52"/>
    <mergeCell ref="J53:K53"/>
    <mergeCell ref="J54:K54"/>
    <mergeCell ref="J57:K57"/>
    <mergeCell ref="J58:K58"/>
    <mergeCell ref="J45:K45"/>
    <mergeCell ref="J32:K32"/>
    <mergeCell ref="J33:K33"/>
    <mergeCell ref="J34:K34"/>
    <mergeCell ref="J35:K35"/>
    <mergeCell ref="J36:K36"/>
    <mergeCell ref="J37:K37"/>
    <mergeCell ref="J38:K38"/>
    <mergeCell ref="J39:K39"/>
    <mergeCell ref="J42:K42"/>
    <mergeCell ref="J43:K43"/>
    <mergeCell ref="J44:K44"/>
    <mergeCell ref="J31:K31"/>
    <mergeCell ref="J18:K18"/>
    <mergeCell ref="J19:K19"/>
    <mergeCell ref="J20:K20"/>
    <mergeCell ref="J21:K21"/>
    <mergeCell ref="J24:K24"/>
    <mergeCell ref="J25:K25"/>
    <mergeCell ref="J26:K26"/>
    <mergeCell ref="J27:K27"/>
    <mergeCell ref="J28:K28"/>
    <mergeCell ref="J29:K29"/>
    <mergeCell ref="J30:K30"/>
    <mergeCell ref="J17:K17"/>
    <mergeCell ref="C7:K7"/>
    <mergeCell ref="C9:K9"/>
    <mergeCell ref="I13:K13"/>
    <mergeCell ref="J14:K14"/>
    <mergeCell ref="J16:K16"/>
    <mergeCell ref="C11:K11"/>
  </mergeCells>
  <pageMargins left="1" right="1" top="0.75" bottom="0.75" header="0.3" footer="0.3"/>
  <pageSetup scale="70" fitToHeight="0" orientation="portrait" r:id="rId1"/>
  <headerFooter>
    <oddFooter>&amp;LForm 6B
Development Budget Details&amp;CCFA Forms&amp;REdition: 2017
Version: 1.0</oddFooter>
  </headerFooter>
  <rowBreaks count="1" manualBreakCount="1">
    <brk id="59" min="1" max="1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B9:L125"/>
  <sheetViews>
    <sheetView showGridLines="0" topLeftCell="A4" zoomScaleNormal="100" workbookViewId="0">
      <selection activeCell="K105" sqref="K105"/>
    </sheetView>
  </sheetViews>
  <sheetFormatPr defaultColWidth="9.109375" defaultRowHeight="14.4" x14ac:dyDescent="0.3"/>
  <cols>
    <col min="1" max="2" width="1.6640625" style="399" customWidth="1"/>
    <col min="3" max="3" width="2.88671875" style="399" customWidth="1"/>
    <col min="4" max="4" width="5.6640625" style="399" customWidth="1"/>
    <col min="5" max="5" width="8.5546875" style="399" customWidth="1"/>
    <col min="6" max="6" width="12.88671875" style="399" customWidth="1"/>
    <col min="7" max="7" width="10.6640625" style="399" customWidth="1"/>
    <col min="8" max="8" width="0.6640625" style="399" customWidth="1"/>
    <col min="9" max="9" width="20" style="399" customWidth="1"/>
    <col min="10" max="10" width="11.44140625" style="399" customWidth="1"/>
    <col min="11" max="11" width="12.109375" style="399" customWidth="1"/>
    <col min="12" max="12" width="1.6640625" style="399" customWidth="1"/>
    <col min="13" max="16384" width="9.109375" style="399"/>
  </cols>
  <sheetData>
    <row r="9" spans="2:12" ht="15" thickBot="1" x14ac:dyDescent="0.35"/>
    <row r="10" spans="2:12" x14ac:dyDescent="0.3">
      <c r="B10" s="504"/>
      <c r="C10" s="505"/>
      <c r="D10" s="505"/>
      <c r="E10" s="505"/>
      <c r="F10" s="505"/>
      <c r="G10" s="505"/>
      <c r="H10" s="505"/>
      <c r="I10" s="505"/>
      <c r="J10" s="505"/>
      <c r="K10" s="505"/>
      <c r="L10" s="506"/>
    </row>
    <row r="11" spans="2:12" ht="18" x14ac:dyDescent="0.35">
      <c r="B11" s="507"/>
      <c r="C11" s="2647" t="s">
        <v>1879</v>
      </c>
      <c r="D11" s="2647"/>
      <c r="E11" s="2647"/>
      <c r="F11" s="2647"/>
      <c r="G11" s="2647"/>
      <c r="H11" s="2647"/>
      <c r="I11" s="2647"/>
      <c r="J11" s="2647"/>
      <c r="K11" s="2647"/>
      <c r="L11" s="508"/>
    </row>
    <row r="12" spans="2:12" x14ac:dyDescent="0.3">
      <c r="B12" s="507"/>
      <c r="C12" s="410"/>
      <c r="D12" s="410"/>
      <c r="E12" s="410"/>
      <c r="F12" s="410"/>
      <c r="G12" s="410"/>
      <c r="H12" s="410"/>
      <c r="I12" s="410"/>
      <c r="J12" s="410"/>
      <c r="K12" s="410"/>
      <c r="L12" s="508"/>
    </row>
    <row r="13" spans="2:12" ht="15" thickBot="1" x14ac:dyDescent="0.35">
      <c r="B13" s="507"/>
      <c r="C13" s="2668" t="str">
        <f>IF('1'!G5="","Enter Project Name on Form 1",(CONCATENATE("Project Name: ",'1'!G5)))</f>
        <v>Project Name: 6600 Roosevelt Way NE</v>
      </c>
      <c r="D13" s="2668"/>
      <c r="E13" s="2668"/>
      <c r="F13" s="2668"/>
      <c r="G13" s="2668"/>
      <c r="H13" s="2668"/>
      <c r="I13" s="2668"/>
      <c r="J13" s="2668"/>
      <c r="K13" s="2668"/>
      <c r="L13" s="508"/>
    </row>
    <row r="14" spans="2:12" ht="7.5" customHeight="1" x14ac:dyDescent="0.3">
      <c r="B14" s="507"/>
      <c r="C14" s="2122"/>
      <c r="D14" s="2122"/>
      <c r="E14" s="2122"/>
      <c r="F14" s="2122"/>
      <c r="G14" s="2122"/>
      <c r="H14" s="2122"/>
      <c r="I14" s="2122"/>
      <c r="J14" s="2122"/>
      <c r="K14" s="2122"/>
      <c r="L14" s="508"/>
    </row>
    <row r="15" spans="2:12" ht="15" thickBot="1" x14ac:dyDescent="0.35">
      <c r="B15" s="507"/>
      <c r="C15" s="2668" t="str">
        <f>IF('1'!G55="","Enter Site Name/ID Number on Form 1",(CONCATENATE("Site Name/ID: ",'1'!G55)))</f>
        <v>Site Name/ID: Site B - 9% Building</v>
      </c>
      <c r="D15" s="2668"/>
      <c r="E15" s="2668"/>
      <c r="F15" s="2668"/>
      <c r="G15" s="2668"/>
      <c r="H15" s="2668"/>
      <c r="I15" s="2668"/>
      <c r="J15" s="2668"/>
      <c r="K15" s="2668"/>
      <c r="L15" s="508"/>
    </row>
    <row r="16" spans="2:12" ht="15" thickBot="1" x14ac:dyDescent="0.35">
      <c r="B16" s="143"/>
      <c r="C16" s="410"/>
      <c r="D16" s="63"/>
      <c r="E16" s="63"/>
      <c r="F16" s="63"/>
      <c r="G16" s="63"/>
      <c r="H16" s="63"/>
      <c r="I16" s="63"/>
      <c r="J16" s="63"/>
      <c r="K16" s="410"/>
      <c r="L16" s="508"/>
    </row>
    <row r="17" spans="2:12" x14ac:dyDescent="0.3">
      <c r="B17" s="143"/>
      <c r="C17" s="68"/>
      <c r="D17" s="68"/>
      <c r="E17" s="68"/>
      <c r="F17" s="68"/>
      <c r="G17" s="68"/>
      <c r="H17" s="68"/>
      <c r="I17" s="2680" t="s">
        <v>144</v>
      </c>
      <c r="J17" s="2681"/>
      <c r="K17" s="2709"/>
      <c r="L17" s="508"/>
    </row>
    <row r="18" spans="2:12" x14ac:dyDescent="0.3">
      <c r="B18" s="143"/>
      <c r="C18" s="68"/>
      <c r="D18" s="68"/>
      <c r="E18" s="68"/>
      <c r="F18" s="68"/>
      <c r="G18" s="68"/>
      <c r="H18" s="68"/>
      <c r="I18" s="2724" t="s">
        <v>229</v>
      </c>
      <c r="J18" s="2719" t="s">
        <v>230</v>
      </c>
      <c r="K18" s="2720"/>
      <c r="L18" s="508"/>
    </row>
    <row r="19" spans="2:12" x14ac:dyDescent="0.3">
      <c r="B19" s="143"/>
      <c r="C19" s="69"/>
      <c r="D19" s="45"/>
      <c r="E19" s="45"/>
      <c r="F19" s="70"/>
      <c r="G19" s="70"/>
      <c r="H19" s="70"/>
      <c r="I19" s="2724"/>
      <c r="J19" s="2721" t="s">
        <v>21</v>
      </c>
      <c r="K19" s="2726" t="s">
        <v>500</v>
      </c>
      <c r="L19" s="508"/>
    </row>
    <row r="20" spans="2:12" x14ac:dyDescent="0.3">
      <c r="B20" s="143"/>
      <c r="C20" s="45"/>
      <c r="D20" s="71"/>
      <c r="E20" s="71"/>
      <c r="F20" s="72"/>
      <c r="G20" s="72"/>
      <c r="H20" s="72"/>
      <c r="I20" s="2724"/>
      <c r="J20" s="2722"/>
      <c r="K20" s="2727"/>
      <c r="L20" s="508"/>
    </row>
    <row r="21" spans="2:12" ht="15" thickBot="1" x14ac:dyDescent="0.35">
      <c r="B21" s="143"/>
      <c r="C21" s="45"/>
      <c r="D21" s="71"/>
      <c r="E21" s="71"/>
      <c r="F21" s="72"/>
      <c r="G21" s="72"/>
      <c r="H21" s="72"/>
      <c r="I21" s="2725"/>
      <c r="J21" s="2723"/>
      <c r="K21" s="2728"/>
      <c r="L21" s="508"/>
    </row>
    <row r="22" spans="2:12" ht="15" thickBot="1" x14ac:dyDescent="0.35">
      <c r="B22" s="143"/>
      <c r="C22" s="60" t="s">
        <v>147</v>
      </c>
      <c r="D22" s="61"/>
      <c r="E22" s="61"/>
      <c r="F22" s="62"/>
      <c r="G22" s="62"/>
      <c r="H22" s="62"/>
      <c r="I22" s="84"/>
      <c r="J22" s="64"/>
      <c r="K22" s="410"/>
      <c r="L22" s="508"/>
    </row>
    <row r="23" spans="2:12" x14ac:dyDescent="0.3">
      <c r="B23" s="143"/>
      <c r="C23" s="410"/>
      <c r="D23" s="91" t="s">
        <v>148</v>
      </c>
      <c r="E23" s="44"/>
      <c r="F23" s="45"/>
      <c r="G23" s="45"/>
      <c r="H23" s="45"/>
      <c r="I23" s="891">
        <f>'6B - 9% Building'!I16</f>
        <v>1427511</v>
      </c>
      <c r="J23" s="101"/>
      <c r="K23" s="102"/>
      <c r="L23" s="508"/>
    </row>
    <row r="24" spans="2:12" x14ac:dyDescent="0.3">
      <c r="B24" s="143"/>
      <c r="C24" s="410"/>
      <c r="D24" s="91" t="s">
        <v>149</v>
      </c>
      <c r="E24" s="44"/>
      <c r="F24" s="45"/>
      <c r="G24" s="45"/>
      <c r="H24" s="45"/>
      <c r="I24" s="889">
        <f>'6B - 9% Building'!I17</f>
        <v>0</v>
      </c>
      <c r="J24" s="872"/>
      <c r="K24" s="103"/>
      <c r="L24" s="508"/>
    </row>
    <row r="25" spans="2:12" x14ac:dyDescent="0.3">
      <c r="B25" s="143"/>
      <c r="C25" s="410"/>
      <c r="D25" s="90" t="s">
        <v>150</v>
      </c>
      <c r="E25" s="44"/>
      <c r="F25" s="46"/>
      <c r="G25" s="46"/>
      <c r="H25" s="46"/>
      <c r="I25" s="873">
        <f>'6B - 9% Building'!I18</f>
        <v>0</v>
      </c>
      <c r="J25" s="874"/>
      <c r="K25" s="103"/>
      <c r="L25" s="508"/>
    </row>
    <row r="26" spans="2:12" x14ac:dyDescent="0.3">
      <c r="B26" s="143"/>
      <c r="C26" s="410"/>
      <c r="D26" s="90" t="s">
        <v>151</v>
      </c>
      <c r="E26" s="44"/>
      <c r="F26" s="46"/>
      <c r="G26" s="46"/>
      <c r="H26" s="46"/>
      <c r="I26" s="873">
        <f>'6B - 9% Building'!I19</f>
        <v>16110</v>
      </c>
      <c r="J26" s="874"/>
      <c r="K26" s="103"/>
      <c r="L26" s="508"/>
    </row>
    <row r="27" spans="2:12" x14ac:dyDescent="0.3">
      <c r="B27" s="143"/>
      <c r="C27" s="410"/>
      <c r="D27" s="83" t="s">
        <v>152</v>
      </c>
      <c r="E27" s="44"/>
      <c r="F27" s="46"/>
      <c r="G27" s="46"/>
      <c r="H27" s="46"/>
      <c r="I27" s="873">
        <f>'6B - 9% Building'!I20</f>
        <v>0</v>
      </c>
      <c r="J27" s="874"/>
      <c r="K27" s="103"/>
      <c r="L27" s="508"/>
    </row>
    <row r="28" spans="2:12" x14ac:dyDescent="0.3">
      <c r="B28" s="143"/>
      <c r="C28" s="410"/>
      <c r="D28" s="50" t="s">
        <v>422</v>
      </c>
      <c r="E28" s="2729">
        <f>(IF(AND(I28&lt;&gt;0,'6A Rollup'!E20=""),"Enter Item on Form 6A",'6A Rollup'!E20))</f>
        <v>0</v>
      </c>
      <c r="F28" s="2730"/>
      <c r="G28" s="2731"/>
      <c r="H28" s="509"/>
      <c r="I28" s="875">
        <f>'6B - 9% Building'!I21</f>
        <v>0</v>
      </c>
      <c r="J28" s="876"/>
      <c r="K28" s="114"/>
      <c r="L28" s="508"/>
    </row>
    <row r="29" spans="2:12" ht="15" thickBot="1" x14ac:dyDescent="0.35">
      <c r="B29" s="143"/>
      <c r="C29" s="45"/>
      <c r="D29" s="44"/>
      <c r="E29" s="44"/>
      <c r="F29" s="410"/>
      <c r="G29" s="48" t="s">
        <v>153</v>
      </c>
      <c r="H29" s="89"/>
      <c r="I29" s="113">
        <f>SUM(I23:I28)</f>
        <v>1443621</v>
      </c>
      <c r="J29" s="93">
        <f>SUM(J24:J28)</f>
        <v>0</v>
      </c>
      <c r="K29" s="95">
        <v>0</v>
      </c>
      <c r="L29" s="508"/>
    </row>
    <row r="30" spans="2:12" ht="3.75" customHeight="1" x14ac:dyDescent="0.3">
      <c r="B30" s="143"/>
      <c r="C30" s="47"/>
      <c r="D30" s="48"/>
      <c r="E30" s="48"/>
      <c r="F30" s="44"/>
      <c r="G30" s="44"/>
      <c r="H30" s="44"/>
      <c r="I30" s="73"/>
      <c r="J30" s="73"/>
      <c r="K30" s="73"/>
      <c r="L30" s="508"/>
    </row>
    <row r="31" spans="2:12" ht="15" thickBot="1" x14ac:dyDescent="0.35">
      <c r="B31" s="143"/>
      <c r="C31" s="78" t="s">
        <v>154</v>
      </c>
      <c r="D31" s="79"/>
      <c r="E31" s="79"/>
      <c r="F31" s="80"/>
      <c r="G31" s="80"/>
      <c r="H31" s="80"/>
      <c r="I31" s="74"/>
      <c r="J31" s="73"/>
      <c r="K31" s="73"/>
      <c r="L31" s="508"/>
    </row>
    <row r="32" spans="2:12" x14ac:dyDescent="0.3">
      <c r="B32" s="143"/>
      <c r="C32" s="410"/>
      <c r="D32" s="90" t="s">
        <v>155</v>
      </c>
      <c r="E32" s="44"/>
      <c r="F32" s="46"/>
      <c r="G32" s="46"/>
      <c r="H32" s="46"/>
      <c r="I32" s="877">
        <f>'6A - 9% Building'!K33</f>
        <v>0</v>
      </c>
      <c r="J32" s="878"/>
      <c r="K32" s="879">
        <v>0</v>
      </c>
      <c r="L32" s="508"/>
    </row>
    <row r="33" spans="2:12" x14ac:dyDescent="0.3">
      <c r="B33" s="143"/>
      <c r="C33" s="410"/>
      <c r="D33" s="90" t="s">
        <v>156</v>
      </c>
      <c r="E33" s="44"/>
      <c r="F33" s="49"/>
      <c r="G33" s="49"/>
      <c r="H33" s="49"/>
      <c r="I33" s="873">
        <f>'6A - 9% Building'!K34</f>
        <v>18070351</v>
      </c>
      <c r="J33" s="874"/>
      <c r="K33" s="880">
        <v>18070351</v>
      </c>
      <c r="L33" s="508"/>
    </row>
    <row r="34" spans="2:12" x14ac:dyDescent="0.3">
      <c r="B34" s="143"/>
      <c r="C34" s="410"/>
      <c r="D34" s="90" t="s">
        <v>157</v>
      </c>
      <c r="E34" s="44"/>
      <c r="F34" s="49"/>
      <c r="G34" s="49"/>
      <c r="H34" s="49"/>
      <c r="I34" s="873">
        <f>'6A - 9% Building'!K35</f>
        <v>0</v>
      </c>
      <c r="J34" s="874"/>
      <c r="K34" s="880">
        <v>0</v>
      </c>
      <c r="L34" s="508"/>
    </row>
    <row r="35" spans="2:12" x14ac:dyDescent="0.3">
      <c r="B35" s="143"/>
      <c r="C35" s="410"/>
      <c r="D35" s="90" t="s">
        <v>158</v>
      </c>
      <c r="E35" s="44"/>
      <c r="F35" s="49"/>
      <c r="G35" s="49"/>
      <c r="H35" s="49"/>
      <c r="I35" s="873">
        <f>'6A - 9% Building'!K36</f>
        <v>0</v>
      </c>
      <c r="J35" s="874"/>
      <c r="K35" s="880">
        <v>0</v>
      </c>
      <c r="L35" s="508"/>
    </row>
    <row r="36" spans="2:12" x14ac:dyDescent="0.3">
      <c r="B36" s="143"/>
      <c r="C36" s="410"/>
      <c r="D36" s="90" t="s">
        <v>159</v>
      </c>
      <c r="E36" s="44"/>
      <c r="F36" s="49"/>
      <c r="G36" s="49"/>
      <c r="H36" s="49"/>
      <c r="I36" s="873">
        <f>'6A - 9% Building'!K37</f>
        <v>0</v>
      </c>
      <c r="J36" s="874"/>
      <c r="K36" s="880">
        <v>0</v>
      </c>
      <c r="L36" s="508"/>
    </row>
    <row r="37" spans="2:12" x14ac:dyDescent="0.3">
      <c r="B37" s="143"/>
      <c r="C37" s="410"/>
      <c r="D37" s="90" t="s">
        <v>160</v>
      </c>
      <c r="E37" s="44"/>
      <c r="F37" s="50"/>
      <c r="G37" s="50"/>
      <c r="H37" s="50"/>
      <c r="I37" s="873">
        <f>'6A - 9% Building'!K38</f>
        <v>997729</v>
      </c>
      <c r="J37" s="874"/>
      <c r="K37" s="880">
        <v>997729</v>
      </c>
      <c r="L37" s="508"/>
    </row>
    <row r="38" spans="2:12" x14ac:dyDescent="0.3">
      <c r="B38" s="143"/>
      <c r="C38" s="410"/>
      <c r="D38" s="90" t="s">
        <v>161</v>
      </c>
      <c r="E38" s="44"/>
      <c r="F38" s="50"/>
      <c r="G38" s="50"/>
      <c r="H38" s="50"/>
      <c r="I38" s="873">
        <f>'6A - 9% Building'!K39</f>
        <v>0</v>
      </c>
      <c r="J38" s="874"/>
      <c r="K38" s="880">
        <v>0</v>
      </c>
      <c r="L38" s="508"/>
    </row>
    <row r="39" spans="2:12" x14ac:dyDescent="0.3">
      <c r="B39" s="143"/>
      <c r="C39" s="410"/>
      <c r="D39" s="90" t="s">
        <v>162</v>
      </c>
      <c r="E39" s="44"/>
      <c r="F39" s="51"/>
      <c r="G39" s="51"/>
      <c r="H39" s="51"/>
      <c r="I39" s="889">
        <f>'6A - 9% Building'!K40</f>
        <v>0</v>
      </c>
      <c r="J39" s="874"/>
      <c r="K39" s="880">
        <v>0</v>
      </c>
      <c r="L39" s="508"/>
    </row>
    <row r="40" spans="2:12" x14ac:dyDescent="0.3">
      <c r="B40" s="143"/>
      <c r="C40" s="410"/>
      <c r="D40" s="90" t="s">
        <v>163</v>
      </c>
      <c r="E40" s="44"/>
      <c r="F40" s="51"/>
      <c r="G40" s="51"/>
      <c r="H40" s="51"/>
      <c r="I40" s="889">
        <f>'6A - 9% Building'!K41</f>
        <v>0</v>
      </c>
      <c r="J40" s="881"/>
      <c r="K40" s="882"/>
      <c r="L40" s="508"/>
    </row>
    <row r="41" spans="2:12" x14ac:dyDescent="0.3">
      <c r="B41" s="143"/>
      <c r="C41" s="410"/>
      <c r="D41" s="90" t="s">
        <v>164</v>
      </c>
      <c r="E41" s="44"/>
      <c r="F41" s="52"/>
      <c r="G41" s="52"/>
      <c r="H41" s="52"/>
      <c r="I41" s="889">
        <f>'6A - 9% Building'!K42</f>
        <v>0</v>
      </c>
      <c r="J41" s="128"/>
      <c r="K41" s="104"/>
      <c r="L41" s="508"/>
    </row>
    <row r="42" spans="2:12" x14ac:dyDescent="0.3">
      <c r="B42" s="143"/>
      <c r="C42" s="410"/>
      <c r="D42" s="90" t="s">
        <v>232</v>
      </c>
      <c r="E42" s="44"/>
      <c r="F42" s="52"/>
      <c r="G42" s="52"/>
      <c r="H42" s="52"/>
      <c r="I42" s="889">
        <f>'6A - 9% Building'!K43</f>
        <v>0</v>
      </c>
      <c r="J42" s="872"/>
      <c r="K42" s="883">
        <v>0</v>
      </c>
      <c r="L42" s="508"/>
    </row>
    <row r="43" spans="2:12" x14ac:dyDescent="0.3">
      <c r="B43" s="143"/>
      <c r="C43" s="410"/>
      <c r="D43" s="90" t="s">
        <v>233</v>
      </c>
      <c r="E43" s="44"/>
      <c r="F43" s="52"/>
      <c r="G43" s="52"/>
      <c r="H43" s="52"/>
      <c r="I43" s="889">
        <f>'6A - 9% Building'!K44</f>
        <v>0</v>
      </c>
      <c r="J43" s="874"/>
      <c r="K43" s="880">
        <v>0</v>
      </c>
      <c r="L43" s="508"/>
    </row>
    <row r="44" spans="2:12" x14ac:dyDescent="0.3">
      <c r="B44" s="143"/>
      <c r="C44" s="410"/>
      <c r="D44" s="90" t="s">
        <v>167</v>
      </c>
      <c r="E44" s="52"/>
      <c r="F44" s="53"/>
      <c r="G44" s="53"/>
      <c r="H44" s="53"/>
      <c r="I44" s="889">
        <f>'6A - 9% Building'!K45</f>
        <v>1830520</v>
      </c>
      <c r="J44" s="874"/>
      <c r="K44" s="880">
        <v>1830520</v>
      </c>
      <c r="L44" s="508"/>
    </row>
    <row r="45" spans="2:12" x14ac:dyDescent="0.3">
      <c r="B45" s="143"/>
      <c r="C45" s="410"/>
      <c r="D45" s="90" t="s">
        <v>168</v>
      </c>
      <c r="E45" s="44"/>
      <c r="F45" s="51"/>
      <c r="G45" s="51"/>
      <c r="H45" s="51"/>
      <c r="I45" s="873">
        <f>'6A - 9% Building'!K46</f>
        <v>0</v>
      </c>
      <c r="J45" s="874"/>
      <c r="K45" s="880">
        <v>0</v>
      </c>
      <c r="L45" s="508"/>
    </row>
    <row r="46" spans="2:12" x14ac:dyDescent="0.3">
      <c r="B46" s="143"/>
      <c r="C46" s="410"/>
      <c r="D46" s="90" t="s">
        <v>169</v>
      </c>
      <c r="E46" s="44"/>
      <c r="F46" s="52"/>
      <c r="G46" s="52"/>
      <c r="H46" s="52"/>
      <c r="I46" s="873">
        <f>'6A - 9% Building'!K47</f>
        <v>53701</v>
      </c>
      <c r="J46" s="874"/>
      <c r="K46" s="880">
        <v>53702</v>
      </c>
      <c r="L46" s="508"/>
    </row>
    <row r="47" spans="2:12" x14ac:dyDescent="0.3">
      <c r="B47" s="143"/>
      <c r="C47" s="410"/>
      <c r="D47" s="50" t="s">
        <v>422</v>
      </c>
      <c r="E47" s="2729">
        <f>(IF(AND(I47&lt;&gt;0,'6A Rollup'!E39=""),"Enter Item on Form 6A",'6A Rollup'!E39))</f>
        <v>0</v>
      </c>
      <c r="F47" s="2730"/>
      <c r="G47" s="2731"/>
      <c r="H47" s="509"/>
      <c r="I47" s="875">
        <f>'6A - 9% Building'!K48</f>
        <v>0</v>
      </c>
      <c r="J47" s="884"/>
      <c r="K47" s="885">
        <v>0</v>
      </c>
      <c r="L47" s="508"/>
    </row>
    <row r="48" spans="2:12" ht="15" thickBot="1" x14ac:dyDescent="0.35">
      <c r="B48" s="143"/>
      <c r="C48" s="45"/>
      <c r="D48" s="44"/>
      <c r="E48" s="44"/>
      <c r="F48" s="410"/>
      <c r="G48" s="48" t="s">
        <v>153</v>
      </c>
      <c r="H48" s="89"/>
      <c r="I48" s="113">
        <f>SUM(I32:I47)</f>
        <v>20952301</v>
      </c>
      <c r="J48" s="93">
        <f>(SUM(J32:J40))+(SUM(J42:J47))</f>
        <v>0</v>
      </c>
      <c r="K48" s="97">
        <f>(SUM(K32:K40))+(SUM(K42:K47))</f>
        <v>20952302</v>
      </c>
      <c r="L48" s="508"/>
    </row>
    <row r="49" spans="2:12" ht="3.75" customHeight="1" x14ac:dyDescent="0.3">
      <c r="B49" s="143"/>
      <c r="C49" s="47"/>
      <c r="D49" s="48"/>
      <c r="E49" s="48"/>
      <c r="F49" s="44"/>
      <c r="G49" s="44"/>
      <c r="H49" s="44"/>
      <c r="I49" s="73"/>
      <c r="J49" s="73"/>
      <c r="K49" s="73"/>
      <c r="L49" s="508"/>
    </row>
    <row r="50" spans="2:12" ht="15" thickBot="1" x14ac:dyDescent="0.35">
      <c r="B50" s="143"/>
      <c r="C50" s="81" t="s">
        <v>170</v>
      </c>
      <c r="D50" s="81"/>
      <c r="E50" s="81"/>
      <c r="F50" s="81"/>
      <c r="G50" s="81"/>
      <c r="H50" s="81"/>
      <c r="I50" s="73"/>
      <c r="J50" s="75"/>
      <c r="K50" s="75"/>
      <c r="L50" s="508"/>
    </row>
    <row r="51" spans="2:12" x14ac:dyDescent="0.3">
      <c r="B51" s="143"/>
      <c r="C51" s="410"/>
      <c r="D51" s="90" t="s">
        <v>171</v>
      </c>
      <c r="E51" s="44"/>
      <c r="F51" s="46"/>
      <c r="G51" s="46"/>
      <c r="H51" s="46"/>
      <c r="I51" s="891">
        <f>'6A - 9% Building'!K52</f>
        <v>3222</v>
      </c>
      <c r="J51" s="105"/>
      <c r="K51" s="106"/>
      <c r="L51" s="508"/>
    </row>
    <row r="52" spans="2:12" x14ac:dyDescent="0.3">
      <c r="B52" s="143"/>
      <c r="C52" s="410"/>
      <c r="D52" s="90" t="s">
        <v>172</v>
      </c>
      <c r="E52" s="44"/>
      <c r="F52" s="46"/>
      <c r="G52" s="46"/>
      <c r="H52" s="46"/>
      <c r="I52" s="889">
        <f>'6A - 9% Building'!K53</f>
        <v>2543</v>
      </c>
      <c r="J52" s="872"/>
      <c r="K52" s="883">
        <f t="shared" ref="K52:K63" si="0">I52</f>
        <v>2543</v>
      </c>
      <c r="L52" s="508"/>
    </row>
    <row r="53" spans="2:12" x14ac:dyDescent="0.3">
      <c r="B53" s="143"/>
      <c r="C53" s="410"/>
      <c r="D53" s="90" t="s">
        <v>173</v>
      </c>
      <c r="E53" s="44"/>
      <c r="F53" s="46"/>
      <c r="G53" s="46"/>
      <c r="H53" s="46"/>
      <c r="I53" s="873">
        <f>'6A - 9% Building'!K54</f>
        <v>834765</v>
      </c>
      <c r="J53" s="874"/>
      <c r="K53" s="880">
        <f t="shared" si="0"/>
        <v>834765</v>
      </c>
      <c r="L53" s="508"/>
    </row>
    <row r="54" spans="2:12" x14ac:dyDescent="0.3">
      <c r="B54" s="143"/>
      <c r="C54" s="410"/>
      <c r="D54" s="90" t="s">
        <v>174</v>
      </c>
      <c r="E54" s="44"/>
      <c r="F54" s="46"/>
      <c r="G54" s="46"/>
      <c r="H54" s="46"/>
      <c r="I54" s="873">
        <f>'6A - 9% Building'!K55</f>
        <v>0</v>
      </c>
      <c r="J54" s="874"/>
      <c r="K54" s="880">
        <f t="shared" si="0"/>
        <v>0</v>
      </c>
      <c r="L54" s="508"/>
    </row>
    <row r="55" spans="2:12" x14ac:dyDescent="0.3">
      <c r="B55" s="143"/>
      <c r="C55" s="410"/>
      <c r="D55" s="83" t="s">
        <v>175</v>
      </c>
      <c r="E55" s="54"/>
      <c r="F55" s="46"/>
      <c r="G55" s="46"/>
      <c r="H55" s="46"/>
      <c r="I55" s="873">
        <f>'6A - 9% Building'!K56</f>
        <v>0</v>
      </c>
      <c r="J55" s="874"/>
      <c r="K55" s="880">
        <f t="shared" si="0"/>
        <v>0</v>
      </c>
      <c r="L55" s="508"/>
    </row>
    <row r="56" spans="2:12" x14ac:dyDescent="0.3">
      <c r="B56" s="143"/>
      <c r="C56" s="410"/>
      <c r="D56" s="90" t="s">
        <v>176</v>
      </c>
      <c r="E56" s="55"/>
      <c r="F56" s="46"/>
      <c r="G56" s="46"/>
      <c r="H56" s="46"/>
      <c r="I56" s="873">
        <f>'6A - 9% Building'!K57</f>
        <v>8055</v>
      </c>
      <c r="J56" s="874"/>
      <c r="K56" s="880">
        <f t="shared" si="0"/>
        <v>8055</v>
      </c>
      <c r="L56" s="508"/>
    </row>
    <row r="57" spans="2:12" x14ac:dyDescent="0.3">
      <c r="B57" s="143"/>
      <c r="C57" s="410"/>
      <c r="D57" s="90" t="s">
        <v>177</v>
      </c>
      <c r="E57" s="56"/>
      <c r="F57" s="46"/>
      <c r="G57" s="46"/>
      <c r="H57" s="46"/>
      <c r="I57" s="873">
        <f>'6A - 9% Building'!K58</f>
        <v>20128</v>
      </c>
      <c r="J57" s="874"/>
      <c r="K57" s="880">
        <f t="shared" si="0"/>
        <v>20128</v>
      </c>
      <c r="L57" s="508"/>
    </row>
    <row r="58" spans="2:12" x14ac:dyDescent="0.3">
      <c r="B58" s="143"/>
      <c r="C58" s="410"/>
      <c r="D58" s="90" t="s">
        <v>178</v>
      </c>
      <c r="E58" s="44"/>
      <c r="F58" s="50"/>
      <c r="G58" s="50"/>
      <c r="H58" s="50"/>
      <c r="I58" s="873">
        <f>'6A - 9% Building'!K59</f>
        <v>41619</v>
      </c>
      <c r="J58" s="874"/>
      <c r="K58" s="880">
        <f t="shared" si="0"/>
        <v>41619</v>
      </c>
      <c r="L58" s="508"/>
    </row>
    <row r="59" spans="2:12" x14ac:dyDescent="0.3">
      <c r="B59" s="143"/>
      <c r="C59" s="410"/>
      <c r="D59" s="83" t="s">
        <v>179</v>
      </c>
      <c r="E59" s="44"/>
      <c r="F59" s="46"/>
      <c r="G59" s="46"/>
      <c r="H59" s="46"/>
      <c r="I59" s="873">
        <f>'6A - 9% Building'!K60</f>
        <v>352753</v>
      </c>
      <c r="J59" s="874"/>
      <c r="K59" s="880">
        <f t="shared" si="0"/>
        <v>352753</v>
      </c>
      <c r="L59" s="508"/>
    </row>
    <row r="60" spans="2:12" x14ac:dyDescent="0.3">
      <c r="B60" s="143"/>
      <c r="C60" s="410"/>
      <c r="D60" s="83" t="s">
        <v>234</v>
      </c>
      <c r="E60" s="44"/>
      <c r="F60" s="46"/>
      <c r="G60" s="46"/>
      <c r="H60" s="46"/>
      <c r="I60" s="873">
        <f>'6A - 9% Building'!K61</f>
        <v>91560</v>
      </c>
      <c r="J60" s="874"/>
      <c r="K60" s="880">
        <f t="shared" si="0"/>
        <v>91560</v>
      </c>
      <c r="L60" s="508"/>
    </row>
    <row r="61" spans="2:12" x14ac:dyDescent="0.3">
      <c r="B61" s="143"/>
      <c r="C61" s="410"/>
      <c r="D61" s="83" t="s">
        <v>181</v>
      </c>
      <c r="E61" s="50"/>
      <c r="F61" s="410"/>
      <c r="G61" s="510"/>
      <c r="H61" s="510"/>
      <c r="I61" s="873">
        <f>'6A - 9% Building'!K62</f>
        <v>42961</v>
      </c>
      <c r="J61" s="874"/>
      <c r="K61" s="886">
        <f t="shared" si="0"/>
        <v>42961</v>
      </c>
      <c r="L61" s="508"/>
    </row>
    <row r="62" spans="2:12" x14ac:dyDescent="0.3">
      <c r="B62" s="143"/>
      <c r="C62" s="410"/>
      <c r="D62" s="83" t="s">
        <v>182</v>
      </c>
      <c r="E62" s="50"/>
      <c r="F62" s="410"/>
      <c r="G62" s="510"/>
      <c r="H62" s="510"/>
      <c r="I62" s="873">
        <f>'6A - 9% Building'!K63</f>
        <v>107402</v>
      </c>
      <c r="J62" s="874"/>
      <c r="K62" s="886">
        <f t="shared" si="0"/>
        <v>107402</v>
      </c>
      <c r="L62" s="508"/>
    </row>
    <row r="63" spans="2:12" x14ac:dyDescent="0.3">
      <c r="B63" s="143"/>
      <c r="C63" s="410"/>
      <c r="D63" s="50" t="s">
        <v>422</v>
      </c>
      <c r="E63" s="2729" t="str">
        <f>(IF(AND(I63&lt;&gt;0,'6A Rollup'!E55=""),"Enter Item on Form 6A",'6A Rollup'!E55))</f>
        <v>Enter Item on Form 6A</v>
      </c>
      <c r="F63" s="2730"/>
      <c r="G63" s="2731"/>
      <c r="H63" s="509"/>
      <c r="I63" s="875">
        <f>'6A - 9% Building'!K64</f>
        <v>26850</v>
      </c>
      <c r="J63" s="884"/>
      <c r="K63" s="887">
        <f t="shared" si="0"/>
        <v>26850</v>
      </c>
      <c r="L63" s="508"/>
    </row>
    <row r="64" spans="2:12" ht="15" thickBot="1" x14ac:dyDescent="0.35">
      <c r="B64" s="143"/>
      <c r="C64" s="45"/>
      <c r="D64" s="44"/>
      <c r="E64" s="44"/>
      <c r="F64" s="410"/>
      <c r="G64" s="48" t="s">
        <v>153</v>
      </c>
      <c r="H64" s="89"/>
      <c r="I64" s="113">
        <f>SUM(I51:I63)</f>
        <v>1531858</v>
      </c>
      <c r="J64" s="93">
        <f>SUM(J52:J63)</f>
        <v>0</v>
      </c>
      <c r="K64" s="97">
        <f>SUM(K52:K63)</f>
        <v>1528636</v>
      </c>
      <c r="L64" s="508"/>
    </row>
    <row r="65" spans="2:12" ht="9" customHeight="1" thickBot="1" x14ac:dyDescent="0.35">
      <c r="B65" s="511"/>
      <c r="C65" s="123"/>
      <c r="D65" s="123"/>
      <c r="E65" s="123"/>
      <c r="F65" s="124"/>
      <c r="G65" s="124"/>
      <c r="H65" s="124"/>
      <c r="I65" s="125"/>
      <c r="J65" s="126"/>
      <c r="K65" s="126"/>
      <c r="L65" s="512"/>
    </row>
    <row r="66" spans="2:12" ht="15" thickBot="1" x14ac:dyDescent="0.35">
      <c r="B66" s="143"/>
      <c r="C66" s="119" t="s">
        <v>183</v>
      </c>
      <c r="D66" s="120"/>
      <c r="E66" s="120"/>
      <c r="F66" s="121"/>
      <c r="G66" s="121"/>
      <c r="H66" s="121"/>
      <c r="I66" s="122"/>
      <c r="J66" s="73"/>
      <c r="K66" s="73"/>
      <c r="L66" s="508"/>
    </row>
    <row r="67" spans="2:12" x14ac:dyDescent="0.3">
      <c r="B67" s="143"/>
      <c r="C67" s="410"/>
      <c r="D67" s="1611" t="s">
        <v>184</v>
      </c>
      <c r="E67" s="48"/>
      <c r="F67" s="44"/>
      <c r="G67" s="44"/>
      <c r="H67" s="44"/>
      <c r="I67" s="891">
        <f>'6A - 9% Building'!K68</f>
        <v>0</v>
      </c>
      <c r="J67" s="107"/>
      <c r="K67" s="108"/>
      <c r="L67" s="508"/>
    </row>
    <row r="68" spans="2:12" x14ac:dyDescent="0.3">
      <c r="B68" s="143"/>
      <c r="C68" s="410"/>
      <c r="D68" s="1611" t="s">
        <v>185</v>
      </c>
      <c r="E68" s="48"/>
      <c r="F68" s="44"/>
      <c r="G68" s="44"/>
      <c r="H68" s="44"/>
      <c r="I68" s="890">
        <f>'6A - 9% Building'!K69</f>
        <v>32566.6</v>
      </c>
      <c r="J68" s="115"/>
      <c r="K68" s="116"/>
      <c r="L68" s="508"/>
    </row>
    <row r="69" spans="2:12" ht="15" thickBot="1" x14ac:dyDescent="0.35">
      <c r="B69" s="143"/>
      <c r="C69" s="410"/>
      <c r="D69" s="48"/>
      <c r="E69" s="410"/>
      <c r="F69" s="44"/>
      <c r="G69" s="48" t="s">
        <v>153</v>
      </c>
      <c r="H69" s="44"/>
      <c r="I69" s="113">
        <f>SUM(I67:I68)</f>
        <v>32566.6</v>
      </c>
      <c r="J69" s="93">
        <v>0</v>
      </c>
      <c r="K69" s="97">
        <v>0</v>
      </c>
      <c r="L69" s="508"/>
    </row>
    <row r="70" spans="2:12" ht="3.75" customHeight="1" x14ac:dyDescent="0.3">
      <c r="B70" s="143"/>
      <c r="C70" s="410"/>
      <c r="D70" s="48"/>
      <c r="E70" s="410"/>
      <c r="F70" s="44"/>
      <c r="G70" s="44"/>
      <c r="H70" s="44"/>
      <c r="I70" s="73"/>
      <c r="J70" s="73"/>
      <c r="K70" s="73"/>
      <c r="L70" s="508"/>
    </row>
    <row r="71" spans="2:12" ht="15" thickBot="1" x14ac:dyDescent="0.35">
      <c r="B71" s="143"/>
      <c r="C71" s="78" t="s">
        <v>186</v>
      </c>
      <c r="D71" s="79"/>
      <c r="E71" s="79"/>
      <c r="F71" s="80"/>
      <c r="G71" s="80"/>
      <c r="H71" s="80"/>
      <c r="I71" s="73"/>
      <c r="J71" s="73"/>
      <c r="K71" s="73"/>
      <c r="L71" s="508"/>
    </row>
    <row r="72" spans="2:12" x14ac:dyDescent="0.3">
      <c r="B72" s="143"/>
      <c r="C72" s="410"/>
      <c r="D72" s="90" t="s">
        <v>187</v>
      </c>
      <c r="E72" s="48"/>
      <c r="F72" s="44"/>
      <c r="G72" s="44"/>
      <c r="H72" s="44"/>
      <c r="I72" s="877">
        <f>'6A - 9% Building'!K73</f>
        <v>70000</v>
      </c>
      <c r="J72" s="878"/>
      <c r="K72" s="888">
        <f>I72</f>
        <v>70000</v>
      </c>
      <c r="L72" s="508"/>
    </row>
    <row r="73" spans="2:12" x14ac:dyDescent="0.3">
      <c r="B73" s="143"/>
      <c r="C73" s="410"/>
      <c r="D73" s="90" t="s">
        <v>188</v>
      </c>
      <c r="E73" s="48"/>
      <c r="F73" s="44"/>
      <c r="G73" s="44"/>
      <c r="H73" s="44"/>
      <c r="I73" s="873">
        <f>'6A - 9% Building'!K74</f>
        <v>0</v>
      </c>
      <c r="J73" s="874"/>
      <c r="K73" s="880">
        <v>0</v>
      </c>
      <c r="L73" s="508"/>
    </row>
    <row r="74" spans="2:12" x14ac:dyDescent="0.3">
      <c r="B74" s="143"/>
      <c r="C74" s="410"/>
      <c r="D74" s="90" t="s">
        <v>189</v>
      </c>
      <c r="E74" s="48"/>
      <c r="F74" s="44"/>
      <c r="G74" s="44"/>
      <c r="H74" s="44"/>
      <c r="I74" s="873">
        <f>'6A - 9% Building'!K75</f>
        <v>25000</v>
      </c>
      <c r="J74" s="874"/>
      <c r="K74" s="880">
        <f>I75</f>
        <v>300000</v>
      </c>
      <c r="L74" s="508"/>
    </row>
    <row r="75" spans="2:12" x14ac:dyDescent="0.3">
      <c r="B75" s="143"/>
      <c r="C75" s="410"/>
      <c r="D75" s="90" t="s">
        <v>190</v>
      </c>
      <c r="E75" s="48"/>
      <c r="F75" s="44"/>
      <c r="G75" s="44"/>
      <c r="H75" s="44"/>
      <c r="I75" s="889">
        <f>'6A - 9% Building'!K76</f>
        <v>300000</v>
      </c>
      <c r="J75" s="881"/>
      <c r="K75" s="882">
        <f>I75</f>
        <v>300000</v>
      </c>
      <c r="L75" s="508"/>
    </row>
    <row r="76" spans="2:12" x14ac:dyDescent="0.3">
      <c r="B76" s="143"/>
      <c r="C76" s="410"/>
      <c r="D76" s="90" t="s">
        <v>191</v>
      </c>
      <c r="E76" s="48"/>
      <c r="F76" s="44"/>
      <c r="G76" s="44"/>
      <c r="H76" s="44"/>
      <c r="I76" s="890">
        <f>'6A - 9% Building'!K77</f>
        <v>150000</v>
      </c>
      <c r="J76" s="117"/>
      <c r="K76" s="118"/>
      <c r="L76" s="508"/>
    </row>
    <row r="77" spans="2:12" ht="15" thickBot="1" x14ac:dyDescent="0.35">
      <c r="B77" s="143"/>
      <c r="C77" s="45"/>
      <c r="D77" s="44"/>
      <c r="E77" s="44"/>
      <c r="F77" s="410"/>
      <c r="G77" s="48" t="s">
        <v>153</v>
      </c>
      <c r="H77" s="89"/>
      <c r="I77" s="113">
        <f>SUM(I72:I76)</f>
        <v>545000</v>
      </c>
      <c r="J77" s="93">
        <f>SUM(J72:J75)</f>
        <v>0</v>
      </c>
      <c r="K77" s="97">
        <f>SUM(K72:K75)</f>
        <v>670000</v>
      </c>
      <c r="L77" s="508"/>
    </row>
    <row r="78" spans="2:12" ht="3.75" customHeight="1" x14ac:dyDescent="0.3">
      <c r="B78" s="143"/>
      <c r="C78" s="47"/>
      <c r="D78" s="48"/>
      <c r="E78" s="48"/>
      <c r="F78" s="44"/>
      <c r="G78" s="44"/>
      <c r="H78" s="44"/>
      <c r="I78" s="73"/>
      <c r="J78" s="73"/>
      <c r="K78" s="73"/>
      <c r="L78" s="508"/>
    </row>
    <row r="79" spans="2:12" ht="15" thickBot="1" x14ac:dyDescent="0.35">
      <c r="B79" s="143"/>
      <c r="C79" s="78" t="s">
        <v>192</v>
      </c>
      <c r="D79" s="79"/>
      <c r="E79" s="79"/>
      <c r="F79" s="80"/>
      <c r="G79" s="80"/>
      <c r="H79" s="80"/>
      <c r="I79" s="73"/>
      <c r="J79" s="73"/>
      <c r="K79" s="73"/>
      <c r="L79" s="508"/>
    </row>
    <row r="80" spans="2:12" x14ac:dyDescent="0.3">
      <c r="B80" s="143"/>
      <c r="C80" s="410"/>
      <c r="D80" s="90" t="s">
        <v>193</v>
      </c>
      <c r="E80" s="48"/>
      <c r="F80" s="44"/>
      <c r="G80" s="44"/>
      <c r="H80" s="44"/>
      <c r="I80" s="891">
        <f>'6A - 9% Building'!K81</f>
        <v>25000</v>
      </c>
      <c r="J80" s="107"/>
      <c r="K80" s="108"/>
      <c r="L80" s="508"/>
    </row>
    <row r="81" spans="2:12" x14ac:dyDescent="0.3">
      <c r="B81" s="143"/>
      <c r="C81" s="410"/>
      <c r="D81" s="90" t="s">
        <v>194</v>
      </c>
      <c r="E81" s="48"/>
      <c r="F81" s="44"/>
      <c r="G81" s="44"/>
      <c r="H81" s="44"/>
      <c r="I81" s="889">
        <f>'6A - 9% Building'!K82</f>
        <v>0</v>
      </c>
      <c r="J81" s="109"/>
      <c r="K81" s="110"/>
      <c r="L81" s="508"/>
    </row>
    <row r="82" spans="2:12" x14ac:dyDescent="0.3">
      <c r="B82" s="143"/>
      <c r="C82" s="410"/>
      <c r="D82" s="90" t="s">
        <v>195</v>
      </c>
      <c r="E82" s="48"/>
      <c r="F82" s="44"/>
      <c r="G82" s="44"/>
      <c r="H82" s="44"/>
      <c r="I82" s="889">
        <f>'6A - 9% Building'!K83</f>
        <v>25000</v>
      </c>
      <c r="J82" s="109"/>
      <c r="K82" s="110"/>
      <c r="L82" s="508"/>
    </row>
    <row r="83" spans="2:12" x14ac:dyDescent="0.3">
      <c r="B83" s="143"/>
      <c r="C83" s="410"/>
      <c r="D83" s="82" t="s">
        <v>196</v>
      </c>
      <c r="E83" s="44"/>
      <c r="F83" s="44"/>
      <c r="G83" s="44"/>
      <c r="H83" s="44"/>
      <c r="I83" s="889">
        <f>'6A - 9% Building'!K84</f>
        <v>155000</v>
      </c>
      <c r="J83" s="109"/>
      <c r="K83" s="110"/>
      <c r="L83" s="508"/>
    </row>
    <row r="84" spans="2:12" x14ac:dyDescent="0.3">
      <c r="B84" s="143"/>
      <c r="C84" s="410"/>
      <c r="D84" s="1612" t="s">
        <v>197</v>
      </c>
      <c r="E84" s="44"/>
      <c r="F84" s="44"/>
      <c r="G84" s="44"/>
      <c r="H84" s="44"/>
      <c r="I84" s="889">
        <f>'6A - 9% Building'!K85</f>
        <v>40000</v>
      </c>
      <c r="J84" s="109"/>
      <c r="K84" s="110"/>
      <c r="L84" s="508"/>
    </row>
    <row r="85" spans="2:12" x14ac:dyDescent="0.3">
      <c r="B85" s="143"/>
      <c r="C85" s="410"/>
      <c r="D85" s="1612" t="s">
        <v>198</v>
      </c>
      <c r="E85" s="44"/>
      <c r="F85" s="44"/>
      <c r="G85" s="44"/>
      <c r="H85" s="44"/>
      <c r="I85" s="889">
        <f>'6A - 9% Building'!K86</f>
        <v>0</v>
      </c>
      <c r="J85" s="109"/>
      <c r="K85" s="110"/>
      <c r="L85" s="508"/>
    </row>
    <row r="86" spans="2:12" x14ac:dyDescent="0.3">
      <c r="B86" s="143"/>
      <c r="C86" s="410"/>
      <c r="D86" s="83" t="s">
        <v>199</v>
      </c>
      <c r="E86" s="48"/>
      <c r="F86" s="44"/>
      <c r="G86" s="44"/>
      <c r="H86" s="44"/>
      <c r="I86" s="889">
        <f>'6A - 9% Building'!K87</f>
        <v>60000</v>
      </c>
      <c r="J86" s="109"/>
      <c r="K86" s="110"/>
      <c r="L86" s="508"/>
    </row>
    <row r="87" spans="2:12" x14ac:dyDescent="0.3">
      <c r="B87" s="143"/>
      <c r="C87" s="410"/>
      <c r="D87" s="50" t="s">
        <v>422</v>
      </c>
      <c r="E87" s="2729" t="str">
        <f>(IF(AND(I87&lt;&gt;0,'6A Rollup'!E79=""),"Enter Item on Form 6A",'6A Rollup'!E79))</f>
        <v>Enter Item on Form 6A</v>
      </c>
      <c r="F87" s="2730"/>
      <c r="G87" s="2731"/>
      <c r="H87" s="509"/>
      <c r="I87" s="890">
        <f>'6A - 9% Building'!K88</f>
        <v>31714</v>
      </c>
      <c r="J87" s="115"/>
      <c r="K87" s="116"/>
      <c r="L87" s="508"/>
    </row>
    <row r="88" spans="2:12" ht="15" thickBot="1" x14ac:dyDescent="0.35">
      <c r="B88" s="143"/>
      <c r="C88" s="45"/>
      <c r="D88" s="44"/>
      <c r="E88" s="44"/>
      <c r="F88" s="410"/>
      <c r="G88" s="48" t="s">
        <v>153</v>
      </c>
      <c r="H88" s="89"/>
      <c r="I88" s="113">
        <f>SUM(I80:I87)</f>
        <v>336714</v>
      </c>
      <c r="J88" s="93">
        <v>0</v>
      </c>
      <c r="K88" s="97">
        <v>0</v>
      </c>
      <c r="L88" s="508"/>
    </row>
    <row r="89" spans="2:12" ht="3.75" customHeight="1" x14ac:dyDescent="0.3">
      <c r="B89" s="143"/>
      <c r="C89" s="47"/>
      <c r="D89" s="48"/>
      <c r="E89" s="48"/>
      <c r="F89" s="44"/>
      <c r="G89" s="44"/>
      <c r="H89" s="44"/>
      <c r="I89" s="73"/>
      <c r="J89" s="73"/>
      <c r="K89" s="73"/>
      <c r="L89" s="508"/>
    </row>
    <row r="90" spans="2:12" ht="15" thickBot="1" x14ac:dyDescent="0.35">
      <c r="B90" s="143"/>
      <c r="C90" s="78" t="s">
        <v>200</v>
      </c>
      <c r="D90" s="79"/>
      <c r="E90" s="79"/>
      <c r="F90" s="80"/>
      <c r="G90" s="80"/>
      <c r="H90" s="80"/>
      <c r="I90" s="76"/>
      <c r="J90" s="76"/>
      <c r="K90" s="85"/>
      <c r="L90" s="508"/>
    </row>
    <row r="91" spans="2:12" x14ac:dyDescent="0.3">
      <c r="B91" s="143"/>
      <c r="C91" s="410"/>
      <c r="D91" s="1613" t="s">
        <v>201</v>
      </c>
      <c r="E91" s="44"/>
      <c r="F91" s="51"/>
      <c r="G91" s="51"/>
      <c r="H91" s="51"/>
      <c r="I91" s="891">
        <f>'6A - 9% Building'!K92</f>
        <v>275000</v>
      </c>
      <c r="J91" s="107"/>
      <c r="K91" s="108"/>
      <c r="L91" s="508"/>
    </row>
    <row r="92" spans="2:12" x14ac:dyDescent="0.3">
      <c r="B92" s="143"/>
      <c r="C92" s="410"/>
      <c r="D92" s="1613" t="s">
        <v>202</v>
      </c>
      <c r="E92" s="44"/>
      <c r="F92" s="52"/>
      <c r="G92" s="52"/>
      <c r="H92" s="52"/>
      <c r="I92" s="889">
        <f>'6A - 9% Building'!K93</f>
        <v>0</v>
      </c>
      <c r="J92" s="109"/>
      <c r="K92" s="110"/>
      <c r="L92" s="508"/>
    </row>
    <row r="93" spans="2:12" x14ac:dyDescent="0.3">
      <c r="B93" s="143"/>
      <c r="C93" s="410"/>
      <c r="D93" s="1614" t="s">
        <v>422</v>
      </c>
      <c r="E93" s="2729">
        <f>(IF(AND(I93&lt;&gt;0,'6A Rollup'!E85=""),"Enter Item on Form 6A",'6A Rollup'!E85))</f>
        <v>0</v>
      </c>
      <c r="F93" s="2730"/>
      <c r="G93" s="2731"/>
      <c r="H93" s="509"/>
      <c r="I93" s="890">
        <f>'6A - 9% Building'!K94</f>
        <v>0</v>
      </c>
      <c r="J93" s="115"/>
      <c r="K93" s="116"/>
      <c r="L93" s="508"/>
    </row>
    <row r="94" spans="2:12" ht="15" thickBot="1" x14ac:dyDescent="0.35">
      <c r="B94" s="143"/>
      <c r="C94" s="45"/>
      <c r="D94" s="44"/>
      <c r="E94" s="44"/>
      <c r="F94" s="410"/>
      <c r="G94" s="48" t="s">
        <v>153</v>
      </c>
      <c r="H94" s="89"/>
      <c r="I94" s="113">
        <f>SUM(I91:I93)</f>
        <v>275000</v>
      </c>
      <c r="J94" s="93">
        <v>0</v>
      </c>
      <c r="K94" s="97">
        <v>0</v>
      </c>
      <c r="L94" s="508"/>
    </row>
    <row r="95" spans="2:12" ht="3.75" customHeight="1" x14ac:dyDescent="0.3">
      <c r="B95" s="143"/>
      <c r="C95" s="47"/>
      <c r="D95" s="48"/>
      <c r="E95" s="48"/>
      <c r="F95" s="44"/>
      <c r="G95" s="44"/>
      <c r="H95" s="44"/>
      <c r="I95" s="73"/>
      <c r="J95" s="73"/>
      <c r="K95" s="73"/>
      <c r="L95" s="508"/>
    </row>
    <row r="96" spans="2:12" ht="15" thickBot="1" x14ac:dyDescent="0.35">
      <c r="B96" s="143"/>
      <c r="C96" s="78" t="s">
        <v>203</v>
      </c>
      <c r="D96" s="79"/>
      <c r="E96" s="79"/>
      <c r="F96" s="80"/>
      <c r="G96" s="80"/>
      <c r="H96" s="80"/>
      <c r="I96" s="86"/>
      <c r="J96" s="76"/>
      <c r="K96" s="85"/>
      <c r="L96" s="508"/>
    </row>
    <row r="97" spans="2:12" x14ac:dyDescent="0.3">
      <c r="B97" s="143"/>
      <c r="C97" s="410"/>
      <c r="D97" s="83" t="s">
        <v>204</v>
      </c>
      <c r="E97" s="44"/>
      <c r="F97" s="51"/>
      <c r="G97" s="51"/>
      <c r="H97" s="51"/>
      <c r="I97" s="877">
        <f>'6A - 9% Building'!K98</f>
        <v>34906</v>
      </c>
      <c r="J97" s="878"/>
      <c r="K97" s="888">
        <f t="shared" ref="K97:K101" si="1">I97</f>
        <v>34906</v>
      </c>
      <c r="L97" s="508"/>
    </row>
    <row r="98" spans="2:12" x14ac:dyDescent="0.3">
      <c r="B98" s="143"/>
      <c r="C98" s="410"/>
      <c r="D98" s="83" t="s">
        <v>205</v>
      </c>
      <c r="E98" s="44"/>
      <c r="F98" s="52"/>
      <c r="G98" s="52"/>
      <c r="H98" s="52"/>
      <c r="I98" s="873">
        <f>'6A - 9% Building'!K99</f>
        <v>106279</v>
      </c>
      <c r="J98" s="874"/>
      <c r="K98" s="880">
        <f t="shared" si="1"/>
        <v>106279</v>
      </c>
      <c r="L98" s="508"/>
    </row>
    <row r="99" spans="2:12" x14ac:dyDescent="0.3">
      <c r="B99" s="143"/>
      <c r="C99" s="410"/>
      <c r="D99" s="83" t="s">
        <v>103</v>
      </c>
      <c r="E99" s="44"/>
      <c r="F99" s="44"/>
      <c r="G99" s="44"/>
      <c r="H99" s="44"/>
      <c r="I99" s="873">
        <f>'6A - 9% Building'!K100</f>
        <v>0</v>
      </c>
      <c r="J99" s="874"/>
      <c r="K99" s="880">
        <f t="shared" si="1"/>
        <v>0</v>
      </c>
      <c r="L99" s="508"/>
    </row>
    <row r="100" spans="2:12" x14ac:dyDescent="0.3">
      <c r="B100" s="143"/>
      <c r="C100" s="410"/>
      <c r="D100" s="83" t="s">
        <v>206</v>
      </c>
      <c r="E100" s="44"/>
      <c r="F100" s="44"/>
      <c r="G100" s="44"/>
      <c r="H100" s="44"/>
      <c r="I100" s="873">
        <f>'6A - 9% Building'!K101</f>
        <v>0</v>
      </c>
      <c r="J100" s="874"/>
      <c r="K100" s="880">
        <f t="shared" si="1"/>
        <v>0</v>
      </c>
      <c r="L100" s="508"/>
    </row>
    <row r="101" spans="2:12" x14ac:dyDescent="0.3">
      <c r="B101" s="143"/>
      <c r="C101" s="410"/>
      <c r="D101" s="83" t="s">
        <v>207</v>
      </c>
      <c r="E101" s="44"/>
      <c r="F101" s="44"/>
      <c r="G101" s="44"/>
      <c r="H101" s="44"/>
      <c r="I101" s="873">
        <f>'6A - 9% Building'!K102</f>
        <v>679614</v>
      </c>
      <c r="J101" s="874"/>
      <c r="K101" s="880">
        <f t="shared" si="1"/>
        <v>679614</v>
      </c>
      <c r="L101" s="508"/>
    </row>
    <row r="102" spans="2:12" x14ac:dyDescent="0.3">
      <c r="B102" s="143"/>
      <c r="C102" s="410"/>
      <c r="D102" s="82" t="s">
        <v>208</v>
      </c>
      <c r="E102" s="44"/>
      <c r="F102" s="44"/>
      <c r="G102" s="44"/>
      <c r="H102" s="44"/>
      <c r="I102" s="873">
        <f>'6A - 9% Building'!K103</f>
        <v>0</v>
      </c>
      <c r="J102" s="874"/>
      <c r="K102" s="880">
        <v>0</v>
      </c>
      <c r="L102" s="508"/>
    </row>
    <row r="103" spans="2:12" x14ac:dyDescent="0.3">
      <c r="B103" s="143"/>
      <c r="C103" s="410"/>
      <c r="D103" s="82" t="s">
        <v>209</v>
      </c>
      <c r="E103" s="44"/>
      <c r="F103" s="44"/>
      <c r="G103" s="44"/>
      <c r="H103" s="44"/>
      <c r="I103" s="889">
        <f>'6A - 9% Building'!K104</f>
        <v>0</v>
      </c>
      <c r="J103" s="881"/>
      <c r="K103" s="882">
        <v>0</v>
      </c>
      <c r="L103" s="508"/>
    </row>
    <row r="104" spans="2:12" x14ac:dyDescent="0.3">
      <c r="B104" s="143"/>
      <c r="C104" s="410"/>
      <c r="D104" s="1612" t="s">
        <v>210</v>
      </c>
      <c r="E104" s="44"/>
      <c r="F104" s="44"/>
      <c r="G104" s="44"/>
      <c r="H104" s="44"/>
      <c r="I104" s="889">
        <f>'6A - 9% Building'!K105</f>
        <v>25000</v>
      </c>
      <c r="J104" s="128"/>
      <c r="K104" s="104"/>
      <c r="L104" s="508"/>
    </row>
    <row r="105" spans="2:12" x14ac:dyDescent="0.3">
      <c r="B105" s="143"/>
      <c r="C105" s="410"/>
      <c r="D105" s="83" t="s">
        <v>211</v>
      </c>
      <c r="E105" s="44"/>
      <c r="F105" s="44"/>
      <c r="G105" s="44"/>
      <c r="H105" s="44"/>
      <c r="I105" s="889">
        <f>'6A - 9% Building'!K106</f>
        <v>8500</v>
      </c>
      <c r="J105" s="88"/>
      <c r="K105" s="96">
        <f>I105</f>
        <v>8500</v>
      </c>
      <c r="L105" s="508"/>
    </row>
    <row r="106" spans="2:12" x14ac:dyDescent="0.3">
      <c r="B106" s="143"/>
      <c r="C106" s="410"/>
      <c r="D106" s="82" t="s">
        <v>212</v>
      </c>
      <c r="E106" s="44"/>
      <c r="F106" s="44"/>
      <c r="G106" s="44"/>
      <c r="H106" s="44"/>
      <c r="I106" s="889">
        <f>'6A - 9% Building'!K107</f>
        <v>45790</v>
      </c>
      <c r="J106" s="111"/>
      <c r="K106" s="112"/>
      <c r="L106" s="508"/>
    </row>
    <row r="107" spans="2:12" x14ac:dyDescent="0.3">
      <c r="B107" s="143"/>
      <c r="C107" s="410"/>
      <c r="D107" s="1613" t="s">
        <v>213</v>
      </c>
      <c r="E107" s="59"/>
      <c r="F107" s="52"/>
      <c r="G107" s="52"/>
      <c r="H107" s="52"/>
      <c r="I107" s="890">
        <f>'6A - 9% Building'!K108</f>
        <v>30520</v>
      </c>
      <c r="J107" s="115"/>
      <c r="K107" s="116"/>
      <c r="L107" s="508"/>
    </row>
    <row r="108" spans="2:12" ht="15" thickBot="1" x14ac:dyDescent="0.35">
      <c r="B108" s="143"/>
      <c r="C108" s="45"/>
      <c r="D108" s="44"/>
      <c r="E108" s="44"/>
      <c r="F108" s="410"/>
      <c r="G108" s="48" t="s">
        <v>153</v>
      </c>
      <c r="H108" s="89"/>
      <c r="I108" s="113">
        <f>SUM(I97:I107)</f>
        <v>930609</v>
      </c>
      <c r="J108" s="93">
        <f>SUM(J97:J103)+J105</f>
        <v>0</v>
      </c>
      <c r="K108" s="97">
        <f>SUM(K97:K103)+K105</f>
        <v>829299</v>
      </c>
      <c r="L108" s="508"/>
    </row>
    <row r="109" spans="2:12" ht="9" customHeight="1" thickBot="1" x14ac:dyDescent="0.35">
      <c r="B109" s="511"/>
      <c r="C109" s="127"/>
      <c r="D109" s="58"/>
      <c r="E109" s="58"/>
      <c r="F109" s="57"/>
      <c r="G109" s="57"/>
      <c r="H109" s="57"/>
      <c r="I109" s="87"/>
      <c r="J109" s="87"/>
      <c r="K109" s="87"/>
      <c r="L109" s="512"/>
    </row>
    <row r="110" spans="2:12" ht="15" thickBot="1" x14ac:dyDescent="0.35">
      <c r="B110" s="143"/>
      <c r="C110" s="78" t="s">
        <v>214</v>
      </c>
      <c r="D110" s="79"/>
      <c r="E110" s="79"/>
      <c r="F110" s="80"/>
      <c r="G110" s="80"/>
      <c r="H110" s="80"/>
      <c r="I110" s="73"/>
      <c r="J110" s="73"/>
      <c r="K110" s="73"/>
      <c r="L110" s="145"/>
    </row>
    <row r="111" spans="2:12" x14ac:dyDescent="0.3">
      <c r="B111" s="143"/>
      <c r="C111" s="144"/>
      <c r="D111" s="90" t="s">
        <v>215</v>
      </c>
      <c r="E111" s="48"/>
      <c r="F111" s="44"/>
      <c r="G111" s="44"/>
      <c r="H111" s="44"/>
      <c r="I111" s="891">
        <f>'6A - 9% Building'!K113</f>
        <v>0</v>
      </c>
      <c r="J111" s="107"/>
      <c r="K111" s="108"/>
      <c r="L111" s="145"/>
    </row>
    <row r="112" spans="2:12" x14ac:dyDescent="0.3">
      <c r="B112" s="143"/>
      <c r="C112" s="144"/>
      <c r="D112" s="90" t="s">
        <v>216</v>
      </c>
      <c r="E112" s="48"/>
      <c r="F112" s="44"/>
      <c r="G112" s="44"/>
      <c r="H112" s="44"/>
      <c r="I112" s="889">
        <f>'6A - 9% Building'!K114</f>
        <v>0</v>
      </c>
      <c r="J112" s="109"/>
      <c r="K112" s="110"/>
      <c r="L112" s="145"/>
    </row>
    <row r="113" spans="2:12" x14ac:dyDescent="0.3">
      <c r="B113" s="143"/>
      <c r="C113" s="410"/>
      <c r="D113" s="90" t="s">
        <v>217</v>
      </c>
      <c r="E113" s="48"/>
      <c r="F113" s="44"/>
      <c r="G113" s="44"/>
      <c r="H113" s="44"/>
      <c r="I113" s="889">
        <f>'6A - 9% Building'!K115</f>
        <v>0</v>
      </c>
      <c r="J113" s="109"/>
      <c r="K113" s="110"/>
      <c r="L113" s="508"/>
    </row>
    <row r="114" spans="2:12" x14ac:dyDescent="0.3">
      <c r="B114" s="143"/>
      <c r="C114" s="410"/>
      <c r="D114" s="90" t="s">
        <v>218</v>
      </c>
      <c r="E114" s="48"/>
      <c r="F114" s="44"/>
      <c r="G114" s="44"/>
      <c r="H114" s="44"/>
      <c r="I114" s="889">
        <f>'6A - 9% Building'!K116</f>
        <v>0</v>
      </c>
      <c r="J114" s="109"/>
      <c r="K114" s="110"/>
      <c r="L114" s="508"/>
    </row>
    <row r="115" spans="2:12" x14ac:dyDescent="0.3">
      <c r="B115" s="143"/>
      <c r="C115" s="410"/>
      <c r="D115" s="90" t="s">
        <v>219</v>
      </c>
      <c r="E115" s="48"/>
      <c r="F115" s="44"/>
      <c r="G115" s="44"/>
      <c r="H115" s="44"/>
      <c r="I115" s="889">
        <f>'6A - 9% Building'!K117</f>
        <v>0</v>
      </c>
      <c r="J115" s="109"/>
      <c r="K115" s="110"/>
      <c r="L115" s="508"/>
    </row>
    <row r="116" spans="2:12" x14ac:dyDescent="0.3">
      <c r="B116" s="143"/>
      <c r="C116" s="410"/>
      <c r="D116" s="90" t="s">
        <v>220</v>
      </c>
      <c r="E116" s="48"/>
      <c r="F116" s="44"/>
      <c r="G116" s="44"/>
      <c r="H116" s="44"/>
      <c r="I116" s="889">
        <f>'6A - 9% Building'!K118</f>
        <v>0</v>
      </c>
      <c r="J116" s="109"/>
      <c r="K116" s="110"/>
      <c r="L116" s="508"/>
    </row>
    <row r="117" spans="2:12" x14ac:dyDescent="0.3">
      <c r="B117" s="143"/>
      <c r="C117" s="410"/>
      <c r="D117" s="90" t="s">
        <v>221</v>
      </c>
      <c r="E117" s="48"/>
      <c r="F117" s="44"/>
      <c r="G117" s="44"/>
      <c r="H117" s="44"/>
      <c r="I117" s="890">
        <f>'6A - 9% Building'!K119</f>
        <v>0</v>
      </c>
      <c r="J117" s="115"/>
      <c r="K117" s="116"/>
      <c r="L117" s="508"/>
    </row>
    <row r="118" spans="2:12" ht="15" thickBot="1" x14ac:dyDescent="0.35">
      <c r="B118" s="143"/>
      <c r="C118" s="45"/>
      <c r="D118" s="410"/>
      <c r="E118" s="44"/>
      <c r="F118" s="410"/>
      <c r="G118" s="48" t="s">
        <v>153</v>
      </c>
      <c r="H118" s="89"/>
      <c r="I118" s="113">
        <f>SUM(I111:I117)</f>
        <v>0</v>
      </c>
      <c r="J118" s="93">
        <v>0</v>
      </c>
      <c r="K118" s="97">
        <v>0</v>
      </c>
      <c r="L118" s="508"/>
    </row>
    <row r="119" spans="2:12" ht="7.5" customHeight="1" thickBot="1" x14ac:dyDescent="0.35">
      <c r="B119" s="143"/>
      <c r="C119" s="66"/>
      <c r="D119" s="65"/>
      <c r="E119" s="65"/>
      <c r="F119" s="67"/>
      <c r="G119" s="67"/>
      <c r="H119" s="67"/>
      <c r="I119" s="77"/>
      <c r="J119" s="77"/>
      <c r="K119" s="77"/>
      <c r="L119" s="508"/>
    </row>
    <row r="120" spans="2:12" ht="15" thickBot="1" x14ac:dyDescent="0.35">
      <c r="B120" s="143"/>
      <c r="C120" s="99" t="s">
        <v>235</v>
      </c>
      <c r="D120" s="100"/>
      <c r="E120" s="100"/>
      <c r="F120" s="100"/>
      <c r="G120" s="100"/>
      <c r="H120" s="100"/>
      <c r="I120" s="94">
        <f>I29+I48+I64+I69+I77+I88+I94+I108+I118</f>
        <v>26047669.600000001</v>
      </c>
      <c r="J120" s="92">
        <f>J29+J48+J64+J69+J77+J88+J94+J108+J118</f>
        <v>0</v>
      </c>
      <c r="K120" s="98">
        <f>K29+K48+K64+K69+K77+K88+K94+K108+K118</f>
        <v>23980237</v>
      </c>
      <c r="L120" s="508"/>
    </row>
    <row r="121" spans="2:12" ht="7.5" customHeight="1" x14ac:dyDescent="0.3">
      <c r="B121" s="143"/>
      <c r="C121" s="144"/>
      <c r="D121" s="144"/>
      <c r="E121" s="144"/>
      <c r="F121" s="144"/>
      <c r="G121" s="144"/>
      <c r="H121" s="144"/>
      <c r="I121" s="410"/>
      <c r="J121" s="410"/>
      <c r="K121" s="410"/>
      <c r="L121" s="508"/>
    </row>
    <row r="122" spans="2:12" x14ac:dyDescent="0.3">
      <c r="B122" s="143"/>
      <c r="C122" s="2710" t="s">
        <v>236</v>
      </c>
      <c r="D122" s="2711"/>
      <c r="E122" s="2711"/>
      <c r="F122" s="2711"/>
      <c r="G122" s="2711"/>
      <c r="H122" s="2711"/>
      <c r="I122" s="2711"/>
      <c r="J122" s="2711"/>
      <c r="K122" s="2712"/>
      <c r="L122" s="508"/>
    </row>
    <row r="123" spans="2:12" x14ac:dyDescent="0.3">
      <c r="B123" s="143"/>
      <c r="C123" s="2713"/>
      <c r="D123" s="2714"/>
      <c r="E123" s="2714"/>
      <c r="F123" s="2714"/>
      <c r="G123" s="2714"/>
      <c r="H123" s="2714"/>
      <c r="I123" s="2714"/>
      <c r="J123" s="2714"/>
      <c r="K123" s="2715"/>
      <c r="L123" s="508"/>
    </row>
    <row r="124" spans="2:12" x14ac:dyDescent="0.3">
      <c r="B124" s="143"/>
      <c r="C124" s="2716"/>
      <c r="D124" s="2717"/>
      <c r="E124" s="2717"/>
      <c r="F124" s="2717"/>
      <c r="G124" s="2717"/>
      <c r="H124" s="2717"/>
      <c r="I124" s="2717"/>
      <c r="J124" s="2717"/>
      <c r="K124" s="2718"/>
      <c r="L124" s="508"/>
    </row>
    <row r="125" spans="2:12" ht="9" customHeight="1" thickBot="1" x14ac:dyDescent="0.35">
      <c r="B125" s="513"/>
      <c r="C125" s="514"/>
      <c r="D125" s="514"/>
      <c r="E125" s="514"/>
      <c r="F125" s="514"/>
      <c r="G125" s="514"/>
      <c r="H125" s="514"/>
      <c r="I125" s="514"/>
      <c r="J125" s="514"/>
      <c r="K125" s="514"/>
      <c r="L125" s="512"/>
    </row>
  </sheetData>
  <sheetProtection algorithmName="SHA-512" hashValue="JQEV2rHQgWe9PsH0leZVgY5b60ikGv8P4zNXkwsBGKU6zVBBnUsBuMZyk3YkI71xkiK8PP1ceV2bdBWpTxkk0Q==" saltValue="Z6kIr9IqgN3r7V72srXufw==" spinCount="100000" sheet="1" formatCells="0" formatColumns="0" formatRows="0"/>
  <mergeCells count="14">
    <mergeCell ref="C122:K124"/>
    <mergeCell ref="C11:K11"/>
    <mergeCell ref="C13:K13"/>
    <mergeCell ref="I17:K17"/>
    <mergeCell ref="I18:I21"/>
    <mergeCell ref="J18:K18"/>
    <mergeCell ref="J19:J21"/>
    <mergeCell ref="K19:K21"/>
    <mergeCell ref="E28:G28"/>
    <mergeCell ref="E47:G47"/>
    <mergeCell ref="E63:G63"/>
    <mergeCell ref="E87:G87"/>
    <mergeCell ref="E93:G93"/>
    <mergeCell ref="C15:K15"/>
  </mergeCells>
  <pageMargins left="1" right="0.7" top="0.75" bottom="0.75" header="0.3" footer="0.3"/>
  <pageSetup scale="84" fitToHeight="2" orientation="portrait" r:id="rId1"/>
  <headerFooter>
    <oddFooter>&amp;LForm 6C
LIHTC Budget (Basis Calculation)&amp;CCFA Forms&amp;REdition: 2017
Version: 1.0</oddFooter>
  </headerFooter>
  <rowBreaks count="2" manualBreakCount="2">
    <brk id="65" min="1" max="11" man="1"/>
    <brk id="109"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B5:J56"/>
  <sheetViews>
    <sheetView showGridLines="0" topLeftCell="A37" zoomScaleNormal="100" workbookViewId="0">
      <selection activeCell="J30" sqref="J30"/>
    </sheetView>
  </sheetViews>
  <sheetFormatPr defaultColWidth="9.109375" defaultRowHeight="14.4" x14ac:dyDescent="0.3"/>
  <cols>
    <col min="1" max="2" width="1.6640625" style="403" customWidth="1"/>
    <col min="3" max="3" width="2.88671875" style="403" customWidth="1"/>
    <col min="4" max="4" width="14.33203125" style="403" customWidth="1"/>
    <col min="5" max="5" width="48.44140625" style="403" customWidth="1"/>
    <col min="6" max="6" width="11.44140625" style="403" customWidth="1"/>
    <col min="7" max="7" width="16" style="403" bestFit="1" customWidth="1"/>
    <col min="8" max="8" width="1.6640625" style="403" customWidth="1"/>
    <col min="9" max="9" width="16" style="403" bestFit="1" customWidth="1"/>
    <col min="10" max="10" width="15.33203125" style="403" bestFit="1" customWidth="1"/>
    <col min="11" max="16384" width="9.109375" style="403"/>
  </cols>
  <sheetData>
    <row r="5" spans="2:8" ht="9" customHeight="1" thickBot="1" x14ac:dyDescent="0.35"/>
    <row r="6" spans="2:8" ht="9" customHeight="1" x14ac:dyDescent="0.3">
      <c r="B6" s="515"/>
      <c r="C6" s="516"/>
      <c r="D6" s="516"/>
      <c r="E6" s="517"/>
      <c r="F6" s="517"/>
      <c r="G6" s="517"/>
      <c r="H6" s="518"/>
    </row>
    <row r="7" spans="2:8" ht="18" x14ac:dyDescent="0.35">
      <c r="B7" s="519"/>
      <c r="C7" s="2732" t="s">
        <v>1880</v>
      </c>
      <c r="D7" s="2732"/>
      <c r="E7" s="2732"/>
      <c r="F7" s="2732"/>
      <c r="G7" s="2732"/>
      <c r="H7" s="520"/>
    </row>
    <row r="8" spans="2:8" x14ac:dyDescent="0.3">
      <c r="B8" s="519"/>
      <c r="C8" s="521"/>
      <c r="D8" s="521"/>
      <c r="E8" s="522"/>
      <c r="F8" s="522"/>
      <c r="G8" s="522"/>
      <c r="H8" s="520"/>
    </row>
    <row r="9" spans="2:8" ht="15" thickBot="1" x14ac:dyDescent="0.35">
      <c r="B9" s="519"/>
      <c r="C9" s="2740" t="str">
        <f>IF('1'!G5="","Enter Project Name on Form 1",(CONCATENATE("Project Name: ",'1'!G5)))</f>
        <v>Project Name: 6600 Roosevelt Way NE</v>
      </c>
      <c r="D9" s="2740"/>
      <c r="E9" s="2740"/>
      <c r="F9" s="2740"/>
      <c r="G9" s="492"/>
      <c r="H9" s="523"/>
    </row>
    <row r="10" spans="2:8" ht="7.5" customHeight="1" x14ac:dyDescent="0.3">
      <c r="B10" s="519"/>
      <c r="C10" s="165"/>
      <c r="D10" s="165"/>
      <c r="E10" s="165"/>
      <c r="F10" s="165"/>
      <c r="G10" s="492"/>
      <c r="H10" s="523"/>
    </row>
    <row r="11" spans="2:8" ht="15" thickBot="1" x14ac:dyDescent="0.35">
      <c r="B11" s="519"/>
      <c r="C11" s="2740" t="str">
        <f>IF('1'!G55="","Enter Site Name/ID Number on Form 1",(CONCATENATE("Site Name/ID: ",'1'!G55)))</f>
        <v>Site Name/ID: Site B - 9% Building</v>
      </c>
      <c r="D11" s="2740"/>
      <c r="E11" s="2740"/>
      <c r="F11" s="2740"/>
      <c r="G11" s="492"/>
      <c r="H11" s="523"/>
    </row>
    <row r="12" spans="2:8" x14ac:dyDescent="0.3">
      <c r="B12" s="519"/>
      <c r="C12" s="521"/>
      <c r="D12" s="521"/>
      <c r="E12" s="165"/>
      <c r="F12" s="167"/>
      <c r="G12" s="168"/>
      <c r="H12" s="524"/>
    </row>
    <row r="13" spans="2:8" x14ac:dyDescent="0.3">
      <c r="B13" s="519"/>
      <c r="C13" s="165" t="s">
        <v>237</v>
      </c>
      <c r="D13" s="165"/>
      <c r="E13" s="525"/>
      <c r="F13" s="167"/>
      <c r="G13" s="168"/>
      <c r="H13" s="524"/>
    </row>
    <row r="14" spans="2:8" ht="30" customHeight="1" x14ac:dyDescent="0.3">
      <c r="B14" s="519"/>
      <c r="C14" s="521"/>
      <c r="D14" s="2733" t="s">
        <v>238</v>
      </c>
      <c r="E14" s="2733"/>
      <c r="F14" s="679" t="s">
        <v>550</v>
      </c>
      <c r="G14" s="525"/>
      <c r="H14" s="524"/>
    </row>
    <row r="15" spans="2:8" ht="15" thickBot="1" x14ac:dyDescent="0.35">
      <c r="B15" s="519"/>
      <c r="C15" s="521"/>
      <c r="D15" s="521"/>
      <c r="E15" s="165"/>
      <c r="F15" s="167"/>
      <c r="G15" s="167"/>
      <c r="H15" s="524"/>
    </row>
    <row r="16" spans="2:8" ht="24.6" thickBot="1" x14ac:dyDescent="0.35">
      <c r="B16" s="519"/>
      <c r="C16" s="521"/>
      <c r="D16" s="521"/>
      <c r="E16" s="165"/>
      <c r="F16" s="169" t="s">
        <v>21</v>
      </c>
      <c r="G16" s="170" t="s">
        <v>231</v>
      </c>
      <c r="H16" s="524"/>
    </row>
    <row r="17" spans="2:8" ht="15" thickBot="1" x14ac:dyDescent="0.35">
      <c r="B17" s="519"/>
      <c r="C17" s="171" t="s">
        <v>239</v>
      </c>
      <c r="D17" s="171"/>
      <c r="E17" s="172"/>
      <c r="F17" s="526"/>
      <c r="G17" s="526"/>
      <c r="H17" s="524"/>
    </row>
    <row r="18" spans="2:8" x14ac:dyDescent="0.3">
      <c r="B18" s="519"/>
      <c r="C18" s="165"/>
      <c r="D18" s="173" t="s">
        <v>240</v>
      </c>
      <c r="E18" s="525"/>
      <c r="F18" s="897">
        <f>'6C - 9% Building'!J120</f>
        <v>0</v>
      </c>
      <c r="G18" s="174">
        <f>'6C - 9% Building'!K120</f>
        <v>23980237</v>
      </c>
      <c r="H18" s="524"/>
    </row>
    <row r="19" spans="2:8" x14ac:dyDescent="0.3">
      <c r="B19" s="519"/>
      <c r="C19" s="165"/>
      <c r="D19" s="166" t="s">
        <v>241</v>
      </c>
      <c r="E19" s="525"/>
      <c r="F19" s="893"/>
      <c r="G19" s="892"/>
      <c r="H19" s="524"/>
    </row>
    <row r="20" spans="2:8" x14ac:dyDescent="0.3">
      <c r="B20" s="519"/>
      <c r="C20" s="165"/>
      <c r="D20" s="166" t="s">
        <v>242</v>
      </c>
      <c r="E20" s="525"/>
      <c r="F20" s="893"/>
      <c r="G20" s="894"/>
      <c r="H20" s="524"/>
    </row>
    <row r="21" spans="2:8" ht="30" customHeight="1" x14ac:dyDescent="0.3">
      <c r="B21" s="519"/>
      <c r="C21" s="165"/>
      <c r="D21" s="2733" t="s">
        <v>243</v>
      </c>
      <c r="E21" s="2734"/>
      <c r="F21" s="893"/>
      <c r="G21" s="894"/>
      <c r="H21" s="524"/>
    </row>
    <row r="22" spans="2:8" x14ac:dyDescent="0.3">
      <c r="B22" s="519"/>
      <c r="C22" s="165"/>
      <c r="D22" s="175" t="s">
        <v>244</v>
      </c>
      <c r="E22" s="527"/>
      <c r="F22" s="895"/>
      <c r="G22" s="896"/>
      <c r="H22" s="524"/>
    </row>
    <row r="23" spans="2:8" ht="15" thickBot="1" x14ac:dyDescent="0.35">
      <c r="B23" s="519"/>
      <c r="C23" s="165"/>
      <c r="D23" s="173" t="s">
        <v>245</v>
      </c>
      <c r="E23" s="525"/>
      <c r="F23" s="176">
        <f>F18-(SUM(F19:F22))</f>
        <v>0</v>
      </c>
      <c r="G23" s="177">
        <f>G18-(SUM(G20:G22))</f>
        <v>23980237</v>
      </c>
      <c r="H23" s="524"/>
    </row>
    <row r="24" spans="2:8" ht="15" thickBot="1" x14ac:dyDescent="0.35">
      <c r="B24" s="519"/>
      <c r="C24" s="165"/>
      <c r="D24" s="166"/>
      <c r="E24" s="525"/>
      <c r="F24" s="168"/>
      <c r="G24" s="167"/>
      <c r="H24" s="524"/>
    </row>
    <row r="25" spans="2:8" x14ac:dyDescent="0.3">
      <c r="B25" s="519"/>
      <c r="C25" s="165"/>
      <c r="D25" s="167" t="s">
        <v>245</v>
      </c>
      <c r="E25" s="525"/>
      <c r="F25" s="897">
        <f>F23</f>
        <v>0</v>
      </c>
      <c r="G25" s="898">
        <f>G23</f>
        <v>23980237</v>
      </c>
      <c r="H25" s="524"/>
    </row>
    <row r="26" spans="2:8" x14ac:dyDescent="0.3">
      <c r="B26" s="519"/>
      <c r="C26" s="165"/>
      <c r="D26" s="167" t="s">
        <v>246</v>
      </c>
      <c r="E26" s="525"/>
      <c r="F26" s="899">
        <v>1</v>
      </c>
      <c r="G26" s="900">
        <f>IF(F14="Yes",130%,100%)</f>
        <v>1</v>
      </c>
      <c r="H26" s="524"/>
    </row>
    <row r="27" spans="2:8" x14ac:dyDescent="0.3">
      <c r="B27" s="519"/>
      <c r="C27" s="165"/>
      <c r="D27" s="178" t="s">
        <v>247</v>
      </c>
      <c r="E27" s="527"/>
      <c r="F27" s="1682"/>
      <c r="G27" s="1681">
        <v>1</v>
      </c>
      <c r="H27" s="524"/>
    </row>
    <row r="28" spans="2:8" ht="15" thickBot="1" x14ac:dyDescent="0.35">
      <c r="B28" s="519"/>
      <c r="C28" s="165"/>
      <c r="D28" s="179" t="s">
        <v>248</v>
      </c>
      <c r="E28" s="525"/>
      <c r="F28" s="180">
        <f>(F25*F26)*F27</f>
        <v>0</v>
      </c>
      <c r="G28" s="181">
        <f>(G25*G26)*G27</f>
        <v>23980237</v>
      </c>
      <c r="H28" s="524"/>
    </row>
    <row r="29" spans="2:8" ht="15" thickBot="1" x14ac:dyDescent="0.35">
      <c r="B29" s="519"/>
      <c r="C29" s="165"/>
      <c r="D29" s="166"/>
      <c r="E29" s="525"/>
      <c r="F29" s="167"/>
      <c r="G29" s="167"/>
      <c r="H29" s="524"/>
    </row>
    <row r="30" spans="2:8" x14ac:dyDescent="0.3">
      <c r="B30" s="519"/>
      <c r="C30" s="165"/>
      <c r="D30" s="166" t="s">
        <v>248</v>
      </c>
      <c r="E30" s="525"/>
      <c r="F30" s="897">
        <f>F28</f>
        <v>0</v>
      </c>
      <c r="G30" s="898">
        <f>G28</f>
        <v>23980237</v>
      </c>
      <c r="H30" s="524"/>
    </row>
    <row r="31" spans="2:8" x14ac:dyDescent="0.3">
      <c r="B31" s="519"/>
      <c r="C31" s="165"/>
      <c r="D31" s="175" t="s">
        <v>249</v>
      </c>
      <c r="E31" s="525"/>
      <c r="F31" s="1158"/>
      <c r="G31" s="1681">
        <v>0.09</v>
      </c>
      <c r="H31" s="524"/>
    </row>
    <row r="32" spans="2:8" ht="15" thickBot="1" x14ac:dyDescent="0.35">
      <c r="B32" s="519"/>
      <c r="C32" s="165"/>
      <c r="D32" s="173" t="s">
        <v>250</v>
      </c>
      <c r="E32" s="525"/>
      <c r="F32" s="176">
        <f>F30*F31</f>
        <v>0</v>
      </c>
      <c r="G32" s="177">
        <f>G30*G31</f>
        <v>2158221.33</v>
      </c>
      <c r="H32" s="524"/>
    </row>
    <row r="33" spans="2:10" ht="15" customHeight="1" thickBot="1" x14ac:dyDescent="0.35">
      <c r="B33" s="519"/>
      <c r="C33" s="165"/>
      <c r="D33" s="166"/>
      <c r="E33" s="525"/>
      <c r="F33" s="167"/>
      <c r="G33" s="167"/>
      <c r="H33" s="524"/>
    </row>
    <row r="34" spans="2:10" ht="15" thickBot="1" x14ac:dyDescent="0.35">
      <c r="B34" s="519"/>
      <c r="C34" s="165"/>
      <c r="D34" s="173" t="s">
        <v>501</v>
      </c>
      <c r="E34" s="525"/>
      <c r="F34" s="167"/>
      <c r="G34" s="182">
        <f>F32+G32</f>
        <v>2158221.33</v>
      </c>
      <c r="H34" s="524"/>
    </row>
    <row r="35" spans="2:10" x14ac:dyDescent="0.3">
      <c r="B35" s="519"/>
      <c r="C35" s="165"/>
      <c r="D35" s="165"/>
      <c r="E35" s="166"/>
      <c r="F35" s="167"/>
      <c r="G35" s="167"/>
      <c r="H35" s="524"/>
    </row>
    <row r="36" spans="2:10" ht="15" thickBot="1" x14ac:dyDescent="0.35">
      <c r="B36" s="519"/>
      <c r="C36" s="183" t="s">
        <v>251</v>
      </c>
      <c r="D36" s="183"/>
      <c r="E36" s="184"/>
      <c r="F36" s="185"/>
      <c r="G36" s="186"/>
      <c r="H36" s="524"/>
    </row>
    <row r="37" spans="2:10" x14ac:dyDescent="0.3">
      <c r="B37" s="519"/>
      <c r="C37" s="165"/>
      <c r="D37" s="166" t="s">
        <v>526</v>
      </c>
      <c r="E37" s="525"/>
      <c r="F37" s="167"/>
      <c r="G37" s="901">
        <f>'6A Rollup'!K113</f>
        <v>56526289</v>
      </c>
      <c r="H37" s="187"/>
    </row>
    <row r="38" spans="2:10" x14ac:dyDescent="0.3">
      <c r="B38" s="519"/>
      <c r="C38" s="165"/>
      <c r="D38" s="175" t="s">
        <v>502</v>
      </c>
      <c r="E38" s="528"/>
      <c r="F38" s="365"/>
      <c r="G38" s="902">
        <f>-('7A (Rollup)'!F37)</f>
        <v>-35772926.989999995</v>
      </c>
      <c r="H38" s="524"/>
    </row>
    <row r="39" spans="2:10" ht="15" thickBot="1" x14ac:dyDescent="0.35">
      <c r="B39" s="519"/>
      <c r="C39" s="165"/>
      <c r="D39" s="173" t="s">
        <v>252</v>
      </c>
      <c r="E39" s="525"/>
      <c r="F39" s="179"/>
      <c r="G39" s="188">
        <f>G37+G38</f>
        <v>20753362.010000005</v>
      </c>
      <c r="H39" s="524"/>
    </row>
    <row r="40" spans="2:10" ht="15" thickBot="1" x14ac:dyDescent="0.35">
      <c r="B40" s="519"/>
      <c r="C40" s="165"/>
      <c r="D40" s="166"/>
      <c r="E40" s="525"/>
      <c r="F40" s="167"/>
      <c r="G40" s="168"/>
      <c r="H40" s="524"/>
    </row>
    <row r="41" spans="2:10" x14ac:dyDescent="0.3">
      <c r="B41" s="519"/>
      <c r="C41" s="165"/>
      <c r="D41" s="166" t="s">
        <v>252</v>
      </c>
      <c r="E41" s="525"/>
      <c r="F41" s="167"/>
      <c r="G41" s="901">
        <f>G39</f>
        <v>20753362.010000005</v>
      </c>
      <c r="H41" s="524"/>
    </row>
    <row r="42" spans="2:10" ht="15" thickBot="1" x14ac:dyDescent="0.35">
      <c r="B42" s="519"/>
      <c r="C42" s="165"/>
      <c r="D42" s="166" t="s">
        <v>1518</v>
      </c>
      <c r="E42" s="525"/>
      <c r="F42" s="167"/>
      <c r="G42" s="903">
        <v>1.02</v>
      </c>
      <c r="H42" s="524"/>
      <c r="J42" s="400"/>
    </row>
    <row r="43" spans="2:10" ht="15" thickBot="1" x14ac:dyDescent="0.35">
      <c r="B43" s="519"/>
      <c r="C43" s="165"/>
      <c r="D43" s="189" t="s">
        <v>253</v>
      </c>
      <c r="E43" s="528"/>
      <c r="F43" s="178"/>
      <c r="G43" s="715">
        <v>10</v>
      </c>
      <c r="H43" s="524"/>
    </row>
    <row r="44" spans="2:10" ht="15" thickBot="1" x14ac:dyDescent="0.35">
      <c r="B44" s="519"/>
      <c r="C44" s="165"/>
      <c r="D44" s="190" t="s">
        <v>254</v>
      </c>
      <c r="E44" s="525"/>
      <c r="F44" s="167"/>
      <c r="G44" s="191">
        <f>IFERROR(((G41/G42)/10),0)</f>
        <v>2034643.3343137261</v>
      </c>
      <c r="H44" s="524"/>
    </row>
    <row r="45" spans="2:10" x14ac:dyDescent="0.3">
      <c r="B45" s="519"/>
      <c r="C45" s="165"/>
      <c r="D45" s="165"/>
      <c r="E45" s="166"/>
      <c r="F45" s="167"/>
      <c r="G45" s="168"/>
      <c r="H45" s="524"/>
    </row>
    <row r="46" spans="2:10" x14ac:dyDescent="0.3">
      <c r="B46" s="519"/>
      <c r="C46" s="165" t="s">
        <v>255</v>
      </c>
      <c r="D46" s="165"/>
      <c r="E46" s="166"/>
      <c r="F46" s="167"/>
      <c r="G46" s="680" t="s">
        <v>549</v>
      </c>
      <c r="H46" s="524"/>
    </row>
    <row r="47" spans="2:10" x14ac:dyDescent="0.3">
      <c r="B47" s="519"/>
      <c r="C47" s="165"/>
      <c r="D47" s="165"/>
      <c r="E47" s="166"/>
      <c r="F47" s="167"/>
      <c r="G47" s="168"/>
      <c r="H47" s="524"/>
    </row>
    <row r="48" spans="2:10" ht="15" thickBot="1" x14ac:dyDescent="0.35">
      <c r="B48" s="519"/>
      <c r="C48" s="183" t="s">
        <v>256</v>
      </c>
      <c r="D48" s="183"/>
      <c r="E48" s="184"/>
      <c r="F48" s="185"/>
      <c r="G48" s="167"/>
      <c r="H48" s="192"/>
    </row>
    <row r="49" spans="2:10" x14ac:dyDescent="0.3">
      <c r="B49" s="519"/>
      <c r="C49" s="165"/>
      <c r="D49" s="166" t="s">
        <v>257</v>
      </c>
      <c r="E49" s="525"/>
      <c r="F49" s="167"/>
      <c r="G49" s="1457">
        <f>'2A'!I21</f>
        <v>79</v>
      </c>
      <c r="H49" s="192"/>
    </row>
    <row r="50" spans="2:10" x14ac:dyDescent="0.3">
      <c r="B50" s="519"/>
      <c r="C50" s="165"/>
      <c r="D50" s="175" t="s">
        <v>1616</v>
      </c>
      <c r="E50" s="528"/>
      <c r="F50" s="365"/>
      <c r="G50" s="902">
        <f>IF(G46="Yes",20957,16153)</f>
        <v>20957</v>
      </c>
      <c r="H50" s="192"/>
    </row>
    <row r="51" spans="2:10" ht="15" thickBot="1" x14ac:dyDescent="0.35">
      <c r="B51" s="519"/>
      <c r="C51" s="165"/>
      <c r="D51" s="173" t="s">
        <v>258</v>
      </c>
      <c r="E51" s="525"/>
      <c r="F51" s="167"/>
      <c r="G51" s="191">
        <f>G49*G50</f>
        <v>1655603</v>
      </c>
      <c r="H51" s="192"/>
      <c r="I51" s="2409"/>
    </row>
    <row r="52" spans="2:10" ht="15" thickBot="1" x14ac:dyDescent="0.35">
      <c r="B52" s="519"/>
      <c r="C52" s="521"/>
      <c r="D52" s="521"/>
      <c r="E52" s="165"/>
      <c r="F52" s="167"/>
      <c r="G52" s="167"/>
      <c r="H52" s="187"/>
    </row>
    <row r="53" spans="2:10" s="1202" customFormat="1" ht="19.2" thickTop="1" thickBot="1" x14ac:dyDescent="0.4">
      <c r="B53" s="1199"/>
      <c r="C53" s="1200"/>
      <c r="D53" s="1200"/>
      <c r="E53" s="2736" t="s">
        <v>259</v>
      </c>
      <c r="F53" s="2737"/>
      <c r="G53" s="1203">
        <f>MIN(G34,G44,G51)</f>
        <v>1655603</v>
      </c>
      <c r="H53" s="1201"/>
      <c r="I53" s="2410"/>
    </row>
    <row r="54" spans="2:10" ht="7.5" customHeight="1" thickBot="1" x14ac:dyDescent="0.35">
      <c r="B54" s="1458"/>
      <c r="C54" s="525"/>
      <c r="D54" s="525"/>
      <c r="E54" s="525"/>
      <c r="F54" s="525"/>
      <c r="G54" s="525"/>
      <c r="H54" s="1459"/>
    </row>
    <row r="55" spans="2:10" ht="15" thickBot="1" x14ac:dyDescent="0.35">
      <c r="B55" s="1458"/>
      <c r="C55" s="525"/>
      <c r="D55" s="525"/>
      <c r="E55" s="2738" t="s">
        <v>665</v>
      </c>
      <c r="F55" s="2739"/>
      <c r="G55" s="1204">
        <f>G53*G42*10</f>
        <v>16887150.600000001</v>
      </c>
      <c r="H55" s="1459"/>
      <c r="I55" s="2451"/>
      <c r="J55" s="2452"/>
    </row>
    <row r="56" spans="2:10" ht="15" thickBot="1" x14ac:dyDescent="0.35">
      <c r="B56" s="529"/>
      <c r="C56" s="530"/>
      <c r="D56" s="530"/>
      <c r="E56" s="2735"/>
      <c r="F56" s="2735"/>
      <c r="G56" s="2735"/>
      <c r="H56" s="531"/>
    </row>
  </sheetData>
  <sheetProtection algorithmName="SHA-512" hashValue="40ksZJriR4qw8/0dT087Sfpk5yNdBqX762cdIHXv/drUt+HasHOkwzVPtunT0Yup0wIsjka4hdLnLXE/+zTIgg==" saltValue="O8X8KKUXE9kURw1/DPBJCQ==" spinCount="100000" sheet="1" formatCells="0" formatColumns="0" formatRows="0"/>
  <mergeCells count="8">
    <mergeCell ref="E56:G56"/>
    <mergeCell ref="C7:G7"/>
    <mergeCell ref="C9:F9"/>
    <mergeCell ref="D14:E14"/>
    <mergeCell ref="D21:E21"/>
    <mergeCell ref="E53:F53"/>
    <mergeCell ref="E55:F55"/>
    <mergeCell ref="C11:F11"/>
  </mergeCells>
  <dataValidations count="2">
    <dataValidation type="list" allowBlank="1" showInputMessage="1" showErrorMessage="1" sqref="G46" xr:uid="{00000000-0002-0000-1800-000000000000}">
      <formula1>"Yes,No"</formula1>
    </dataValidation>
    <dataValidation type="list" allowBlank="1" showInputMessage="1" showErrorMessage="1" promptTitle="Basis Boost" prompt="Select &quot;Yes&quot; or &quot;No&quot; for form to calculate correctly" sqref="F14" xr:uid="{00000000-0002-0000-1800-000001000000}">
      <formula1>"Yes,No"</formula1>
    </dataValidation>
  </dataValidations>
  <pageMargins left="1" right="0.4" top="0.7" bottom="0.7" header="0.3" footer="0.3"/>
  <pageSetup scale="88" orientation="portrait" r:id="rId1"/>
  <headerFooter>
    <oddFooter>&amp;LForm 6D
LIHTC Calculation&amp;CCFA Forms&amp;REdition: 2017
Version: 1.0</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6:O68"/>
  <sheetViews>
    <sheetView showGridLines="0" zoomScaleNormal="100" workbookViewId="0">
      <selection activeCell="I45" sqref="I45"/>
    </sheetView>
  </sheetViews>
  <sheetFormatPr defaultColWidth="9.109375" defaultRowHeight="14.4" x14ac:dyDescent="0.3"/>
  <cols>
    <col min="1" max="2" width="1.6640625" style="399" customWidth="1"/>
    <col min="3" max="3" width="2.88671875" style="399" customWidth="1"/>
    <col min="4" max="4" width="14.33203125" style="399" customWidth="1"/>
    <col min="5" max="5" width="9.109375" style="399"/>
    <col min="6" max="6" width="4.33203125" style="399" customWidth="1"/>
    <col min="7" max="7" width="13.44140625" style="399" customWidth="1"/>
    <col min="8" max="8" width="12.33203125" style="399" bestFit="1" customWidth="1"/>
    <col min="9" max="9" width="31.44140625" style="417" customWidth="1"/>
    <col min="10" max="10" width="1.6640625" style="417" customWidth="1"/>
    <col min="11" max="16384" width="9.109375" style="399"/>
  </cols>
  <sheetData>
    <row r="6" spans="2:10" ht="15" thickBot="1" x14ac:dyDescent="0.35"/>
    <row r="7" spans="2:10" s="417" customFormat="1" x14ac:dyDescent="0.3">
      <c r="B7" s="534"/>
      <c r="C7" s="641"/>
      <c r="D7" s="641"/>
      <c r="E7" s="641"/>
      <c r="F7" s="641"/>
      <c r="G7" s="641"/>
      <c r="H7" s="641"/>
      <c r="I7" s="641"/>
      <c r="J7" s="535"/>
    </row>
    <row r="8" spans="2:10" s="417" customFormat="1" ht="18" x14ac:dyDescent="0.35">
      <c r="B8" s="536"/>
      <c r="C8" s="2515" t="s">
        <v>1881</v>
      </c>
      <c r="D8" s="2515"/>
      <c r="E8" s="2515"/>
      <c r="F8" s="2515"/>
      <c r="G8" s="2515"/>
      <c r="H8" s="2515"/>
      <c r="I8" s="2515"/>
      <c r="J8" s="537"/>
    </row>
    <row r="9" spans="2:10" s="417" customFormat="1" x14ac:dyDescent="0.3">
      <c r="B9" s="536"/>
      <c r="C9" s="424"/>
      <c r="D9" s="424"/>
      <c r="E9" s="424"/>
      <c r="F9" s="424"/>
      <c r="G9" s="424"/>
      <c r="H9" s="424"/>
      <c r="I9" s="424"/>
      <c r="J9" s="537"/>
    </row>
    <row r="10" spans="2:10" s="417" customFormat="1" ht="15" thickBot="1" x14ac:dyDescent="0.35">
      <c r="B10" s="536"/>
      <c r="C10" s="2668" t="str">
        <f>IF('1'!G5="","Enter Project Name on Form 1",(CONCATENATE("Project Name: ",'1'!G5)))</f>
        <v>Project Name: 6600 Roosevelt Way NE</v>
      </c>
      <c r="D10" s="2668"/>
      <c r="E10" s="2668"/>
      <c r="F10" s="2668"/>
      <c r="G10" s="2668"/>
      <c r="H10" s="2668"/>
      <c r="I10" s="2668"/>
      <c r="J10" s="537"/>
    </row>
    <row r="11" spans="2:10" s="417" customFormat="1" ht="7.5" customHeight="1" x14ac:dyDescent="0.3">
      <c r="B11" s="536"/>
      <c r="C11" s="2122"/>
      <c r="D11" s="2122"/>
      <c r="E11" s="2122"/>
      <c r="F11" s="2122"/>
      <c r="G11" s="2122"/>
      <c r="H11" s="2122"/>
      <c r="I11" s="2122"/>
      <c r="J11" s="537"/>
    </row>
    <row r="12" spans="2:10" s="417" customFormat="1" ht="15" thickBot="1" x14ac:dyDescent="0.35">
      <c r="B12" s="536"/>
      <c r="C12" s="2668" t="str">
        <f>IF('1'!G55="","Enter Site Name/ID Number on Form 1",(CONCATENATE("Site Name/ID: ",'1'!G55)))</f>
        <v>Site Name/ID: Site B - 9% Building</v>
      </c>
      <c r="D12" s="2668"/>
      <c r="E12" s="2668"/>
      <c r="F12" s="2668"/>
      <c r="G12" s="2668"/>
      <c r="H12" s="2668"/>
      <c r="I12" s="2668"/>
      <c r="J12" s="537"/>
    </row>
    <row r="13" spans="2:10" s="417" customFormat="1" ht="15" customHeight="1" thickBot="1" x14ac:dyDescent="0.35">
      <c r="B13" s="536"/>
      <c r="C13" s="424"/>
      <c r="D13" s="424"/>
      <c r="E13" s="424"/>
      <c r="F13" s="424"/>
      <c r="G13" s="424"/>
      <c r="H13" s="424"/>
      <c r="I13" s="424"/>
      <c r="J13" s="537"/>
    </row>
    <row r="14" spans="2:10" s="417" customFormat="1" ht="15" thickBot="1" x14ac:dyDescent="0.35">
      <c r="B14" s="536"/>
      <c r="C14" s="538" t="s">
        <v>260</v>
      </c>
      <c r="D14" s="693"/>
      <c r="E14" s="693"/>
      <c r="F14" s="690" t="s">
        <v>261</v>
      </c>
      <c r="G14" s="691" t="s">
        <v>262</v>
      </c>
      <c r="H14" s="691" t="s">
        <v>82</v>
      </c>
      <c r="I14" s="689" t="s">
        <v>263</v>
      </c>
      <c r="J14" s="644"/>
    </row>
    <row r="15" spans="2:10" s="417" customFormat="1" ht="15" thickBot="1" x14ac:dyDescent="0.35">
      <c r="B15" s="536"/>
      <c r="C15" s="539" t="s">
        <v>264</v>
      </c>
      <c r="D15" s="539"/>
      <c r="E15" s="539"/>
      <c r="F15" s="144"/>
      <c r="G15" s="144"/>
      <c r="H15" s="424"/>
      <c r="I15" s="424"/>
      <c r="J15" s="537"/>
    </row>
    <row r="16" spans="2:10" s="417" customFormat="1" ht="15" thickBot="1" x14ac:dyDescent="0.35">
      <c r="B16" s="536"/>
      <c r="C16" s="68"/>
      <c r="D16" s="68" t="s">
        <v>265</v>
      </c>
      <c r="E16" s="68"/>
      <c r="F16" s="692"/>
      <c r="G16" s="1971"/>
      <c r="H16" s="681">
        <f>F16*G16</f>
        <v>0</v>
      </c>
      <c r="I16" s="682" t="s">
        <v>2108</v>
      </c>
      <c r="J16" s="537"/>
    </row>
    <row r="17" spans="2:10" s="417" customFormat="1" ht="15" thickBot="1" x14ac:dyDescent="0.35">
      <c r="B17" s="536"/>
      <c r="C17" s="68"/>
      <c r="D17" s="68"/>
      <c r="E17" s="68"/>
      <c r="F17" s="540"/>
      <c r="G17" s="541"/>
      <c r="H17" s="683">
        <f>H16</f>
        <v>0</v>
      </c>
      <c r="I17" s="684"/>
      <c r="J17" s="537"/>
    </row>
    <row r="18" spans="2:10" s="417" customFormat="1" ht="3.75" customHeight="1" x14ac:dyDescent="0.3">
      <c r="B18" s="536"/>
      <c r="C18" s="68"/>
      <c r="D18" s="68"/>
      <c r="E18" s="68"/>
      <c r="F18" s="144"/>
      <c r="G18" s="144"/>
      <c r="H18" s="424"/>
      <c r="I18" s="424"/>
      <c r="J18" s="537"/>
    </row>
    <row r="19" spans="2:10" s="417" customFormat="1" ht="15" thickBot="1" x14ac:dyDescent="0.35">
      <c r="B19" s="536"/>
      <c r="C19" s="539" t="s">
        <v>266</v>
      </c>
      <c r="D19" s="539"/>
      <c r="E19" s="539"/>
      <c r="F19" s="144"/>
      <c r="G19" s="144"/>
      <c r="H19" s="424"/>
      <c r="I19" s="424"/>
      <c r="J19" s="537"/>
    </row>
    <row r="20" spans="2:10" s="417" customFormat="1" x14ac:dyDescent="0.3">
      <c r="B20" s="536"/>
      <c r="C20" s="68"/>
      <c r="D20" s="68" t="s">
        <v>267</v>
      </c>
      <c r="E20" s="68"/>
      <c r="F20" s="904">
        <v>1</v>
      </c>
      <c r="G20" s="1972">
        <f>42961+26066</f>
        <v>69027</v>
      </c>
      <c r="H20" s="905">
        <f t="shared" ref="H20:H27" si="0">F20*G20</f>
        <v>69027</v>
      </c>
      <c r="I20" s="906" t="s">
        <v>2109</v>
      </c>
      <c r="J20" s="537"/>
    </row>
    <row r="21" spans="2:10" s="417" customFormat="1" x14ac:dyDescent="0.3">
      <c r="B21" s="536"/>
      <c r="C21" s="68"/>
      <c r="D21" s="68" t="s">
        <v>268</v>
      </c>
      <c r="E21" s="68"/>
      <c r="F21" s="907"/>
      <c r="G21" s="1973"/>
      <c r="H21" s="908">
        <f t="shared" si="0"/>
        <v>0</v>
      </c>
      <c r="I21" s="909"/>
      <c r="J21" s="537"/>
    </row>
    <row r="22" spans="2:10" s="417" customFormat="1" x14ac:dyDescent="0.3">
      <c r="B22" s="536"/>
      <c r="C22" s="68"/>
      <c r="D22" s="68" t="s">
        <v>269</v>
      </c>
      <c r="E22" s="68"/>
      <c r="F22" s="907"/>
      <c r="G22" s="1973"/>
      <c r="H22" s="908">
        <f t="shared" si="0"/>
        <v>0</v>
      </c>
      <c r="I22" s="909"/>
      <c r="J22" s="537"/>
    </row>
    <row r="23" spans="2:10" s="417" customFormat="1" x14ac:dyDescent="0.3">
      <c r="B23" s="536"/>
      <c r="C23" s="68"/>
      <c r="D23" s="68" t="s">
        <v>97</v>
      </c>
      <c r="E23" s="68"/>
      <c r="F23" s="907"/>
      <c r="G23" s="1973"/>
      <c r="H23" s="908">
        <f t="shared" si="0"/>
        <v>0</v>
      </c>
      <c r="I23" s="909"/>
      <c r="J23" s="537"/>
    </row>
    <row r="24" spans="2:10" s="417" customFormat="1" x14ac:dyDescent="0.3">
      <c r="B24" s="536"/>
      <c r="C24" s="68"/>
      <c r="D24" s="68" t="s">
        <v>270</v>
      </c>
      <c r="E24" s="68"/>
      <c r="F24" s="907"/>
      <c r="G24" s="1973"/>
      <c r="H24" s="908">
        <f t="shared" si="0"/>
        <v>0</v>
      </c>
      <c r="I24" s="909"/>
      <c r="J24" s="537"/>
    </row>
    <row r="25" spans="2:10" s="417" customFormat="1" x14ac:dyDescent="0.3">
      <c r="B25" s="536"/>
      <c r="C25" s="68"/>
      <c r="D25" s="68" t="s">
        <v>271</v>
      </c>
      <c r="E25" s="68"/>
      <c r="F25" s="907"/>
      <c r="G25" s="1973"/>
      <c r="H25" s="908">
        <f t="shared" si="0"/>
        <v>0</v>
      </c>
      <c r="I25" s="909"/>
      <c r="J25" s="537"/>
    </row>
    <row r="26" spans="2:10" s="417" customFormat="1" x14ac:dyDescent="0.3">
      <c r="B26" s="536"/>
      <c r="C26" s="68"/>
      <c r="D26" s="68" t="s">
        <v>226</v>
      </c>
      <c r="E26" s="68"/>
      <c r="F26" s="907"/>
      <c r="G26" s="1973"/>
      <c r="H26" s="908">
        <f t="shared" si="0"/>
        <v>0</v>
      </c>
      <c r="I26" s="909"/>
      <c r="J26" s="537"/>
    </row>
    <row r="27" spans="2:10" s="417" customFormat="1" ht="15" thickBot="1" x14ac:dyDescent="0.35">
      <c r="B27" s="536"/>
      <c r="C27" s="68"/>
      <c r="D27" s="68" t="s">
        <v>272</v>
      </c>
      <c r="E27" s="68"/>
      <c r="F27" s="910"/>
      <c r="G27" s="1974"/>
      <c r="H27" s="911">
        <f t="shared" si="0"/>
        <v>0</v>
      </c>
      <c r="I27" s="912"/>
      <c r="J27" s="537"/>
    </row>
    <row r="28" spans="2:10" s="417" customFormat="1" ht="15" thickBot="1" x14ac:dyDescent="0.35">
      <c r="B28" s="536"/>
      <c r="C28" s="68"/>
      <c r="D28" s="68"/>
      <c r="E28" s="68"/>
      <c r="F28" s="540"/>
      <c r="G28" s="542" t="s">
        <v>153</v>
      </c>
      <c r="H28" s="685">
        <f>SUM(H20:H27)</f>
        <v>69027</v>
      </c>
      <c r="I28" s="686"/>
      <c r="J28" s="537"/>
    </row>
    <row r="29" spans="2:10" s="417" customFormat="1" ht="3.75" customHeight="1" x14ac:dyDescent="0.3">
      <c r="B29" s="536"/>
      <c r="C29" s="68"/>
      <c r="D29" s="68"/>
      <c r="E29" s="68"/>
      <c r="F29" s="144"/>
      <c r="G29" s="144"/>
      <c r="H29" s="424"/>
      <c r="I29" s="424"/>
      <c r="J29" s="537"/>
    </row>
    <row r="30" spans="2:10" s="417" customFormat="1" ht="15" thickBot="1" x14ac:dyDescent="0.35">
      <c r="B30" s="536"/>
      <c r="C30" s="539" t="s">
        <v>273</v>
      </c>
      <c r="D30" s="539"/>
      <c r="E30" s="539"/>
      <c r="F30" s="144"/>
      <c r="G30" s="144"/>
      <c r="H30" s="424"/>
      <c r="I30" s="424"/>
      <c r="J30" s="537"/>
    </row>
    <row r="31" spans="2:10" s="417" customFormat="1" x14ac:dyDescent="0.3">
      <c r="B31" s="536"/>
      <c r="C31" s="68"/>
      <c r="D31" s="68" t="s">
        <v>274</v>
      </c>
      <c r="E31" s="68"/>
      <c r="F31" s="904">
        <v>1</v>
      </c>
      <c r="G31" s="1972">
        <f>42961+27804</f>
        <v>70765</v>
      </c>
      <c r="H31" s="905">
        <f t="shared" ref="H31:H38" si="1">F31*G31</f>
        <v>70765</v>
      </c>
      <c r="I31" s="906" t="s">
        <v>2101</v>
      </c>
      <c r="J31" s="537"/>
    </row>
    <row r="32" spans="2:10" s="417" customFormat="1" x14ac:dyDescent="0.3">
      <c r="B32" s="536"/>
      <c r="C32" s="68"/>
      <c r="D32" s="68" t="s">
        <v>275</v>
      </c>
      <c r="E32" s="68"/>
      <c r="F32" s="907"/>
      <c r="G32" s="1973"/>
      <c r="H32" s="908">
        <f t="shared" si="1"/>
        <v>0</v>
      </c>
      <c r="I32" s="909" t="s">
        <v>2110</v>
      </c>
      <c r="J32" s="537"/>
    </row>
    <row r="33" spans="1:10" s="417" customFormat="1" x14ac:dyDescent="0.3">
      <c r="B33" s="536"/>
      <c r="C33" s="68"/>
      <c r="D33" s="68" t="s">
        <v>276</v>
      </c>
      <c r="E33" s="68"/>
      <c r="F33" s="907"/>
      <c r="G33" s="1973"/>
      <c r="H33" s="908">
        <f t="shared" si="1"/>
        <v>0</v>
      </c>
      <c r="I33" s="909" t="s">
        <v>2110</v>
      </c>
      <c r="J33" s="537"/>
    </row>
    <row r="34" spans="1:10" s="417" customFormat="1" x14ac:dyDescent="0.3">
      <c r="B34" s="536"/>
      <c r="C34" s="68"/>
      <c r="D34" s="68" t="s">
        <v>277</v>
      </c>
      <c r="E34" s="68"/>
      <c r="F34" s="907"/>
      <c r="G34" s="1973"/>
      <c r="H34" s="908">
        <f t="shared" si="1"/>
        <v>0</v>
      </c>
      <c r="I34" s="909" t="s">
        <v>2110</v>
      </c>
      <c r="J34" s="537"/>
    </row>
    <row r="35" spans="1:10" s="417" customFormat="1" x14ac:dyDescent="0.3">
      <c r="B35" s="536"/>
      <c r="C35" s="68"/>
      <c r="D35" s="68" t="s">
        <v>278</v>
      </c>
      <c r="E35" s="68"/>
      <c r="F35" s="907"/>
      <c r="G35" s="1973"/>
      <c r="H35" s="908">
        <f t="shared" si="1"/>
        <v>0</v>
      </c>
      <c r="I35" s="909" t="s">
        <v>2110</v>
      </c>
      <c r="J35" s="537"/>
    </row>
    <row r="36" spans="1:10" s="417" customFormat="1" x14ac:dyDescent="0.3">
      <c r="B36" s="536"/>
      <c r="C36" s="68"/>
      <c r="D36" s="68" t="s">
        <v>279</v>
      </c>
      <c r="E36" s="68"/>
      <c r="F36" s="907"/>
      <c r="G36" s="1973"/>
      <c r="H36" s="908">
        <f t="shared" si="1"/>
        <v>0</v>
      </c>
      <c r="I36" s="909" t="s">
        <v>2110</v>
      </c>
      <c r="J36" s="537"/>
    </row>
    <row r="37" spans="1:10" s="417" customFormat="1" x14ac:dyDescent="0.3">
      <c r="B37" s="536"/>
      <c r="C37" s="68"/>
      <c r="D37" s="68" t="s">
        <v>280</v>
      </c>
      <c r="E37" s="68"/>
      <c r="F37" s="907">
        <v>1</v>
      </c>
      <c r="G37" s="1973">
        <f>93976+65165</f>
        <v>159141</v>
      </c>
      <c r="H37" s="908">
        <f t="shared" si="1"/>
        <v>159141</v>
      </c>
      <c r="I37" s="909" t="s">
        <v>2111</v>
      </c>
      <c r="J37" s="537"/>
    </row>
    <row r="38" spans="1:10" s="417" customFormat="1" ht="15" thickBot="1" x14ac:dyDescent="0.35">
      <c r="B38" s="536"/>
      <c r="C38" s="68"/>
      <c r="D38" s="68" t="s">
        <v>281</v>
      </c>
      <c r="E38" s="68"/>
      <c r="F38" s="913"/>
      <c r="G38" s="1975"/>
      <c r="H38" s="911">
        <f t="shared" si="1"/>
        <v>0</v>
      </c>
      <c r="I38" s="912" t="s">
        <v>2105</v>
      </c>
      <c r="J38" s="537"/>
    </row>
    <row r="39" spans="1:10" s="417" customFormat="1" ht="15" thickBot="1" x14ac:dyDescent="0.35">
      <c r="B39" s="536"/>
      <c r="C39" s="68"/>
      <c r="D39" s="68"/>
      <c r="E39" s="68"/>
      <c r="F39" s="540"/>
      <c r="G39" s="542" t="s">
        <v>153</v>
      </c>
      <c r="H39" s="683">
        <f>SUM(H31:H38)</f>
        <v>229906</v>
      </c>
      <c r="I39" s="684"/>
      <c r="J39" s="537"/>
    </row>
    <row r="40" spans="1:10" s="417" customFormat="1" ht="3.75" customHeight="1" x14ac:dyDescent="0.3">
      <c r="B40" s="536"/>
      <c r="C40" s="68"/>
      <c r="D40" s="68"/>
      <c r="E40" s="68"/>
      <c r="F40" s="144"/>
      <c r="G40" s="144"/>
      <c r="H40" s="424"/>
      <c r="I40" s="424"/>
      <c r="J40" s="537"/>
    </row>
    <row r="41" spans="1:10" s="417" customFormat="1" ht="15" thickBot="1" x14ac:dyDescent="0.35">
      <c r="B41" s="536"/>
      <c r="C41" s="539" t="s">
        <v>282</v>
      </c>
      <c r="D41" s="539"/>
      <c r="E41" s="539"/>
      <c r="F41" s="144"/>
      <c r="G41" s="144"/>
      <c r="H41" s="424"/>
      <c r="I41" s="424"/>
      <c r="J41" s="537"/>
    </row>
    <row r="42" spans="1:10" s="417" customFormat="1" x14ac:dyDescent="0.3">
      <c r="B42" s="536"/>
      <c r="C42" s="68"/>
      <c r="D42" s="68" t="s">
        <v>283</v>
      </c>
      <c r="E42" s="68"/>
      <c r="F42" s="904">
        <v>1</v>
      </c>
      <c r="G42" s="1972">
        <f>42961+27803-78</f>
        <v>70686</v>
      </c>
      <c r="H42" s="905">
        <f>F42*G42</f>
        <v>70686</v>
      </c>
      <c r="I42" s="906" t="s">
        <v>2106</v>
      </c>
      <c r="J42" s="537"/>
    </row>
    <row r="43" spans="1:10" s="417" customFormat="1" x14ac:dyDescent="0.3">
      <c r="B43" s="536"/>
      <c r="C43" s="68"/>
      <c r="D43" s="68" t="s">
        <v>284</v>
      </c>
      <c r="E43" s="68"/>
      <c r="F43" s="914"/>
      <c r="G43" s="1976"/>
      <c r="H43" s="915">
        <f>F43*G43</f>
        <v>0</v>
      </c>
      <c r="I43" s="909"/>
      <c r="J43" s="537"/>
    </row>
    <row r="44" spans="1:10" x14ac:dyDescent="0.3">
      <c r="A44" s="417"/>
      <c r="B44" s="536"/>
      <c r="C44" s="68"/>
      <c r="D44" s="68" t="s">
        <v>285</v>
      </c>
      <c r="E44" s="68"/>
      <c r="F44" s="129"/>
      <c r="G44" s="128"/>
      <c r="H44" s="128"/>
      <c r="I44" s="918"/>
      <c r="J44" s="537"/>
    </row>
    <row r="45" spans="1:10" s="417" customFormat="1" x14ac:dyDescent="0.3">
      <c r="B45" s="536"/>
      <c r="C45" s="68"/>
      <c r="D45" s="2741" t="s">
        <v>531</v>
      </c>
      <c r="E45" s="2741"/>
      <c r="F45" s="916"/>
      <c r="G45" s="1977"/>
      <c r="H45" s="917">
        <f>F45*G45</f>
        <v>0</v>
      </c>
      <c r="I45" s="909"/>
      <c r="J45" s="537"/>
    </row>
    <row r="46" spans="1:10" s="417" customFormat="1" ht="15" thickBot="1" x14ac:dyDescent="0.35">
      <c r="B46" s="536"/>
      <c r="C46" s="68"/>
      <c r="D46" s="2741" t="s">
        <v>532</v>
      </c>
      <c r="E46" s="2741"/>
      <c r="F46" s="913">
        <v>1</v>
      </c>
      <c r="G46" s="1975">
        <f>459440+40000</f>
        <v>499440</v>
      </c>
      <c r="H46" s="911">
        <f>F46*G46</f>
        <v>499440</v>
      </c>
      <c r="I46" s="912" t="s">
        <v>2221</v>
      </c>
      <c r="J46" s="537"/>
    </row>
    <row r="47" spans="1:10" s="417" customFormat="1" ht="15" thickBot="1" x14ac:dyDescent="0.35">
      <c r="B47" s="536"/>
      <c r="C47" s="68"/>
      <c r="D47" s="68"/>
      <c r="E47" s="68"/>
      <c r="F47" s="540"/>
      <c r="G47" s="542" t="s">
        <v>153</v>
      </c>
      <c r="H47" s="683">
        <f>SUM(H42:H43)+SUM(H45:H46)</f>
        <v>570126</v>
      </c>
      <c r="I47" s="684"/>
      <c r="J47" s="537"/>
    </row>
    <row r="48" spans="1:10" s="417" customFormat="1" ht="3.75" customHeight="1" x14ac:dyDescent="0.3">
      <c r="B48" s="536"/>
      <c r="C48" s="68"/>
      <c r="D48" s="68"/>
      <c r="E48" s="68"/>
      <c r="F48" s="144"/>
      <c r="G48" s="144"/>
      <c r="H48" s="424"/>
      <c r="I48" s="424"/>
      <c r="J48" s="537"/>
    </row>
    <row r="49" spans="2:15" s="417" customFormat="1" ht="15" thickBot="1" x14ac:dyDescent="0.35">
      <c r="B49" s="536"/>
      <c r="C49" s="539" t="s">
        <v>286</v>
      </c>
      <c r="D49" s="539"/>
      <c r="E49" s="539"/>
      <c r="F49" s="144"/>
      <c r="G49" s="144"/>
      <c r="H49" s="424"/>
      <c r="I49" s="424"/>
      <c r="J49" s="537"/>
    </row>
    <row r="50" spans="2:15" s="417" customFormat="1" x14ac:dyDescent="0.3">
      <c r="B50" s="536"/>
      <c r="C50" s="68"/>
      <c r="D50" s="68" t="s">
        <v>287</v>
      </c>
      <c r="E50" s="68"/>
      <c r="F50" s="904"/>
      <c r="G50" s="1972"/>
      <c r="H50" s="905">
        <f>F50*G50</f>
        <v>0</v>
      </c>
      <c r="I50" s="906" t="s">
        <v>2104</v>
      </c>
      <c r="J50" s="537"/>
    </row>
    <row r="51" spans="2:15" s="417" customFormat="1" x14ac:dyDescent="0.3">
      <c r="B51" s="536"/>
      <c r="C51" s="68"/>
      <c r="D51" s="68" t="s">
        <v>288</v>
      </c>
      <c r="E51" s="68"/>
      <c r="F51" s="907"/>
      <c r="G51" s="1973"/>
      <c r="H51" s="908">
        <f>F51*G51</f>
        <v>0</v>
      </c>
      <c r="I51" s="909" t="s">
        <v>2104</v>
      </c>
      <c r="J51" s="537"/>
    </row>
    <row r="52" spans="2:15" s="417" customFormat="1" x14ac:dyDescent="0.3">
      <c r="B52" s="536"/>
      <c r="C52" s="68"/>
      <c r="D52" s="68" t="s">
        <v>268</v>
      </c>
      <c r="E52" s="68"/>
      <c r="F52" s="907"/>
      <c r="G52" s="1973"/>
      <c r="H52" s="908">
        <f>F52*G52</f>
        <v>0</v>
      </c>
      <c r="I52" s="909" t="s">
        <v>2104</v>
      </c>
      <c r="J52" s="537"/>
    </row>
    <row r="53" spans="2:15" s="417" customFormat="1" ht="15" thickBot="1" x14ac:dyDescent="0.35">
      <c r="B53" s="536"/>
      <c r="C53" s="68"/>
      <c r="D53" s="68" t="s">
        <v>289</v>
      </c>
      <c r="E53" s="68"/>
      <c r="F53" s="910"/>
      <c r="G53" s="1974"/>
      <c r="H53" s="911">
        <f>F53*G53</f>
        <v>0</v>
      </c>
      <c r="I53" s="912" t="s">
        <v>2104</v>
      </c>
      <c r="J53" s="537"/>
    </row>
    <row r="54" spans="2:15" s="417" customFormat="1" ht="15" thickBot="1" x14ac:dyDescent="0.35">
      <c r="B54" s="536"/>
      <c r="C54" s="68"/>
      <c r="D54" s="68"/>
      <c r="E54" s="68"/>
      <c r="F54" s="540"/>
      <c r="G54" s="542" t="s">
        <v>153</v>
      </c>
      <c r="H54" s="683">
        <f>SUM(H50:H53)</f>
        <v>0</v>
      </c>
      <c r="I54" s="684"/>
      <c r="J54" s="537"/>
    </row>
    <row r="55" spans="2:15" s="417" customFormat="1" ht="3.75" customHeight="1" x14ac:dyDescent="0.3">
      <c r="B55" s="536"/>
      <c r="C55" s="68"/>
      <c r="D55" s="68"/>
      <c r="E55" s="68"/>
      <c r="F55" s="144"/>
      <c r="G55" s="144"/>
      <c r="H55" s="424"/>
      <c r="I55" s="424"/>
      <c r="J55" s="537"/>
    </row>
    <row r="56" spans="2:15" s="417" customFormat="1" ht="15" thickBot="1" x14ac:dyDescent="0.35">
      <c r="B56" s="536"/>
      <c r="C56" s="539" t="s">
        <v>226</v>
      </c>
      <c r="D56" s="539"/>
      <c r="E56" s="539"/>
      <c r="F56" s="543"/>
      <c r="G56" s="543"/>
      <c r="H56" s="687"/>
      <c r="I56" s="347"/>
      <c r="J56" s="537"/>
    </row>
    <row r="57" spans="2:15" s="417" customFormat="1" ht="15" thickBot="1" x14ac:dyDescent="0.35">
      <c r="B57" s="536"/>
      <c r="C57" s="68"/>
      <c r="D57" s="68"/>
      <c r="E57" s="68"/>
      <c r="F57" s="532"/>
      <c r="G57" s="533"/>
      <c r="H57" s="688">
        <f>F57*G57</f>
        <v>0</v>
      </c>
      <c r="I57" s="682"/>
      <c r="J57" s="537"/>
    </row>
    <row r="58" spans="2:15" s="417" customFormat="1" ht="15" thickBot="1" x14ac:dyDescent="0.35">
      <c r="B58" s="536"/>
      <c r="C58" s="68"/>
      <c r="D58" s="68"/>
      <c r="E58" s="68"/>
      <c r="F58" s="540"/>
      <c r="G58" s="542" t="s">
        <v>153</v>
      </c>
      <c r="H58" s="683">
        <f>SUM(H57)</f>
        <v>0</v>
      </c>
      <c r="I58" s="684"/>
      <c r="J58" s="537"/>
    </row>
    <row r="59" spans="2:15" s="417" customFormat="1" ht="7.5" customHeight="1" thickBot="1" x14ac:dyDescent="0.35">
      <c r="B59" s="536"/>
      <c r="C59" s="68"/>
      <c r="D59" s="68"/>
      <c r="E59" s="68"/>
      <c r="F59" s="144"/>
      <c r="G59" s="144"/>
      <c r="H59" s="144"/>
      <c r="I59" s="144"/>
      <c r="J59" s="537"/>
    </row>
    <row r="60" spans="2:15" ht="15.75" customHeight="1" thickBot="1" x14ac:dyDescent="0.35">
      <c r="B60" s="544"/>
      <c r="C60" s="694" t="s">
        <v>52</v>
      </c>
      <c r="D60" s="545"/>
      <c r="E60" s="546"/>
      <c r="F60" s="547"/>
      <c r="G60" s="548"/>
      <c r="H60" s="549">
        <f>H17+H28+H39+H47+H54+H58</f>
        <v>869059</v>
      </c>
      <c r="I60" s="550" t="str">
        <f>IF(H60&lt;&gt;('6A - 9% Building'!J102+'6A Rollup'!J103),"WARNING: Does not match Form 6A","")</f>
        <v/>
      </c>
      <c r="J60" s="537"/>
      <c r="K60" s="2423"/>
      <c r="L60" s="2423"/>
      <c r="M60" s="2423"/>
      <c r="N60" s="2423"/>
    </row>
    <row r="61" spans="2:15" s="417" customFormat="1" ht="9" customHeight="1" thickBot="1" x14ac:dyDescent="0.35">
      <c r="B61" s="551"/>
      <c r="C61" s="552"/>
      <c r="D61" s="552"/>
      <c r="E61" s="552"/>
      <c r="F61" s="552"/>
      <c r="G61" s="552"/>
      <c r="H61" s="553" t="s">
        <v>31</v>
      </c>
      <c r="I61" s="552"/>
      <c r="J61" s="484"/>
    </row>
    <row r="62" spans="2:15" x14ac:dyDescent="0.3">
      <c r="I62" s="2742" t="str">
        <f>IF(I60="WARNING: Does not match Form 6A","Ensure that the total of the Permits, Fees &amp; Hookups and Impact/Mitigation Fees cells on Form 6A matches the total here.","")</f>
        <v/>
      </c>
    </row>
    <row r="63" spans="2:15" x14ac:dyDescent="0.3">
      <c r="I63" s="2743"/>
    </row>
    <row r="64" spans="2:15" x14ac:dyDescent="0.3">
      <c r="I64" s="2743"/>
      <c r="L64" s="1027"/>
      <c r="M64" s="1027"/>
      <c r="N64" s="1027"/>
      <c r="O64" s="1027"/>
    </row>
    <row r="65" spans="8:12" ht="15" customHeight="1" x14ac:dyDescent="0.3">
      <c r="I65" s="2743"/>
      <c r="J65" s="1027"/>
      <c r="K65" s="1027"/>
      <c r="L65" s="1027"/>
    </row>
    <row r="66" spans="8:12" x14ac:dyDescent="0.3">
      <c r="H66" s="1027"/>
      <c r="I66" s="1027"/>
      <c r="J66" s="1027"/>
      <c r="K66" s="1027"/>
      <c r="L66" s="1027"/>
    </row>
    <row r="67" spans="8:12" x14ac:dyDescent="0.3">
      <c r="H67" s="1027"/>
      <c r="I67" s="1027"/>
      <c r="J67" s="1027"/>
      <c r="K67" s="1027"/>
      <c r="L67" s="1027"/>
    </row>
    <row r="68" spans="8:12" x14ac:dyDescent="0.3">
      <c r="H68" s="1027"/>
      <c r="I68" s="1027"/>
      <c r="J68" s="1027"/>
      <c r="K68" s="1027"/>
      <c r="L68" s="1027"/>
    </row>
  </sheetData>
  <sheetProtection algorithmName="SHA-512" hashValue="ba19Aj9a44/m5KpaU/ZyafPwJ2Ie8Drl7/kjvc3ZK3ShvyaaePjd5h+dAfgShw2Q2wJn8QhHvP+1Jd2YfI6fww==" saltValue="GKX1gf5fjXorGTQPJgQV0g==" spinCount="100000" sheet="1" formatCells="0" formatColumns="0" formatRows="0"/>
  <mergeCells count="6">
    <mergeCell ref="C8:I8"/>
    <mergeCell ref="C10:I10"/>
    <mergeCell ref="D45:E45"/>
    <mergeCell ref="D46:E46"/>
    <mergeCell ref="I62:I65"/>
    <mergeCell ref="C12:I12"/>
  </mergeCells>
  <pageMargins left="1" right="0.95" top="0.75" bottom="0.75" header="0.3" footer="0.3"/>
  <pageSetup scale="91" fitToHeight="0" orientation="portrait" r:id="rId1"/>
  <headerFooter>
    <oddFooter>&amp;LForm 6E
Fee Schedule&amp;CCFA Forms&amp;REdition: 2017
Version: 1.0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6:N92"/>
  <sheetViews>
    <sheetView showGridLines="0" topLeftCell="A13" zoomScaleNormal="100" workbookViewId="0">
      <selection activeCell="L31" sqref="L31"/>
    </sheetView>
  </sheetViews>
  <sheetFormatPr defaultColWidth="9.109375" defaultRowHeight="14.4" x14ac:dyDescent="0.3"/>
  <cols>
    <col min="1" max="2" width="1.6640625" style="400" customWidth="1"/>
    <col min="3" max="3" width="24.5546875" style="400" bestFit="1" customWidth="1"/>
    <col min="4" max="4" width="22.33203125" style="400" bestFit="1" customWidth="1"/>
    <col min="5" max="5" width="15.44140625" style="400" bestFit="1" customWidth="1"/>
    <col min="6" max="6" width="17" style="400" bestFit="1" customWidth="1"/>
    <col min="7" max="7" width="1.6640625" style="400" customWidth="1"/>
    <col min="8" max="8" width="0.6640625" style="400" customWidth="1"/>
    <col min="9" max="9" width="1.44140625" style="400" customWidth="1"/>
    <col min="10" max="10" width="24.5546875" style="400" customWidth="1"/>
    <col min="11" max="11" width="22.33203125" style="400" customWidth="1"/>
    <col min="12" max="13" width="15.44140625" style="400" customWidth="1"/>
    <col min="14" max="14" width="1.6640625" style="400" customWidth="1"/>
    <col min="15" max="16384" width="9.109375" style="400"/>
  </cols>
  <sheetData>
    <row r="6" spans="2:14" ht="9" customHeight="1" thickBot="1" x14ac:dyDescent="0.35"/>
    <row r="7" spans="2:14" ht="9" customHeight="1" x14ac:dyDescent="0.3">
      <c r="B7" s="555"/>
      <c r="C7" s="556"/>
      <c r="D7" s="556"/>
      <c r="E7" s="557"/>
      <c r="F7" s="557"/>
      <c r="G7" s="2218"/>
      <c r="H7" s="2218"/>
      <c r="I7" s="2218"/>
      <c r="J7" s="2218"/>
      <c r="K7" s="2218"/>
      <c r="L7" s="2218"/>
      <c r="M7" s="2218"/>
      <c r="N7" s="558"/>
    </row>
    <row r="8" spans="2:14" ht="18" x14ac:dyDescent="0.35">
      <c r="B8" s="559"/>
      <c r="C8" s="2657" t="s">
        <v>529</v>
      </c>
      <c r="D8" s="2657"/>
      <c r="E8" s="2657"/>
      <c r="F8" s="2657"/>
      <c r="G8" s="2657"/>
      <c r="H8" s="2657"/>
      <c r="I8" s="2657"/>
      <c r="J8" s="2657"/>
      <c r="K8" s="2657"/>
      <c r="L8" s="2657"/>
      <c r="M8" s="2657"/>
      <c r="N8" s="560"/>
    </row>
    <row r="9" spans="2:14" x14ac:dyDescent="0.3">
      <c r="B9" s="559"/>
      <c r="C9" s="2124"/>
      <c r="D9" s="2124"/>
      <c r="E9" s="2125"/>
      <c r="F9" s="2125"/>
      <c r="G9" s="384"/>
      <c r="H9" s="384"/>
      <c r="I9" s="384"/>
      <c r="J9" s="384"/>
      <c r="K9" s="384"/>
      <c r="L9" s="384"/>
      <c r="M9" s="384"/>
      <c r="N9" s="560"/>
    </row>
    <row r="10" spans="2:14" ht="15" thickBot="1" x14ac:dyDescent="0.35">
      <c r="B10" s="559"/>
      <c r="C10" s="2557" t="str">
        <f>IF('1'!G5="","Enter Project Name on Form 1",(CONCATENATE("Project Name: ",'1'!G5)))</f>
        <v>Project Name: 6600 Roosevelt Way NE</v>
      </c>
      <c r="D10" s="2646"/>
      <c r="E10" s="2557"/>
      <c r="F10" s="2557"/>
      <c r="G10" s="384"/>
      <c r="H10" s="384"/>
      <c r="I10" s="384"/>
      <c r="J10" s="384"/>
      <c r="K10" s="384"/>
      <c r="L10" s="384"/>
      <c r="M10" s="384"/>
      <c r="N10" s="560"/>
    </row>
    <row r="11" spans="2:14" x14ac:dyDescent="0.3">
      <c r="B11" s="559"/>
      <c r="C11" s="2116"/>
      <c r="D11" s="2116"/>
      <c r="E11" s="2116"/>
      <c r="F11" s="2116"/>
      <c r="G11" s="384"/>
      <c r="H11" s="384"/>
      <c r="I11" s="384"/>
      <c r="J11" s="384"/>
      <c r="K11" s="384"/>
      <c r="L11" s="384"/>
      <c r="M11" s="384"/>
      <c r="N11" s="560"/>
    </row>
    <row r="12" spans="2:14" ht="3.75" customHeight="1" x14ac:dyDescent="0.3">
      <c r="B12" s="559"/>
      <c r="C12" s="2118"/>
      <c r="D12" s="2118"/>
      <c r="E12" s="2118"/>
      <c r="F12" s="2118"/>
      <c r="G12" s="2219"/>
      <c r="H12" s="2219"/>
      <c r="I12" s="2219"/>
      <c r="J12" s="2219"/>
      <c r="K12" s="2219"/>
      <c r="L12" s="2219"/>
      <c r="M12" s="2219"/>
      <c r="N12" s="560"/>
    </row>
    <row r="13" spans="2:14" ht="7.5" customHeight="1" x14ac:dyDescent="0.3">
      <c r="B13" s="559"/>
      <c r="C13" s="2116"/>
      <c r="D13" s="2116"/>
      <c r="E13" s="2116"/>
      <c r="F13" s="2116"/>
      <c r="G13" s="384"/>
      <c r="H13" s="2219"/>
      <c r="I13" s="384"/>
      <c r="J13" s="384"/>
      <c r="K13" s="384"/>
      <c r="L13" s="384"/>
      <c r="M13" s="384"/>
      <c r="N13" s="560"/>
    </row>
    <row r="14" spans="2:14" ht="15" thickBot="1" x14ac:dyDescent="0.35">
      <c r="B14" s="559"/>
      <c r="C14" s="2557" t="str">
        <f>IF('1'!G29="","Enter Site Name/ID Number on Form 1",(CONCATENATE("Site Name/ID: ",'1'!G29)))</f>
        <v>Site Name/ID: Site A - 4% Building</v>
      </c>
      <c r="D14" s="2557"/>
      <c r="E14" s="2557"/>
      <c r="F14" s="2557"/>
      <c r="G14" s="2124"/>
      <c r="H14" s="2220"/>
      <c r="I14" s="384"/>
      <c r="J14" s="2557" t="str">
        <f>IF('1'!G55="","Enter Site Name/ID Number on Form 1",(CONCATENATE("Site Name/ID: ",'1'!G55)))</f>
        <v>Site Name/ID: Site B - 9% Building</v>
      </c>
      <c r="K14" s="2557"/>
      <c r="L14" s="2557"/>
      <c r="M14" s="2557"/>
      <c r="N14" s="1477"/>
    </row>
    <row r="15" spans="2:14" ht="7.5" customHeight="1" x14ac:dyDescent="0.3">
      <c r="B15" s="559"/>
      <c r="C15" s="2116"/>
      <c r="D15" s="2116"/>
      <c r="E15" s="2116"/>
      <c r="F15" s="2116"/>
      <c r="G15" s="2124"/>
      <c r="H15" s="2220"/>
      <c r="I15" s="384"/>
      <c r="J15" s="384"/>
      <c r="K15" s="384"/>
      <c r="L15" s="384"/>
      <c r="M15" s="384"/>
      <c r="N15" s="1477"/>
    </row>
    <row r="16" spans="2:14" ht="15" thickBot="1" x14ac:dyDescent="0.35">
      <c r="B16" s="559"/>
      <c r="C16" s="2753" t="s">
        <v>290</v>
      </c>
      <c r="D16" s="2754"/>
      <c r="E16" s="2753"/>
      <c r="F16" s="2753"/>
      <c r="G16" s="493"/>
      <c r="H16" s="2220"/>
      <c r="I16" s="384"/>
      <c r="J16" s="2753" t="s">
        <v>290</v>
      </c>
      <c r="K16" s="2754"/>
      <c r="L16" s="2753"/>
      <c r="M16" s="2753"/>
      <c r="N16" s="1477"/>
    </row>
    <row r="17" spans="2:14" ht="27" customHeight="1" thickBot="1" x14ac:dyDescent="0.35">
      <c r="B17" s="562"/>
      <c r="C17" s="1011" t="s">
        <v>633</v>
      </c>
      <c r="D17" s="745" t="s">
        <v>634</v>
      </c>
      <c r="E17" s="563" t="s">
        <v>292</v>
      </c>
      <c r="F17" s="2119" t="s">
        <v>293</v>
      </c>
      <c r="G17" s="566"/>
      <c r="H17" s="2220"/>
      <c r="I17" s="384"/>
      <c r="J17" s="1011" t="s">
        <v>633</v>
      </c>
      <c r="K17" s="745" t="s">
        <v>634</v>
      </c>
      <c r="L17" s="563" t="s">
        <v>292</v>
      </c>
      <c r="M17" s="2119" t="s">
        <v>293</v>
      </c>
      <c r="N17" s="1477"/>
    </row>
    <row r="18" spans="2:14" x14ac:dyDescent="0.3">
      <c r="B18" s="559"/>
      <c r="C18" s="2221" t="str">
        <f>IF('7A - 4%'!C18="","",'7A - 4%'!C18)</f>
        <v>Bellwether/Mercy Predevelopment Loan</v>
      </c>
      <c r="D18" s="2222" t="str">
        <f>IF('7A - 4%'!D18="Select…","",'7A - 4%'!D18)</f>
        <v>Sponsor</v>
      </c>
      <c r="E18" s="2223">
        <f>'7A - 4%'!E18</f>
        <v>1435804</v>
      </c>
      <c r="F18" s="2224">
        <f>'7A - 4%'!F18</f>
        <v>0</v>
      </c>
      <c r="G18" s="2124"/>
      <c r="H18" s="2220"/>
      <c r="I18" s="384"/>
      <c r="J18" s="2221" t="str">
        <f>IF('7A - 9%'!C18="","",'7A - 9%'!C18)</f>
        <v>Bellwether/Mercy Predevelopment Loan</v>
      </c>
      <c r="K18" s="2222" t="str">
        <f>IF('7A - 9%'!D18="Select…","",'7A - 9%'!D18)</f>
        <v>Sponsor</v>
      </c>
      <c r="L18" s="2223">
        <f>'7A - 9%'!E18</f>
        <v>736695</v>
      </c>
      <c r="M18" s="2224">
        <f>'7A - 9%'!F18</f>
        <v>0</v>
      </c>
      <c r="N18" s="1477"/>
    </row>
    <row r="19" spans="2:14" x14ac:dyDescent="0.3">
      <c r="B19" s="559"/>
      <c r="C19" s="2225" t="str">
        <f>IF('7A - 4%'!C19="","",'7A - 4%'!C19)</f>
        <v>Tier B Bonds Construction Loan</v>
      </c>
      <c r="D19" s="2226" t="str">
        <f>IF('7A - 4%'!D19="","",'7A - 4%'!D19)</f>
        <v>Bank</v>
      </c>
      <c r="E19" s="2227">
        <f>'7A - 4%'!E19</f>
        <v>14250000</v>
      </c>
      <c r="F19" s="2228">
        <f>'7A - 4%'!F19</f>
        <v>0</v>
      </c>
      <c r="G19" s="2124"/>
      <c r="H19" s="2220"/>
      <c r="I19" s="384"/>
      <c r="J19" s="2225" t="str">
        <f>IF('7A - 9%'!C19="","",'7A - 9%'!C19)</f>
        <v>Contruction Loan Residential</v>
      </c>
      <c r="K19" s="2226" t="str">
        <f>IF('7A - 9%'!D19="","",'7A - 9%'!D19)</f>
        <v>Bank</v>
      </c>
      <c r="L19" s="2227">
        <f>'7A - 9%'!E19</f>
        <v>13000000</v>
      </c>
      <c r="M19" s="2228">
        <f>'7A - 9%'!F19</f>
        <v>0</v>
      </c>
      <c r="N19" s="1477"/>
    </row>
    <row r="20" spans="2:14" x14ac:dyDescent="0.3">
      <c r="B20" s="559"/>
      <c r="C20" s="2225" t="str">
        <f>IF('7A - 4%'!C20="","",'7A - 4%'!C20)</f>
        <v>Construction Loan Daycare</v>
      </c>
      <c r="D20" s="2226" t="str">
        <f>IF('7A - 4%'!D20="","",'7A - 4%'!D20)</f>
        <v>Bank</v>
      </c>
      <c r="E20" s="2227">
        <f>'7A - 4%'!E20</f>
        <v>2600000</v>
      </c>
      <c r="F20" s="2228">
        <f>'7A - 4%'!F20</f>
        <v>0</v>
      </c>
      <c r="G20" s="2124"/>
      <c r="H20" s="2220"/>
      <c r="I20" s="384"/>
      <c r="J20" s="2225" t="str">
        <f>IF('7A - 9%'!C20="","",'7A - 9%'!C20)</f>
        <v>Construction Loan Retail</v>
      </c>
      <c r="K20" s="2226" t="str">
        <f>IF('7A - 9%'!D20="","",'7A - 9%'!D20)</f>
        <v>Bank</v>
      </c>
      <c r="L20" s="2227">
        <f>'7A - 9%'!E20</f>
        <v>14000000</v>
      </c>
      <c r="M20" s="2228">
        <f>'7A - 9%'!F20</f>
        <v>0</v>
      </c>
      <c r="N20" s="1477"/>
    </row>
    <row r="21" spans="2:14" ht="7.5" customHeight="1" thickBot="1" x14ac:dyDescent="0.35">
      <c r="B21" s="559"/>
      <c r="C21" s="1460"/>
      <c r="D21" s="1461"/>
      <c r="E21" s="1462"/>
      <c r="F21" s="2120"/>
      <c r="G21" s="2124"/>
      <c r="H21" s="2220"/>
      <c r="I21" s="384"/>
      <c r="J21" s="1460"/>
      <c r="K21" s="1461"/>
      <c r="L21" s="1462"/>
      <c r="M21" s="2120"/>
      <c r="N21" s="1477"/>
    </row>
    <row r="22" spans="2:14" ht="15" thickBot="1" x14ac:dyDescent="0.35">
      <c r="B22" s="559"/>
      <c r="C22" s="384"/>
      <c r="D22" s="721" t="s">
        <v>297</v>
      </c>
      <c r="E22" s="568">
        <f>SUM(E18:E21)</f>
        <v>18285804</v>
      </c>
      <c r="F22" s="569">
        <f>SUM(F18:F21)</f>
        <v>0</v>
      </c>
      <c r="G22" s="2124"/>
      <c r="H22" s="2220"/>
      <c r="I22" s="384"/>
      <c r="J22" s="384"/>
      <c r="K22" s="721" t="s">
        <v>297</v>
      </c>
      <c r="L22" s="568">
        <f>SUM(L18:L21)</f>
        <v>27736695</v>
      </c>
      <c r="M22" s="569">
        <f>SUM(M18:M21)</f>
        <v>0</v>
      </c>
      <c r="N22" s="1477"/>
    </row>
    <row r="23" spans="2:14" ht="3.75" customHeight="1" thickBot="1" x14ac:dyDescent="0.35">
      <c r="B23" s="559"/>
      <c r="C23" s="194"/>
      <c r="D23" s="194"/>
      <c r="E23" s="195"/>
      <c r="F23" s="195"/>
      <c r="G23" s="2124"/>
      <c r="H23" s="2220"/>
      <c r="I23" s="384"/>
      <c r="J23" s="194"/>
      <c r="K23" s="194"/>
      <c r="L23" s="195"/>
      <c r="M23" s="195"/>
      <c r="N23" s="1477"/>
    </row>
    <row r="24" spans="2:14" ht="15" thickBot="1" x14ac:dyDescent="0.35">
      <c r="B24" s="559"/>
      <c r="C24" s="571" t="s">
        <v>298</v>
      </c>
      <c r="D24" s="571"/>
      <c r="E24" s="384"/>
      <c r="F24" s="199">
        <f>E22+F22</f>
        <v>18285804</v>
      </c>
      <c r="G24" s="2124"/>
      <c r="H24" s="2220"/>
      <c r="I24" s="384"/>
      <c r="J24" s="571" t="s">
        <v>298</v>
      </c>
      <c r="K24" s="571"/>
      <c r="L24" s="384"/>
      <c r="M24" s="199">
        <f>L22+M22</f>
        <v>27736695</v>
      </c>
      <c r="N24" s="1477"/>
    </row>
    <row r="25" spans="2:14" ht="7.5" customHeight="1" x14ac:dyDescent="0.3">
      <c r="B25" s="559"/>
      <c r="C25" s="2124"/>
      <c r="D25" s="2124"/>
      <c r="E25" s="2125"/>
      <c r="F25" s="2125"/>
      <c r="G25" s="2124"/>
      <c r="H25" s="2220"/>
      <c r="I25" s="384"/>
      <c r="J25" s="2124"/>
      <c r="K25" s="2124"/>
      <c r="L25" s="2125"/>
      <c r="M25" s="2125"/>
      <c r="N25" s="1477"/>
    </row>
    <row r="26" spans="2:14" ht="15" thickBot="1" x14ac:dyDescent="0.35">
      <c r="B26" s="559"/>
      <c r="C26" s="2557" t="s">
        <v>299</v>
      </c>
      <c r="D26" s="2646"/>
      <c r="E26" s="2557"/>
      <c r="F26" s="2557"/>
      <c r="G26" s="493"/>
      <c r="H26" s="2220"/>
      <c r="I26" s="384"/>
      <c r="J26" s="2557" t="s">
        <v>299</v>
      </c>
      <c r="K26" s="2646"/>
      <c r="L26" s="2557"/>
      <c r="M26" s="2557"/>
      <c r="N26" s="1477"/>
    </row>
    <row r="27" spans="2:14" ht="28.2" thickBot="1" x14ac:dyDescent="0.35">
      <c r="B27" s="562"/>
      <c r="C27" s="1011" t="s">
        <v>630</v>
      </c>
      <c r="D27" s="745" t="s">
        <v>632</v>
      </c>
      <c r="E27" s="2128" t="s">
        <v>292</v>
      </c>
      <c r="F27" s="2119" t="s">
        <v>293</v>
      </c>
      <c r="G27" s="566"/>
      <c r="H27" s="2220"/>
      <c r="I27" s="384"/>
      <c r="J27" s="1011" t="s">
        <v>630</v>
      </c>
      <c r="K27" s="745" t="s">
        <v>632</v>
      </c>
      <c r="L27" s="2128" t="s">
        <v>292</v>
      </c>
      <c r="M27" s="2119" t="s">
        <v>293</v>
      </c>
      <c r="N27" s="1477"/>
    </row>
    <row r="28" spans="2:14" x14ac:dyDescent="0.3">
      <c r="B28" s="559"/>
      <c r="C28" s="2343" t="str">
        <f>IF('7A - 4%'!C28="","",'7A - 4%'!C28)</f>
        <v>Seattle Office of Housing</v>
      </c>
      <c r="D28" s="2344" t="str">
        <f>IF('7A - 4%'!D28="Select…","",'7A - 4%'!D28)</f>
        <v>City</v>
      </c>
      <c r="E28" s="2231">
        <f>'7A - 4%'!E28</f>
        <v>12660000</v>
      </c>
      <c r="F28" s="2224">
        <f>'7A - 4%'!F28</f>
        <v>0</v>
      </c>
      <c r="G28" s="2124"/>
      <c r="H28" s="2232"/>
      <c r="I28" s="384"/>
      <c r="J28" s="2229" t="str">
        <f>IF('7A - 9%'!C28="","",'7A - 9%'!C28)</f>
        <v>Office of Housing</v>
      </c>
      <c r="K28" s="2230" t="str">
        <f>IF('7A - 9%'!D28="Select…","",'7A - 9%'!D28)</f>
        <v>City</v>
      </c>
      <c r="L28" s="2231">
        <f>'7A - 9%'!E28</f>
        <v>2335000</v>
      </c>
      <c r="M28" s="2224">
        <f>'7A - 9%'!F28</f>
        <v>0</v>
      </c>
      <c r="N28" s="1477"/>
    </row>
    <row r="29" spans="2:14" x14ac:dyDescent="0.3">
      <c r="B29" s="559"/>
      <c r="C29" s="2345" t="str">
        <f>IF('7A - 4%'!C29="","",'7A - 4%'!C29)</f>
        <v>King County TOD</v>
      </c>
      <c r="D29" s="2346" t="str">
        <f>IF('7A - 4%'!D29="","",'7A - 4%'!D29)</f>
        <v>County</v>
      </c>
      <c r="E29" s="2235">
        <f>'7A - 4%'!E29</f>
        <v>3750000</v>
      </c>
      <c r="F29" s="2228">
        <f>'7A - 4%'!F29</f>
        <v>0</v>
      </c>
      <c r="G29" s="2124"/>
      <c r="H29" s="2220"/>
      <c r="I29" s="384"/>
      <c r="J29" s="2233" t="str">
        <f>IF('7A - 9%'!C29="","",'7A - 9%'!C29)</f>
        <v>State Housing Trust Fund</v>
      </c>
      <c r="K29" s="2234" t="str">
        <f>IF('7A - 9%'!D29="","",'7A - 9%'!D29)</f>
        <v>State - Housing Trust Fund</v>
      </c>
      <c r="L29" s="2235">
        <f>'7A - 9%'!E29</f>
        <v>3000000</v>
      </c>
      <c r="M29" s="2228">
        <f>'7A - 9%'!F29</f>
        <v>0</v>
      </c>
      <c r="N29" s="1477"/>
    </row>
    <row r="30" spans="2:14" x14ac:dyDescent="0.3">
      <c r="B30" s="559"/>
      <c r="C30" s="2345" t="str">
        <f>IF('7A - 4%'!C30="","",'7A - 4%'!C30)</f>
        <v>Build Smart/Sponsor Loan</v>
      </c>
      <c r="D30" s="2346" t="str">
        <f>IF('7A - 4%'!D30="","",'7A - 4%'!D30)</f>
        <v>Sponsor</v>
      </c>
      <c r="E30" s="2235">
        <f>'7A - 4%'!E30</f>
        <v>1651371.99</v>
      </c>
      <c r="F30" s="2228">
        <f>'7A - 4%'!F30</f>
        <v>0</v>
      </c>
      <c r="G30" s="2124"/>
      <c r="H30" s="2220"/>
      <c r="I30" s="384"/>
      <c r="J30" s="2233" t="str">
        <f>IF('7A - 9%'!C30="","",'7A - 9%'!C30)</f>
        <v>Build Smart/Sponsor Loan</v>
      </c>
      <c r="K30" s="2234" t="str">
        <f>IF('7A - 9%'!D30="","",'7A - 9%'!D30)</f>
        <v>Sponsor</v>
      </c>
      <c r="L30" s="2235">
        <f>'7A - 9%'!E30</f>
        <v>674168</v>
      </c>
      <c r="M30" s="2228">
        <f>'7A - 9%'!F30</f>
        <v>0</v>
      </c>
      <c r="N30" s="1477"/>
    </row>
    <row r="31" spans="2:14" x14ac:dyDescent="0.3">
      <c r="B31" s="559"/>
      <c r="C31" s="2345" t="str">
        <f>IF('7A - 4%'!C31="","",'7A - 4%'!C31)</f>
        <v>Tax-Exempt Perm Debt</v>
      </c>
      <c r="D31" s="2346" t="str">
        <f>IF('7A - 4%'!D31="","",'7A - 4%'!D31)</f>
        <v>Private</v>
      </c>
      <c r="E31" s="2235">
        <f>'7A - 4%'!E31</f>
        <v>15611555</v>
      </c>
      <c r="F31" s="2228">
        <f>'7A - 4%'!F31</f>
        <v>0</v>
      </c>
      <c r="G31" s="2124"/>
      <c r="H31" s="2220"/>
      <c r="I31" s="384"/>
      <c r="J31" s="2233" t="str">
        <f>IF('7A - 9%'!C31="","",'7A - 9%'!C31)</f>
        <v>Perm Loan</v>
      </c>
      <c r="K31" s="2234" t="str">
        <f>IF('7A - 9%'!D31="","",'7A - 9%'!D31)</f>
        <v>Bank</v>
      </c>
      <c r="L31" s="2235">
        <f>'7A - 9%'!E31</f>
        <v>2951351</v>
      </c>
      <c r="M31" s="2228">
        <f>'7A - 9%'!F31</f>
        <v>0</v>
      </c>
      <c r="N31" s="1477"/>
    </row>
    <row r="32" spans="2:14" x14ac:dyDescent="0.3">
      <c r="B32" s="559"/>
      <c r="C32" s="2345" t="str">
        <f>IF('7A - 4%'!C32="","",'7A - 4%'!C32)</f>
        <v>Deferred Developer Fee</v>
      </c>
      <c r="D32" s="2346" t="str">
        <f>IF('7A - 4%'!D32="","",'7A - 4%'!D32)</f>
        <v>Developer</v>
      </c>
      <c r="E32" s="2235">
        <f>'7A - 4%'!E32</f>
        <v>2100000</v>
      </c>
      <c r="F32" s="2228">
        <f>'7A - 4%'!F32</f>
        <v>0</v>
      </c>
      <c r="G32" s="2124"/>
      <c r="H32" s="2220"/>
      <c r="I32" s="384"/>
      <c r="J32" s="2233" t="str">
        <f>IF('7A - 9%'!C32="","",'7A - 9%'!C32)</f>
        <v>Deferred Developer Fee</v>
      </c>
      <c r="K32" s="2234" t="str">
        <f>IF('7A - 9%'!D32="","",'7A - 9%'!D32)</f>
        <v>Developer</v>
      </c>
      <c r="L32" s="2235">
        <f>'7A - 9%'!E32</f>
        <v>200000</v>
      </c>
      <c r="M32" s="2228">
        <f>'7A - 9%'!F32</f>
        <v>0</v>
      </c>
      <c r="N32" s="1477"/>
    </row>
    <row r="33" spans="2:14" x14ac:dyDescent="0.3">
      <c r="B33" s="559"/>
      <c r="C33" s="2345" t="str">
        <f>IF('7A - 4%'!C33="","",'7A - 4%'!C33)</f>
        <v/>
      </c>
      <c r="D33" s="2346" t="str">
        <f>IF('7A - 4%'!D33="","",'7A - 4%'!D33)</f>
        <v/>
      </c>
      <c r="E33" s="2235">
        <f>'7A - 4%'!E33</f>
        <v>0</v>
      </c>
      <c r="F33" s="2228">
        <f>'7A - 4%'!F33</f>
        <v>0</v>
      </c>
      <c r="G33" s="2124"/>
      <c r="H33" s="2220"/>
      <c r="I33" s="384"/>
      <c r="J33" s="2233" t="str">
        <f>IF('7A - 9%'!C33="","",'7A - 9%'!C33)</f>
        <v/>
      </c>
      <c r="K33" s="2234" t="str">
        <f>IF('7A - 9%'!D33="","",'7A - 9%'!D33)</f>
        <v/>
      </c>
      <c r="L33" s="2235">
        <f>'7A - 9%'!E33</f>
        <v>0</v>
      </c>
      <c r="M33" s="2228">
        <f>'7A - 9%'!F33</f>
        <v>0</v>
      </c>
      <c r="N33" s="1477"/>
    </row>
    <row r="34" spans="2:14" ht="7.5" customHeight="1" thickBot="1" x14ac:dyDescent="0.35">
      <c r="B34" s="559"/>
      <c r="C34" s="1467"/>
      <c r="D34" s="1468"/>
      <c r="E34" s="1469"/>
      <c r="F34" s="2120"/>
      <c r="G34" s="2124"/>
      <c r="H34" s="2220"/>
      <c r="I34" s="384"/>
      <c r="J34" s="1467"/>
      <c r="K34" s="1468"/>
      <c r="L34" s="1469"/>
      <c r="M34" s="2120"/>
      <c r="N34" s="1477"/>
    </row>
    <row r="35" spans="2:14" ht="15" thickBot="1" x14ac:dyDescent="0.35">
      <c r="B35" s="559"/>
      <c r="C35" s="384"/>
      <c r="D35" s="721" t="s">
        <v>304</v>
      </c>
      <c r="E35" s="197">
        <f>SUM(E28:E34)</f>
        <v>35772926.989999995</v>
      </c>
      <c r="F35" s="2121">
        <f>SUM(F28:F34)</f>
        <v>0</v>
      </c>
      <c r="G35" s="722"/>
      <c r="H35" s="2220"/>
      <c r="I35" s="384"/>
      <c r="J35" s="384"/>
      <c r="K35" s="721" t="s">
        <v>304</v>
      </c>
      <c r="L35" s="197">
        <f>SUM(L28:L34)</f>
        <v>9160519</v>
      </c>
      <c r="M35" s="2121">
        <f>SUM(M28:M34)</f>
        <v>0</v>
      </c>
      <c r="N35" s="1477"/>
    </row>
    <row r="36" spans="2:14" ht="3.75" customHeight="1" thickBot="1" x14ac:dyDescent="0.35">
      <c r="B36" s="559"/>
      <c r="C36" s="194"/>
      <c r="D36" s="194"/>
      <c r="E36" s="195"/>
      <c r="F36" s="195"/>
      <c r="G36" s="722"/>
      <c r="H36" s="2220"/>
      <c r="I36" s="384"/>
      <c r="J36" s="194"/>
      <c r="K36" s="194"/>
      <c r="L36" s="195"/>
      <c r="M36" s="195"/>
      <c r="N36" s="1477"/>
    </row>
    <row r="37" spans="2:14" ht="15" thickBot="1" x14ac:dyDescent="0.35">
      <c r="B37" s="559"/>
      <c r="C37" s="384"/>
      <c r="D37" s="722"/>
      <c r="E37" s="1012" t="s">
        <v>305</v>
      </c>
      <c r="F37" s="199">
        <f>E35+F35</f>
        <v>35772926.989999995</v>
      </c>
      <c r="G37" s="722"/>
      <c r="H37" s="2220"/>
      <c r="I37" s="384"/>
      <c r="J37" s="384"/>
      <c r="K37" s="722"/>
      <c r="L37" s="1012" t="s">
        <v>305</v>
      </c>
      <c r="M37" s="199">
        <f>L35+M35</f>
        <v>9160519</v>
      </c>
      <c r="N37" s="1477"/>
    </row>
    <row r="38" spans="2:14" ht="3.75" customHeight="1" thickBot="1" x14ac:dyDescent="0.35">
      <c r="B38" s="559"/>
      <c r="C38" s="384"/>
      <c r="D38" s="988"/>
      <c r="E38" s="1013"/>
      <c r="F38" s="196"/>
      <c r="G38" s="722"/>
      <c r="H38" s="2220"/>
      <c r="I38" s="384"/>
      <c r="J38" s="384"/>
      <c r="K38" s="988"/>
      <c r="L38" s="1013"/>
      <c r="M38" s="196"/>
      <c r="N38" s="1477"/>
    </row>
    <row r="39" spans="2:14" ht="15" thickBot="1" x14ac:dyDescent="0.35">
      <c r="B39" s="559"/>
      <c r="C39" s="384"/>
      <c r="D39" s="722"/>
      <c r="E39" s="1012" t="s">
        <v>1869</v>
      </c>
      <c r="F39" s="2217">
        <f>'6D - 4% Building'!G55</f>
        <v>16062304.007399999</v>
      </c>
      <c r="G39" s="722"/>
      <c r="H39" s="2220"/>
      <c r="I39" s="384"/>
      <c r="J39" s="384"/>
      <c r="K39" s="722"/>
      <c r="L39" s="1012" t="s">
        <v>1870</v>
      </c>
      <c r="M39" s="2217">
        <f>'6D - 9% Building'!G55</f>
        <v>16887150.600000001</v>
      </c>
      <c r="N39" s="1477"/>
    </row>
    <row r="40" spans="2:14" ht="3.75" customHeight="1" thickBot="1" x14ac:dyDescent="0.35">
      <c r="B40" s="559"/>
      <c r="C40" s="384"/>
      <c r="D40" s="988"/>
      <c r="E40" s="1013"/>
      <c r="F40" s="196"/>
      <c r="G40" s="722"/>
      <c r="H40" s="2220"/>
      <c r="I40" s="384"/>
      <c r="J40" s="384"/>
      <c r="K40" s="988"/>
      <c r="L40" s="1013"/>
      <c r="M40" s="196"/>
      <c r="N40" s="1477"/>
    </row>
    <row r="41" spans="2:14" ht="15" thickBot="1" x14ac:dyDescent="0.35">
      <c r="B41" s="559"/>
      <c r="C41" s="384"/>
      <c r="D41" s="722"/>
      <c r="E41" s="1012" t="s">
        <v>307</v>
      </c>
      <c r="F41" s="199">
        <f>F37+F39</f>
        <v>51835230.997399993</v>
      </c>
      <c r="G41" s="2124"/>
      <c r="H41" s="2220"/>
      <c r="I41" s="384"/>
      <c r="J41" s="384"/>
      <c r="K41" s="722"/>
      <c r="L41" s="1012" t="s">
        <v>307</v>
      </c>
      <c r="M41" s="199">
        <f>M37+M39</f>
        <v>26047669.600000001</v>
      </c>
      <c r="N41" s="1477"/>
    </row>
    <row r="42" spans="2:14" ht="7.5" customHeight="1" x14ac:dyDescent="0.3">
      <c r="B42" s="559"/>
      <c r="C42" s="2124"/>
      <c r="D42" s="2124"/>
      <c r="E42" s="2125"/>
      <c r="F42" s="577"/>
      <c r="G42" s="2124"/>
      <c r="H42" s="2220"/>
      <c r="I42" s="384"/>
      <c r="J42" s="2124"/>
      <c r="K42" s="2124"/>
      <c r="L42" s="2125"/>
      <c r="M42" s="577"/>
      <c r="N42" s="1477"/>
    </row>
    <row r="43" spans="2:14" ht="15" thickBot="1" x14ac:dyDescent="0.35">
      <c r="B43" s="1476"/>
      <c r="C43" s="2557" t="s">
        <v>308</v>
      </c>
      <c r="D43" s="2557"/>
      <c r="E43" s="2557"/>
      <c r="F43" s="2557"/>
      <c r="G43" s="2124"/>
      <c r="H43" s="2220"/>
      <c r="I43" s="384"/>
      <c r="J43" s="2557" t="s">
        <v>308</v>
      </c>
      <c r="K43" s="2557"/>
      <c r="L43" s="2557"/>
      <c r="M43" s="2557"/>
      <c r="N43" s="1477"/>
    </row>
    <row r="44" spans="2:14" ht="28.2" thickBot="1" x14ac:dyDescent="0.35">
      <c r="B44" s="1476"/>
      <c r="C44" s="1011" t="s">
        <v>631</v>
      </c>
      <c r="D44" s="745" t="s">
        <v>635</v>
      </c>
      <c r="E44" s="2128" t="s">
        <v>292</v>
      </c>
      <c r="F44" s="2119" t="s">
        <v>293</v>
      </c>
      <c r="G44" s="2124"/>
      <c r="H44" s="2220"/>
      <c r="I44" s="384"/>
      <c r="J44" s="1011" t="s">
        <v>631</v>
      </c>
      <c r="K44" s="745" t="s">
        <v>635</v>
      </c>
      <c r="L44" s="2128" t="s">
        <v>292</v>
      </c>
      <c r="M44" s="2119" t="s">
        <v>293</v>
      </c>
      <c r="N44" s="1477"/>
    </row>
    <row r="45" spans="2:14" x14ac:dyDescent="0.3">
      <c r="B45" s="1476"/>
      <c r="C45" s="2229" t="str">
        <f>IF('7A - 4%'!C45="","",'7A - 4%'!C45)</f>
        <v>Seattle Day Care Grants</v>
      </c>
      <c r="D45" s="2230" t="str">
        <f>IF('7A - 4%'!D45="Select…","",'7A - 4%'!D45)</f>
        <v>City</v>
      </c>
      <c r="E45" s="2231">
        <f>'7A - 4%'!E45</f>
        <v>2000000</v>
      </c>
      <c r="F45" s="2224">
        <f>'7A - 4%'!F45</f>
        <v>0</v>
      </c>
      <c r="G45" s="2124"/>
      <c r="H45" s="2220"/>
      <c r="I45" s="384"/>
      <c r="J45" s="2229" t="str">
        <f>IF('7A - 9%'!C45="","",'7A - 9%'!C45)</f>
        <v>Retail Partner Equity</v>
      </c>
      <c r="K45" s="2230" t="str">
        <f>IF('7A - 9%'!D45="Select…","",'7A - 9%'!D45)</f>
        <v>Private</v>
      </c>
      <c r="L45" s="2231">
        <f>'7A - 9%'!E45</f>
        <v>5550000</v>
      </c>
      <c r="M45" s="2224">
        <f>'7A - 9%'!F45</f>
        <v>0</v>
      </c>
      <c r="N45" s="1477"/>
    </row>
    <row r="46" spans="2:14" x14ac:dyDescent="0.3">
      <c r="B46" s="1476"/>
      <c r="C46" s="2236" t="str">
        <f>IF('7A - 4%'!C46="","",'7A - 4%'!C46)</f>
        <v>Day Care - Non Profit Debt</v>
      </c>
      <c r="D46" s="2237" t="str">
        <f>IF('7A - 4%'!D46="","",'7A - 4%'!D46)</f>
        <v>Private</v>
      </c>
      <c r="E46" s="2238">
        <f>'7A - 4%'!E46</f>
        <v>2691058</v>
      </c>
      <c r="F46" s="2239">
        <f>'7A - 4%'!F46</f>
        <v>0</v>
      </c>
      <c r="G46" s="2124"/>
      <c r="H46" s="2220"/>
      <c r="I46" s="384"/>
      <c r="J46" s="2236" t="str">
        <f>IF('7A - 9%'!C46="","",'7A - 9%'!C46)</f>
        <v>Retail Partner Loan</v>
      </c>
      <c r="K46" s="2237" t="str">
        <f>IF('7A - 9%'!D46="","",'7A - 9%'!D46)</f>
        <v>Bank</v>
      </c>
      <c r="L46" s="2238">
        <f>'7A - 9%'!E46</f>
        <v>10472842</v>
      </c>
      <c r="M46" s="2239">
        <f>'7A - 9%'!F46</f>
        <v>0</v>
      </c>
      <c r="N46" s="1477"/>
    </row>
    <row r="47" spans="2:14" x14ac:dyDescent="0.3">
      <c r="B47" s="1476"/>
      <c r="C47" s="2236" t="str">
        <f>IF('7A - 4%'!C47="","",'7A - 4%'!C47)</f>
        <v/>
      </c>
      <c r="D47" s="2237" t="str">
        <f>IF('7A - 4%'!D47="","",'7A - 4%'!D47)</f>
        <v/>
      </c>
      <c r="E47" s="2238">
        <f>'7A - 4%'!E47</f>
        <v>0</v>
      </c>
      <c r="F47" s="2239">
        <f>'7A - 4%'!F47</f>
        <v>0</v>
      </c>
      <c r="G47" s="2124"/>
      <c r="H47" s="2220"/>
      <c r="I47" s="384"/>
      <c r="J47" s="2236" t="str">
        <f>IF('7A - 9%'!C47="","",'7A - 9%'!C47)</f>
        <v/>
      </c>
      <c r="K47" s="2237" t="str">
        <f>IF('7A - 9%'!D47="","",'7A - 9%'!D47)</f>
        <v/>
      </c>
      <c r="L47" s="2238">
        <f>'7A - 9%'!E47</f>
        <v>0</v>
      </c>
      <c r="M47" s="2239">
        <f>'7A - 9%'!F47</f>
        <v>0</v>
      </c>
      <c r="N47" s="1477"/>
    </row>
    <row r="48" spans="2:14" x14ac:dyDescent="0.3">
      <c r="B48" s="1476"/>
      <c r="C48" s="2236" t="str">
        <f>IF('7A - 4%'!C48="","",'7A - 4%'!C48)</f>
        <v/>
      </c>
      <c r="D48" s="2237" t="str">
        <f>IF('7A - 4%'!D48="","",'7A - 4%'!D48)</f>
        <v/>
      </c>
      <c r="E48" s="2238">
        <f>'7A - 4%'!E48</f>
        <v>0</v>
      </c>
      <c r="F48" s="2239">
        <f>'7A - 4%'!F48</f>
        <v>0</v>
      </c>
      <c r="G48" s="2124"/>
      <c r="H48" s="2220"/>
      <c r="I48" s="384"/>
      <c r="J48" s="2236" t="str">
        <f>IF('7A - 9%'!C48="","",'7A - 9%'!C48)</f>
        <v/>
      </c>
      <c r="K48" s="2237" t="str">
        <f>IF('7A - 9%'!D48="","",'7A - 9%'!D48)</f>
        <v/>
      </c>
      <c r="L48" s="2238">
        <f>'7A - 9%'!E48</f>
        <v>0</v>
      </c>
      <c r="M48" s="2239">
        <f>'7A - 9%'!F48</f>
        <v>0</v>
      </c>
      <c r="N48" s="1477"/>
    </row>
    <row r="49" spans="2:14" x14ac:dyDescent="0.3">
      <c r="B49" s="1476"/>
      <c r="C49" s="2236" t="str">
        <f>IF('7A - 4%'!C49="","",'7A - 4%'!C49)</f>
        <v/>
      </c>
      <c r="D49" s="2237" t="str">
        <f>IF('7A - 4%'!D49="","",'7A - 4%'!D49)</f>
        <v/>
      </c>
      <c r="E49" s="2238">
        <f>'7A - 4%'!E49</f>
        <v>0</v>
      </c>
      <c r="F49" s="2239">
        <f>'7A - 4%'!F49</f>
        <v>0</v>
      </c>
      <c r="G49" s="2124"/>
      <c r="H49" s="2220"/>
      <c r="I49" s="384"/>
      <c r="J49" s="2236" t="str">
        <f>IF('7A - 9%'!C49="","",'7A - 9%'!C49)</f>
        <v/>
      </c>
      <c r="K49" s="2237" t="str">
        <f>IF('7A - 9%'!D49="","",'7A - 9%'!D49)</f>
        <v/>
      </c>
      <c r="L49" s="2238">
        <f>'7A - 9%'!E49</f>
        <v>0</v>
      </c>
      <c r="M49" s="2239">
        <f>'7A - 9%'!F49</f>
        <v>0</v>
      </c>
      <c r="N49" s="1477"/>
    </row>
    <row r="50" spans="2:14" x14ac:dyDescent="0.3">
      <c r="B50" s="1476"/>
      <c r="C50" s="2236" t="str">
        <f>IF('7A - 4%'!C50="","",'7A - 4%'!C50)</f>
        <v/>
      </c>
      <c r="D50" s="2237" t="str">
        <f>IF('7A - 4%'!D50="","",'7A - 4%'!D50)</f>
        <v/>
      </c>
      <c r="E50" s="2238">
        <f>'7A - 4%'!E50</f>
        <v>0</v>
      </c>
      <c r="F50" s="2239">
        <f>'7A - 4%'!F50</f>
        <v>0</v>
      </c>
      <c r="G50" s="2124"/>
      <c r="H50" s="2220"/>
      <c r="I50" s="384"/>
      <c r="J50" s="2236" t="str">
        <f>IF('7A - 9%'!C50="","",'7A - 9%'!C50)</f>
        <v/>
      </c>
      <c r="K50" s="2237" t="str">
        <f>IF('7A - 9%'!D50="","",'7A - 9%'!D50)</f>
        <v/>
      </c>
      <c r="L50" s="2238">
        <f>'7A - 9%'!E50</f>
        <v>0</v>
      </c>
      <c r="M50" s="2239">
        <f>'7A - 9%'!F50</f>
        <v>0</v>
      </c>
      <c r="N50" s="1477"/>
    </row>
    <row r="51" spans="2:14" x14ac:dyDescent="0.3">
      <c r="B51" s="1476"/>
      <c r="C51" s="2236" t="str">
        <f>IF('7A - 4%'!C51="","",'7A - 4%'!C51)</f>
        <v/>
      </c>
      <c r="D51" s="2237" t="str">
        <f>IF('7A - 4%'!D51="","",'7A - 4%'!D51)</f>
        <v/>
      </c>
      <c r="E51" s="2238">
        <f>'7A - 4%'!E51</f>
        <v>0</v>
      </c>
      <c r="F51" s="2239">
        <f>'7A - 4%'!F51</f>
        <v>0</v>
      </c>
      <c r="G51" s="2124"/>
      <c r="H51" s="2220"/>
      <c r="I51" s="384"/>
      <c r="J51" s="2236" t="str">
        <f>IF('7A - 9%'!C51="","",'7A - 9%'!C51)</f>
        <v/>
      </c>
      <c r="K51" s="2237" t="str">
        <f>IF('7A - 9%'!D51="","",'7A - 9%'!D51)</f>
        <v/>
      </c>
      <c r="L51" s="2238">
        <f>'7A - 9%'!E51</f>
        <v>0</v>
      </c>
      <c r="M51" s="2239">
        <f>'7A - 9%'!F51</f>
        <v>0</v>
      </c>
      <c r="N51" s="1477"/>
    </row>
    <row r="52" spans="2:14" x14ac:dyDescent="0.3">
      <c r="B52" s="1476"/>
      <c r="C52" s="2233" t="str">
        <f>IF('7A - 4%'!C52="","",'7A - 4%'!C52)</f>
        <v/>
      </c>
      <c r="D52" s="2234" t="str">
        <f>IF('7A - 4%'!D52="","",'7A - 4%'!D52)</f>
        <v/>
      </c>
      <c r="E52" s="2235">
        <f>'7A - 4%'!E52</f>
        <v>0</v>
      </c>
      <c r="F52" s="2228">
        <f>'7A - 4%'!F52</f>
        <v>0</v>
      </c>
      <c r="G52" s="2124"/>
      <c r="H52" s="2220"/>
      <c r="I52" s="384"/>
      <c r="J52" s="2233" t="str">
        <f>IF('7A - 9%'!C52="","",'7A - 9%'!C52)</f>
        <v/>
      </c>
      <c r="K52" s="2234" t="str">
        <f>IF('7A - 9%'!D52="","",'7A - 9%'!D52)</f>
        <v/>
      </c>
      <c r="L52" s="2235">
        <f>'7A - 9%'!E52</f>
        <v>0</v>
      </c>
      <c r="M52" s="2228">
        <f>'7A - 9%'!F52</f>
        <v>0</v>
      </c>
      <c r="N52" s="1477"/>
    </row>
    <row r="53" spans="2:14" ht="15" thickBot="1" x14ac:dyDescent="0.35">
      <c r="B53" s="1476"/>
      <c r="C53" s="1467"/>
      <c r="D53" s="1468"/>
      <c r="E53" s="1469"/>
      <c r="F53" s="2120"/>
      <c r="G53" s="2124"/>
      <c r="H53" s="2220"/>
      <c r="I53" s="384"/>
      <c r="J53" s="1467"/>
      <c r="K53" s="1468"/>
      <c r="L53" s="1469"/>
      <c r="M53" s="2120"/>
      <c r="N53" s="1477"/>
    </row>
    <row r="54" spans="2:14" ht="15" thickBot="1" x14ac:dyDescent="0.35">
      <c r="B54" s="1476"/>
      <c r="C54" s="384"/>
      <c r="D54" s="721" t="s">
        <v>304</v>
      </c>
      <c r="E54" s="578">
        <f>SUM(E45:E53)</f>
        <v>4691058</v>
      </c>
      <c r="F54" s="579">
        <f>SUM(F45:F53)</f>
        <v>0</v>
      </c>
      <c r="G54" s="2124"/>
      <c r="H54" s="2220"/>
      <c r="I54" s="384"/>
      <c r="J54" s="384"/>
      <c r="K54" s="721" t="s">
        <v>304</v>
      </c>
      <c r="L54" s="578">
        <f>SUM(L45:L53)</f>
        <v>16022842</v>
      </c>
      <c r="M54" s="579">
        <f>SUM(M45:M53)</f>
        <v>0</v>
      </c>
      <c r="N54" s="1477"/>
    </row>
    <row r="55" spans="2:14" ht="15" thickBot="1" x14ac:dyDescent="0.35">
      <c r="B55" s="1476"/>
      <c r="C55" s="722"/>
      <c r="D55" s="722"/>
      <c r="E55" s="195"/>
      <c r="F55" s="196"/>
      <c r="G55" s="2124"/>
      <c r="H55" s="2220"/>
      <c r="I55" s="384"/>
      <c r="J55" s="722"/>
      <c r="K55" s="722"/>
      <c r="L55" s="195"/>
      <c r="M55" s="196"/>
      <c r="N55" s="1477"/>
    </row>
    <row r="56" spans="2:14" ht="15" thickBot="1" x14ac:dyDescent="0.35">
      <c r="B56" s="1476"/>
      <c r="C56" s="384"/>
      <c r="D56" s="722"/>
      <c r="E56" s="1012" t="s">
        <v>309</v>
      </c>
      <c r="F56" s="199">
        <f>E54+F54</f>
        <v>4691058</v>
      </c>
      <c r="G56" s="2124"/>
      <c r="H56" s="2220"/>
      <c r="I56" s="384"/>
      <c r="J56" s="384"/>
      <c r="K56" s="722"/>
      <c r="L56" s="1012" t="s">
        <v>309</v>
      </c>
      <c r="M56" s="199">
        <f>L54+M54</f>
        <v>16022842</v>
      </c>
      <c r="N56" s="1477"/>
    </row>
    <row r="57" spans="2:14" x14ac:dyDescent="0.3">
      <c r="B57" s="1476"/>
      <c r="C57" s="384"/>
      <c r="D57" s="384"/>
      <c r="E57" s="384"/>
      <c r="F57" s="384"/>
      <c r="G57" s="384"/>
      <c r="H57" s="2219"/>
      <c r="I57" s="384"/>
      <c r="J57" s="384"/>
      <c r="K57" s="384"/>
      <c r="L57" s="384"/>
      <c r="M57" s="384"/>
      <c r="N57" s="1477"/>
    </row>
    <row r="58" spans="2:14" ht="3" customHeight="1" x14ac:dyDescent="0.3">
      <c r="B58" s="1476"/>
      <c r="C58" s="2219"/>
      <c r="D58" s="2219"/>
      <c r="E58" s="2219"/>
      <c r="F58" s="2219"/>
      <c r="G58" s="2219"/>
      <c r="H58" s="2219"/>
      <c r="I58" s="2219"/>
      <c r="J58" s="2219"/>
      <c r="K58" s="2219"/>
      <c r="L58" s="2219"/>
      <c r="M58" s="2219"/>
      <c r="N58" s="1477"/>
    </row>
    <row r="59" spans="2:14" ht="15" thickBot="1" x14ac:dyDescent="0.35">
      <c r="B59" s="1476"/>
      <c r="C59" s="384"/>
      <c r="D59" s="384"/>
      <c r="E59" s="384"/>
      <c r="F59" s="384"/>
      <c r="G59" s="384"/>
      <c r="H59" s="384"/>
      <c r="I59" s="384"/>
      <c r="J59" s="384"/>
      <c r="K59" s="384"/>
      <c r="L59" s="384"/>
      <c r="M59" s="384"/>
      <c r="N59" s="1477"/>
    </row>
    <row r="60" spans="2:14" ht="16.2" thickBot="1" x14ac:dyDescent="0.35">
      <c r="B60" s="1476"/>
      <c r="C60" s="2751" t="s">
        <v>1854</v>
      </c>
      <c r="D60" s="2752"/>
      <c r="E60" s="2128" t="s">
        <v>292</v>
      </c>
      <c r="F60" s="2128" t="s">
        <v>293</v>
      </c>
      <c r="G60" s="384"/>
      <c r="H60" s="384"/>
      <c r="I60" s="384"/>
      <c r="J60" s="384" t="s">
        <v>1871</v>
      </c>
      <c r="K60" s="384"/>
      <c r="L60" s="384"/>
      <c r="M60" s="384"/>
      <c r="N60" s="1477"/>
    </row>
    <row r="61" spans="2:14" x14ac:dyDescent="0.3">
      <c r="B61" s="1476"/>
      <c r="C61" s="2745" t="s">
        <v>1855</v>
      </c>
      <c r="D61" s="2746"/>
      <c r="E61" s="2240">
        <f>E22+L22</f>
        <v>46022499</v>
      </c>
      <c r="F61" s="2241">
        <f>F22+M22</f>
        <v>0</v>
      </c>
      <c r="G61" s="384"/>
      <c r="H61" s="384"/>
      <c r="I61" s="384"/>
      <c r="J61" s="2757"/>
      <c r="K61" s="2758"/>
      <c r="L61" s="2758"/>
      <c r="M61" s="2759"/>
      <c r="N61" s="1477"/>
    </row>
    <row r="62" spans="2:14" x14ac:dyDescent="0.3">
      <c r="B62" s="1476"/>
      <c r="C62" s="2747" t="s">
        <v>1856</v>
      </c>
      <c r="D62" s="2748"/>
      <c r="E62" s="2242">
        <f>SUM(E63:E65)</f>
        <v>77882900.597399995</v>
      </c>
      <c r="F62" s="2243">
        <f>G41+N41</f>
        <v>0</v>
      </c>
      <c r="G62" s="384"/>
      <c r="H62" s="384"/>
      <c r="I62" s="384"/>
      <c r="J62" s="2760"/>
      <c r="K62" s="2761"/>
      <c r="L62" s="2761"/>
      <c r="M62" s="2762"/>
      <c r="N62" s="1477"/>
    </row>
    <row r="63" spans="2:14" x14ac:dyDescent="0.3">
      <c r="B63" s="1476"/>
      <c r="C63" s="2749" t="s">
        <v>1857</v>
      </c>
      <c r="D63" s="2750"/>
      <c r="E63" s="2244">
        <f>E35+L35</f>
        <v>44933445.989999995</v>
      </c>
      <c r="F63" s="2245">
        <f>F35+M35</f>
        <v>0</v>
      </c>
      <c r="G63" s="384"/>
      <c r="H63" s="384"/>
      <c r="I63" s="384"/>
      <c r="J63" s="2760"/>
      <c r="K63" s="2761"/>
      <c r="L63" s="2761"/>
      <c r="M63" s="2762"/>
      <c r="N63" s="1477"/>
    </row>
    <row r="64" spans="2:14" x14ac:dyDescent="0.3">
      <c r="B64" s="1476"/>
      <c r="C64" s="2749" t="s">
        <v>1867</v>
      </c>
      <c r="D64" s="2750"/>
      <c r="E64" s="2244">
        <f>F39</f>
        <v>16062304.007399999</v>
      </c>
      <c r="F64" s="2246"/>
      <c r="G64" s="384"/>
      <c r="H64" s="384"/>
      <c r="I64" s="384"/>
      <c r="J64" s="2760"/>
      <c r="K64" s="2761"/>
      <c r="L64" s="2761"/>
      <c r="M64" s="2762"/>
      <c r="N64" s="1477"/>
    </row>
    <row r="65" spans="2:14" x14ac:dyDescent="0.3">
      <c r="B65" s="1476"/>
      <c r="C65" s="2749" t="s">
        <v>1868</v>
      </c>
      <c r="D65" s="2750"/>
      <c r="E65" s="2244">
        <f>M39</f>
        <v>16887150.600000001</v>
      </c>
      <c r="F65" s="2246"/>
      <c r="G65" s="384"/>
      <c r="H65" s="384"/>
      <c r="I65" s="384"/>
      <c r="J65" s="2760"/>
      <c r="K65" s="2761"/>
      <c r="L65" s="2761"/>
      <c r="M65" s="2762"/>
      <c r="N65" s="1477"/>
    </row>
    <row r="66" spans="2:14" ht="15" thickBot="1" x14ac:dyDescent="0.35">
      <c r="B66" s="1476"/>
      <c r="C66" s="2755" t="s">
        <v>309</v>
      </c>
      <c r="D66" s="2756"/>
      <c r="E66" s="2247">
        <f>E54+L54</f>
        <v>20713900</v>
      </c>
      <c r="F66" s="2248">
        <f>F54+M54</f>
        <v>0</v>
      </c>
      <c r="G66" s="384"/>
      <c r="H66" s="384"/>
      <c r="I66" s="384"/>
      <c r="J66" s="2760"/>
      <c r="K66" s="2761"/>
      <c r="L66" s="2761"/>
      <c r="M66" s="2762"/>
      <c r="N66" s="1477"/>
    </row>
    <row r="67" spans="2:14" ht="15.6" thickTop="1" thickBot="1" x14ac:dyDescent="0.35">
      <c r="B67" s="1476"/>
      <c r="C67" s="384"/>
      <c r="D67" s="384"/>
      <c r="E67" s="1478" t="s">
        <v>636</v>
      </c>
      <c r="F67" s="2216">
        <f>E62+F62+E66+F66</f>
        <v>98596800.597399995</v>
      </c>
      <c r="G67" s="384"/>
      <c r="H67" s="384"/>
      <c r="I67" s="384"/>
      <c r="J67" s="2763"/>
      <c r="K67" s="2764"/>
      <c r="L67" s="2764"/>
      <c r="M67" s="2765"/>
      <c r="N67" s="1477"/>
    </row>
    <row r="68" spans="2:14" ht="9" customHeight="1" thickTop="1" thickBot="1" x14ac:dyDescent="0.35">
      <c r="B68" s="581"/>
      <c r="C68" s="582"/>
      <c r="D68" s="582"/>
      <c r="E68" s="584"/>
      <c r="F68" s="585"/>
      <c r="G68" s="2249"/>
      <c r="H68" s="2249"/>
      <c r="I68" s="2249"/>
      <c r="J68" s="2249"/>
      <c r="K68" s="2249"/>
      <c r="L68" s="2249"/>
      <c r="M68" s="2249"/>
      <c r="N68" s="587"/>
    </row>
    <row r="70" spans="2:14" x14ac:dyDescent="0.3">
      <c r="C70" s="2476"/>
      <c r="D70" s="2476"/>
      <c r="E70" s="2476"/>
      <c r="F70" s="2476"/>
      <c r="G70" s="2476"/>
      <c r="H70" s="2476"/>
      <c r="I70" s="2476"/>
      <c r="J70" s="2476"/>
      <c r="K70" s="2476"/>
      <c r="L70" s="2476"/>
      <c r="M70" s="2476"/>
    </row>
    <row r="71" spans="2:14" ht="15" hidden="1" thickBot="1" x14ac:dyDescent="0.35">
      <c r="C71" s="2766"/>
      <c r="D71" s="2766"/>
      <c r="E71" s="2766"/>
      <c r="F71" s="2766"/>
      <c r="G71" s="2477"/>
      <c r="H71" s="2478"/>
      <c r="I71" s="2476"/>
      <c r="J71" s="2766"/>
      <c r="K71" s="2766"/>
      <c r="L71" s="2766"/>
      <c r="M71" s="2766"/>
      <c r="N71" s="2458"/>
    </row>
    <row r="72" spans="2:14" ht="15" hidden="1" thickBot="1" x14ac:dyDescent="0.35">
      <c r="C72" s="2479"/>
      <c r="D72" s="2480"/>
      <c r="E72" s="2480"/>
      <c r="F72" s="2481"/>
      <c r="G72" s="2477"/>
      <c r="H72" s="2478"/>
      <c r="I72" s="2476"/>
      <c r="J72" s="2479"/>
      <c r="K72" s="2480"/>
      <c r="L72" s="2480"/>
      <c r="M72" s="2481"/>
      <c r="N72" s="2458"/>
    </row>
    <row r="73" spans="2:14" hidden="1" x14ac:dyDescent="0.3">
      <c r="C73" s="2482"/>
      <c r="D73" s="768"/>
      <c r="E73" s="2483"/>
      <c r="F73" s="2484"/>
      <c r="G73" s="2477"/>
      <c r="H73" s="2478"/>
      <c r="I73" s="2476"/>
      <c r="J73" s="2482"/>
      <c r="K73" s="768"/>
      <c r="L73" s="2483"/>
      <c r="M73" s="2484"/>
      <c r="N73" s="2458"/>
    </row>
    <row r="74" spans="2:14" hidden="1" x14ac:dyDescent="0.3">
      <c r="C74" s="2105"/>
      <c r="D74" s="2106"/>
      <c r="E74" s="2107"/>
      <c r="F74" s="2485"/>
      <c r="G74" s="2477"/>
      <c r="H74" s="2478"/>
      <c r="I74" s="2476"/>
      <c r="J74" s="2105"/>
      <c r="K74" s="2106"/>
      <c r="L74" s="2107"/>
      <c r="M74" s="2485"/>
      <c r="N74" s="2458"/>
    </row>
    <row r="75" spans="2:14" hidden="1" x14ac:dyDescent="0.3">
      <c r="C75" s="2105"/>
      <c r="D75" s="2106"/>
      <c r="E75" s="2107"/>
      <c r="F75" s="2485"/>
      <c r="G75" s="2477"/>
      <c r="H75" s="2478"/>
      <c r="I75" s="2476"/>
      <c r="J75" s="2105"/>
      <c r="K75" s="2106"/>
      <c r="L75" s="2107"/>
      <c r="M75" s="2485"/>
      <c r="N75" s="2458"/>
    </row>
    <row r="76" spans="2:14" hidden="1" x14ac:dyDescent="0.3">
      <c r="C76" s="2105"/>
      <c r="D76" s="2106"/>
      <c r="E76" s="2107"/>
      <c r="F76" s="2485"/>
      <c r="G76" s="2477"/>
      <c r="H76" s="2478"/>
      <c r="I76" s="2476"/>
      <c r="J76" s="2105"/>
      <c r="K76" s="2106"/>
      <c r="L76" s="2107"/>
      <c r="M76" s="2485"/>
      <c r="N76" s="2458"/>
    </row>
    <row r="77" spans="2:14" hidden="1" x14ac:dyDescent="0.3">
      <c r="C77" s="2105"/>
      <c r="D77" s="2106"/>
      <c r="E77" s="2107"/>
      <c r="F77" s="2485"/>
      <c r="G77" s="2477"/>
      <c r="H77" s="2478"/>
      <c r="I77" s="2476"/>
      <c r="J77" s="2105"/>
      <c r="K77" s="2106"/>
      <c r="L77" s="2107"/>
      <c r="M77" s="2485"/>
      <c r="N77" s="2458"/>
    </row>
    <row r="78" spans="2:14" hidden="1" x14ac:dyDescent="0.3">
      <c r="C78" s="2105"/>
      <c r="D78" s="2106"/>
      <c r="E78" s="2107"/>
      <c r="F78" s="2485"/>
      <c r="G78" s="2477"/>
      <c r="H78" s="2478"/>
      <c r="I78" s="2476"/>
      <c r="J78" s="2105"/>
      <c r="K78" s="2106"/>
      <c r="L78" s="2107"/>
      <c r="M78" s="2485"/>
      <c r="N78" s="2458"/>
    </row>
    <row r="79" spans="2:14" hidden="1" x14ac:dyDescent="0.3">
      <c r="C79" s="2105"/>
      <c r="D79" s="2106"/>
      <c r="E79" s="2107"/>
      <c r="F79" s="2485"/>
      <c r="G79" s="2477"/>
      <c r="H79" s="2478"/>
      <c r="I79" s="2476"/>
      <c r="J79" s="2105"/>
      <c r="K79" s="2106"/>
      <c r="L79" s="2107"/>
      <c r="M79" s="2485"/>
      <c r="N79" s="2458"/>
    </row>
    <row r="80" spans="2:14" hidden="1" x14ac:dyDescent="0.3">
      <c r="C80" s="760"/>
      <c r="D80" s="771"/>
      <c r="E80" s="761"/>
      <c r="F80" s="2486"/>
      <c r="G80" s="2477"/>
      <c r="H80" s="2478"/>
      <c r="I80" s="2476"/>
      <c r="J80" s="760"/>
      <c r="K80" s="771"/>
      <c r="L80" s="761"/>
      <c r="M80" s="2486"/>
      <c r="N80" s="2458"/>
    </row>
    <row r="81" spans="3:14" ht="15" hidden="1" thickBot="1" x14ac:dyDescent="0.35">
      <c r="C81" s="2487"/>
      <c r="D81" s="2488"/>
      <c r="E81" s="2489"/>
      <c r="F81" s="2490"/>
      <c r="G81" s="2477"/>
      <c r="H81" s="2478"/>
      <c r="I81" s="2476"/>
      <c r="J81" s="2487"/>
      <c r="K81" s="2488"/>
      <c r="L81" s="2489"/>
      <c r="M81" s="2490"/>
      <c r="N81" s="2458"/>
    </row>
    <row r="82" spans="3:14" ht="15" hidden="1" thickBot="1" x14ac:dyDescent="0.35">
      <c r="C82" s="2476"/>
      <c r="D82" s="2491"/>
      <c r="E82" s="2492"/>
      <c r="F82" s="2493"/>
      <c r="G82" s="2477"/>
      <c r="H82" s="2478"/>
      <c r="I82" s="2476"/>
      <c r="J82" s="2476"/>
      <c r="K82" s="2491"/>
      <c r="L82" s="2492"/>
      <c r="M82" s="2493"/>
      <c r="N82" s="2458"/>
    </row>
    <row r="83" spans="3:14" ht="15" hidden="1" thickBot="1" x14ac:dyDescent="0.35">
      <c r="C83" s="2494"/>
      <c r="D83" s="2494"/>
      <c r="E83" s="2495"/>
      <c r="F83" s="2496"/>
      <c r="G83" s="2477"/>
      <c r="H83" s="2478"/>
      <c r="I83" s="2476"/>
      <c r="J83" s="2494"/>
      <c r="K83" s="2494"/>
      <c r="L83" s="2495"/>
      <c r="M83" s="2496"/>
      <c r="N83" s="2458"/>
    </row>
    <row r="84" spans="3:14" ht="15" hidden="1" thickBot="1" x14ac:dyDescent="0.35">
      <c r="C84" s="2476"/>
      <c r="D84" s="2494"/>
      <c r="E84" s="2497"/>
      <c r="F84" s="2498"/>
      <c r="G84" s="2477"/>
      <c r="H84" s="2478"/>
      <c r="I84" s="2476"/>
      <c r="J84" s="2476"/>
      <c r="K84" s="2494"/>
      <c r="L84" s="2497"/>
      <c r="M84" s="2498"/>
      <c r="N84" s="2458"/>
    </row>
    <row r="85" spans="3:14" hidden="1" x14ac:dyDescent="0.3">
      <c r="C85" s="2476"/>
      <c r="D85" s="2476"/>
      <c r="E85" s="2476"/>
      <c r="F85" s="2476"/>
      <c r="G85" s="2476"/>
      <c r="H85" s="2478"/>
      <c r="I85" s="2476"/>
      <c r="J85" s="2476"/>
      <c r="K85" s="2476"/>
      <c r="L85" s="2476"/>
      <c r="M85" s="2476"/>
      <c r="N85" s="2458"/>
    </row>
    <row r="86" spans="3:14" x14ac:dyDescent="0.3">
      <c r="C86" s="2476"/>
      <c r="D86" s="2476"/>
      <c r="E86" s="2476"/>
      <c r="F86" s="2476"/>
      <c r="G86" s="2476"/>
      <c r="H86" s="2476"/>
      <c r="I86" s="2476"/>
      <c r="J86" s="2476"/>
      <c r="K86" s="2476"/>
      <c r="L86" s="2476"/>
      <c r="M86" s="2476"/>
    </row>
    <row r="87" spans="3:14" x14ac:dyDescent="0.3">
      <c r="C87" s="2476"/>
      <c r="D87" s="2476"/>
      <c r="E87" s="2476"/>
      <c r="F87" s="2476"/>
      <c r="G87" s="2476"/>
      <c r="H87" s="2476"/>
      <c r="I87" s="2476"/>
      <c r="J87" s="2476"/>
      <c r="K87" s="2476"/>
      <c r="L87" s="2476"/>
      <c r="M87" s="2476"/>
    </row>
    <row r="88" spans="3:14" x14ac:dyDescent="0.3">
      <c r="C88" s="2476"/>
      <c r="D88" s="2476"/>
      <c r="E88" s="2476"/>
      <c r="F88" s="2476"/>
      <c r="G88" s="2476"/>
      <c r="H88" s="2476"/>
      <c r="I88" s="2476"/>
      <c r="J88" s="2476"/>
      <c r="K88" s="2476"/>
      <c r="L88" s="2476"/>
      <c r="M88" s="2476"/>
    </row>
    <row r="89" spans="3:14" x14ac:dyDescent="0.3">
      <c r="C89" s="2476"/>
      <c r="D89" s="2476"/>
      <c r="E89" s="2476"/>
      <c r="F89" s="2476"/>
      <c r="G89" s="2476"/>
      <c r="H89" s="2476"/>
      <c r="I89" s="2476"/>
      <c r="J89" s="2476"/>
      <c r="K89" s="2476"/>
      <c r="L89" s="2476"/>
      <c r="M89" s="2476"/>
    </row>
    <row r="90" spans="3:14" x14ac:dyDescent="0.3">
      <c r="C90" s="2476"/>
      <c r="D90" s="2476"/>
      <c r="E90" s="2476"/>
      <c r="F90" s="2476"/>
      <c r="G90" s="2476"/>
      <c r="H90" s="2476"/>
      <c r="I90" s="2476"/>
      <c r="J90" s="2476"/>
      <c r="K90" s="2476"/>
      <c r="L90" s="2476"/>
      <c r="M90" s="2476"/>
    </row>
    <row r="91" spans="3:14" x14ac:dyDescent="0.3">
      <c r="C91" s="2476"/>
      <c r="D91" s="2476"/>
      <c r="E91" s="2476"/>
      <c r="F91" s="2476"/>
      <c r="G91" s="2476"/>
      <c r="H91" s="2476"/>
      <c r="I91" s="2476"/>
      <c r="J91" s="2476"/>
      <c r="K91" s="2476"/>
      <c r="L91" s="2476"/>
      <c r="M91" s="2476"/>
    </row>
    <row r="92" spans="3:14" x14ac:dyDescent="0.3">
      <c r="C92" s="2476"/>
      <c r="D92" s="2476"/>
      <c r="E92" s="2476"/>
      <c r="F92" s="2476"/>
      <c r="G92" s="2476"/>
      <c r="H92" s="2476"/>
      <c r="I92" s="2476"/>
      <c r="J92" s="2476"/>
      <c r="K92" s="2476"/>
      <c r="L92" s="2476"/>
      <c r="M92" s="2476"/>
    </row>
  </sheetData>
  <sheetProtection algorithmName="SHA-512" hashValue="rXUvfZvEbVoNuSCKtFFW5nc1QLn4bM0f8r60XWE3xb2GvjcoDG7ASIi3bMS1d08IqiBrLqlAHLNqFwNDT2PcYw==" saltValue="tQE78HkjCwtFOwBHKYLgDg==" spinCount="100000" sheet="1" formatCells="0" formatColumns="0" formatRows="0" insertRows="0"/>
  <mergeCells count="20">
    <mergeCell ref="C66:D66"/>
    <mergeCell ref="C64:D64"/>
    <mergeCell ref="C65:D65"/>
    <mergeCell ref="J61:M67"/>
    <mergeCell ref="C71:F71"/>
    <mergeCell ref="J71:M71"/>
    <mergeCell ref="C8:M8"/>
    <mergeCell ref="C14:F14"/>
    <mergeCell ref="C61:D61"/>
    <mergeCell ref="C62:D62"/>
    <mergeCell ref="C63:D63"/>
    <mergeCell ref="C43:F43"/>
    <mergeCell ref="J43:M43"/>
    <mergeCell ref="C60:D60"/>
    <mergeCell ref="J16:M16"/>
    <mergeCell ref="J26:M26"/>
    <mergeCell ref="C26:F26"/>
    <mergeCell ref="C10:F10"/>
    <mergeCell ref="C16:F16"/>
    <mergeCell ref="J14:M14"/>
  </mergeCells>
  <pageMargins left="1" right="0.25" top="0.75" bottom="0.75" header="0.3" footer="0.3"/>
  <pageSetup paperSize="17" scale="82" orientation="landscape" r:id="rId1"/>
  <headerFooter>
    <oddFooter>&amp;LForm 7A
Financing Sources&amp;CCFA Forms&amp;REdition: 2017
Version: 1.0</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8:R59"/>
  <sheetViews>
    <sheetView showGridLines="0" topLeftCell="A20" zoomScaleNormal="100" workbookViewId="0">
      <selection activeCell="M31" sqref="M31"/>
    </sheetView>
  </sheetViews>
  <sheetFormatPr defaultColWidth="9.109375" defaultRowHeight="14.4" x14ac:dyDescent="0.3"/>
  <cols>
    <col min="1" max="2" width="1.6640625" style="400" customWidth="1"/>
    <col min="3" max="3" width="24.5546875" style="400" bestFit="1" customWidth="1"/>
    <col min="4" max="4" width="22.33203125" style="400" bestFit="1" customWidth="1"/>
    <col min="5" max="5" width="15.44140625" style="400" bestFit="1" customWidth="1"/>
    <col min="6" max="6" width="17" style="400" bestFit="1" customWidth="1"/>
    <col min="7" max="7" width="9.109375" style="400"/>
    <col min="8" max="8" width="9.44140625" style="400" bestFit="1" customWidth="1"/>
    <col min="9" max="9" width="10.44140625" style="400" bestFit="1" customWidth="1"/>
    <col min="10" max="10" width="6.88671875" style="400" bestFit="1" customWidth="1"/>
    <col min="11" max="11" width="11.33203125" style="400" bestFit="1" customWidth="1"/>
    <col min="12" max="12" width="9" style="400" bestFit="1" customWidth="1"/>
    <col min="13" max="13" width="11.33203125" style="400" bestFit="1" customWidth="1"/>
    <col min="14" max="14" width="9.6640625" style="400" bestFit="1" customWidth="1"/>
    <col min="15" max="15" width="10.109375" style="400" bestFit="1" customWidth="1"/>
    <col min="16" max="16" width="10" style="400" bestFit="1" customWidth="1"/>
    <col min="17" max="17" width="1.6640625" style="400" customWidth="1"/>
    <col min="18" max="16384" width="9.109375" style="400"/>
  </cols>
  <sheetData>
    <row r="8" spans="2:17" ht="9" customHeight="1" thickBot="1" x14ac:dyDescent="0.35"/>
    <row r="9" spans="2:17" ht="9" customHeight="1" x14ac:dyDescent="0.3">
      <c r="B9" s="555"/>
      <c r="C9" s="556"/>
      <c r="D9" s="556"/>
      <c r="E9" s="557"/>
      <c r="F9" s="557"/>
      <c r="G9" s="557"/>
      <c r="H9" s="556"/>
      <c r="I9" s="556"/>
      <c r="J9" s="556"/>
      <c r="K9" s="556"/>
      <c r="L9" s="556"/>
      <c r="M9" s="556"/>
      <c r="N9" s="556"/>
      <c r="O9" s="556"/>
      <c r="P9" s="556"/>
      <c r="Q9" s="558"/>
    </row>
    <row r="10" spans="2:17" ht="18" x14ac:dyDescent="0.35">
      <c r="B10" s="559"/>
      <c r="C10" s="2657" t="s">
        <v>1858</v>
      </c>
      <c r="D10" s="2657"/>
      <c r="E10" s="2657"/>
      <c r="F10" s="2657"/>
      <c r="G10" s="2657"/>
      <c r="H10" s="2657"/>
      <c r="I10" s="2657"/>
      <c r="J10" s="2657"/>
      <c r="K10" s="2657"/>
      <c r="L10" s="2657"/>
      <c r="M10" s="2657"/>
      <c r="N10" s="2657"/>
      <c r="O10" s="2657"/>
      <c r="P10" s="2657"/>
      <c r="Q10" s="560"/>
    </row>
    <row r="11" spans="2:17" x14ac:dyDescent="0.3">
      <c r="B11" s="559"/>
      <c r="C11" s="2018"/>
      <c r="D11" s="2018"/>
      <c r="E11" s="2019"/>
      <c r="F11" s="2019"/>
      <c r="G11" s="2019"/>
      <c r="H11" s="2018"/>
      <c r="I11" s="2018"/>
      <c r="J11" s="2018"/>
      <c r="K11" s="2018"/>
      <c r="L11" s="2018"/>
      <c r="M11" s="2018"/>
      <c r="N11" s="2018"/>
      <c r="O11" s="2018"/>
      <c r="P11" s="2018"/>
      <c r="Q11" s="560"/>
    </row>
    <row r="12" spans="2:17" ht="15" thickBot="1" x14ac:dyDescent="0.35">
      <c r="B12" s="559"/>
      <c r="C12" s="2557" t="str">
        <f>IF('1'!G5="","Enter Project Name on Form 1",(CONCATENATE("Project Name: ",'1'!G5)))</f>
        <v>Project Name: 6600 Roosevelt Way NE</v>
      </c>
      <c r="D12" s="2646"/>
      <c r="E12" s="2557"/>
      <c r="F12" s="2557"/>
      <c r="G12" s="2557"/>
      <c r="H12" s="2557"/>
      <c r="I12" s="2557"/>
      <c r="J12" s="2557"/>
      <c r="K12" s="2774"/>
      <c r="L12" s="2557"/>
      <c r="M12" s="2557"/>
      <c r="N12" s="2018"/>
      <c r="O12" s="2018"/>
      <c r="P12" s="2018"/>
      <c r="Q12" s="560"/>
    </row>
    <row r="13" spans="2:17" ht="7.5" customHeight="1" x14ac:dyDescent="0.3">
      <c r="B13" s="559"/>
      <c r="C13" s="2116"/>
      <c r="D13" s="2116"/>
      <c r="E13" s="2116"/>
      <c r="F13" s="2116"/>
      <c r="G13" s="2116"/>
      <c r="H13" s="2116"/>
      <c r="I13" s="2116"/>
      <c r="J13" s="2116"/>
      <c r="K13" s="2116"/>
      <c r="L13" s="2116"/>
      <c r="M13" s="2116"/>
      <c r="N13" s="2124"/>
      <c r="O13" s="2124"/>
      <c r="P13" s="2124"/>
      <c r="Q13" s="560"/>
    </row>
    <row r="14" spans="2:17" ht="15" thickBot="1" x14ac:dyDescent="0.35">
      <c r="B14" s="559"/>
      <c r="C14" s="2557" t="str">
        <f>IF('1'!G29="","Enter Site Name/ID Number on Form 1",(CONCATENATE("Subtotals: ",'1'!G29)))</f>
        <v>Subtotals: Site A - 4% Building</v>
      </c>
      <c r="D14" s="2646"/>
      <c r="E14" s="2557"/>
      <c r="F14" s="2557"/>
      <c r="G14" s="2557"/>
      <c r="H14" s="2557"/>
      <c r="I14" s="2557"/>
      <c r="J14" s="2557"/>
      <c r="K14" s="2774"/>
      <c r="L14" s="2557"/>
      <c r="M14" s="2557"/>
      <c r="N14" s="2124"/>
      <c r="O14" s="2124"/>
      <c r="P14" s="2124"/>
      <c r="Q14" s="560"/>
    </row>
    <row r="15" spans="2:17" ht="7.5" customHeight="1" x14ac:dyDescent="0.3">
      <c r="B15" s="559"/>
      <c r="C15" s="2018"/>
      <c r="D15" s="2018"/>
      <c r="E15" s="2019"/>
      <c r="F15" s="2019"/>
      <c r="G15" s="2019"/>
      <c r="H15" s="2018"/>
      <c r="I15" s="2018"/>
      <c r="J15" s="2018"/>
      <c r="K15" s="2018"/>
      <c r="L15" s="2018"/>
      <c r="M15" s="2018"/>
      <c r="N15" s="2018"/>
      <c r="O15" s="2018"/>
      <c r="P15" s="2018"/>
      <c r="Q15" s="560"/>
    </row>
    <row r="16" spans="2:17" ht="15" thickBot="1" x14ac:dyDescent="0.35">
      <c r="B16" s="559"/>
      <c r="C16" s="2753" t="s">
        <v>290</v>
      </c>
      <c r="D16" s="2754"/>
      <c r="E16" s="2753"/>
      <c r="F16" s="2753"/>
      <c r="G16" s="2753"/>
      <c r="H16" s="2753"/>
      <c r="I16" s="2753"/>
      <c r="J16" s="2753"/>
      <c r="K16" s="2775"/>
      <c r="L16" s="2753"/>
      <c r="M16" s="2753"/>
      <c r="N16" s="2018"/>
      <c r="O16" s="493"/>
      <c r="P16" s="493"/>
      <c r="Q16" s="561"/>
    </row>
    <row r="17" spans="2:18" ht="28.2" thickBot="1" x14ac:dyDescent="0.35">
      <c r="B17" s="562"/>
      <c r="C17" s="1011" t="s">
        <v>633</v>
      </c>
      <c r="D17" s="745" t="s">
        <v>634</v>
      </c>
      <c r="E17" s="563" t="s">
        <v>292</v>
      </c>
      <c r="F17" s="2023" t="s">
        <v>293</v>
      </c>
      <c r="G17" s="564" t="s">
        <v>294</v>
      </c>
      <c r="H17" s="564" t="s">
        <v>504</v>
      </c>
      <c r="I17" s="565" t="s">
        <v>295</v>
      </c>
      <c r="J17" s="2776" t="s">
        <v>296</v>
      </c>
      <c r="K17" s="2777"/>
      <c r="L17" s="2777"/>
      <c r="M17" s="2778"/>
      <c r="N17" s="2018"/>
      <c r="O17" s="566"/>
      <c r="P17" s="566"/>
      <c r="Q17" s="567"/>
    </row>
    <row r="18" spans="2:18" ht="27.6" x14ac:dyDescent="0.3">
      <c r="B18" s="559"/>
      <c r="C18" s="2425" t="s">
        <v>2118</v>
      </c>
      <c r="D18" s="1009" t="s">
        <v>618</v>
      </c>
      <c r="E18" s="746">
        <v>1435804</v>
      </c>
      <c r="F18" s="747">
        <v>0</v>
      </c>
      <c r="G18" s="2436">
        <v>0.04</v>
      </c>
      <c r="H18" s="748"/>
      <c r="I18" s="749" t="s">
        <v>1889</v>
      </c>
      <c r="J18" s="2779" t="s">
        <v>2121</v>
      </c>
      <c r="K18" s="2780"/>
      <c r="L18" s="2780"/>
      <c r="M18" s="2781"/>
      <c r="N18" s="2018"/>
      <c r="O18" s="2018"/>
      <c r="P18" s="2018"/>
      <c r="Q18" s="560"/>
    </row>
    <row r="19" spans="2:18" x14ac:dyDescent="0.3">
      <c r="B19" s="559"/>
      <c r="C19" s="750" t="s">
        <v>2120</v>
      </c>
      <c r="D19" s="1010" t="s">
        <v>619</v>
      </c>
      <c r="E19" s="751">
        <v>14250000</v>
      </c>
      <c r="F19" s="752">
        <v>0</v>
      </c>
      <c r="G19" s="2438">
        <v>0.04</v>
      </c>
      <c r="H19" s="753" t="s">
        <v>2122</v>
      </c>
      <c r="I19" s="754" t="s">
        <v>1889</v>
      </c>
      <c r="J19" s="2767" t="s">
        <v>2124</v>
      </c>
      <c r="K19" s="2768"/>
      <c r="L19" s="2768"/>
      <c r="M19" s="2769"/>
      <c r="N19" s="2018"/>
      <c r="O19" s="2018"/>
      <c r="P19" s="2018"/>
      <c r="Q19" s="560"/>
    </row>
    <row r="20" spans="2:18" x14ac:dyDescent="0.3">
      <c r="B20" s="559"/>
      <c r="C20" s="750" t="s">
        <v>2149</v>
      </c>
      <c r="D20" s="1010" t="s">
        <v>619</v>
      </c>
      <c r="E20" s="751">
        <v>2600000</v>
      </c>
      <c r="F20" s="752">
        <v>0</v>
      </c>
      <c r="G20" s="2437">
        <v>0.04</v>
      </c>
      <c r="H20" s="753" t="s">
        <v>2122</v>
      </c>
      <c r="I20" s="754" t="s">
        <v>1889</v>
      </c>
      <c r="J20" s="2767" t="s">
        <v>2154</v>
      </c>
      <c r="K20" s="2768"/>
      <c r="L20" s="2768"/>
      <c r="M20" s="2769"/>
      <c r="N20" s="2018"/>
      <c r="O20" s="2018"/>
      <c r="P20" s="2018"/>
      <c r="Q20" s="560"/>
    </row>
    <row r="21" spans="2:18" ht="7.5" customHeight="1" thickBot="1" x14ac:dyDescent="0.35">
      <c r="B21" s="559"/>
      <c r="C21" s="1460"/>
      <c r="D21" s="1461"/>
      <c r="E21" s="1462"/>
      <c r="F21" s="1463"/>
      <c r="G21" s="1464"/>
      <c r="H21" s="1465"/>
      <c r="I21" s="1466"/>
      <c r="J21" s="2770"/>
      <c r="K21" s="2771"/>
      <c r="L21" s="2772"/>
      <c r="M21" s="2773"/>
      <c r="N21" s="2018"/>
      <c r="O21" s="2018"/>
      <c r="P21" s="2018"/>
      <c r="Q21" s="560"/>
    </row>
    <row r="22" spans="2:18" ht="15" thickBot="1" x14ac:dyDescent="0.35">
      <c r="B22" s="559"/>
      <c r="C22" s="384"/>
      <c r="D22" s="721" t="s">
        <v>297</v>
      </c>
      <c r="E22" s="568">
        <f>SUM(E18:E21)</f>
        <v>18285804</v>
      </c>
      <c r="F22" s="569">
        <f>SUM(F18:F21)</f>
        <v>0</v>
      </c>
      <c r="G22" s="193"/>
      <c r="H22" s="2018"/>
      <c r="I22" s="2018"/>
      <c r="J22" s="2018"/>
      <c r="K22" s="2018"/>
      <c r="L22" s="2018"/>
      <c r="M22" s="2018"/>
      <c r="N22" s="2018"/>
      <c r="O22" s="2018"/>
      <c r="P22" s="2018"/>
      <c r="Q22" s="560"/>
    </row>
    <row r="23" spans="2:18" ht="3.75" customHeight="1" thickBot="1" x14ac:dyDescent="0.35">
      <c r="B23" s="559"/>
      <c r="C23" s="194"/>
      <c r="D23" s="194"/>
      <c r="E23" s="195"/>
      <c r="F23" s="195"/>
      <c r="G23" s="193"/>
      <c r="H23" s="2018"/>
      <c r="I23" s="2018"/>
      <c r="J23" s="2018"/>
      <c r="K23" s="2018"/>
      <c r="L23" s="2018"/>
      <c r="M23" s="2018"/>
      <c r="N23" s="2018"/>
      <c r="O23" s="2018"/>
      <c r="P23" s="2018"/>
      <c r="Q23" s="560"/>
    </row>
    <row r="24" spans="2:18" ht="15" thickBot="1" x14ac:dyDescent="0.35">
      <c r="B24" s="559"/>
      <c r="C24" s="571" t="s">
        <v>298</v>
      </c>
      <c r="D24" s="571"/>
      <c r="E24" s="384"/>
      <c r="F24" s="199">
        <f>E22+F22</f>
        <v>18285804</v>
      </c>
      <c r="G24" s="2019"/>
      <c r="H24" s="2018"/>
      <c r="I24" s="2018"/>
      <c r="J24" s="2018"/>
      <c r="K24" s="2018"/>
      <c r="L24" s="2018"/>
      <c r="M24" s="2018"/>
      <c r="N24" s="2018"/>
      <c r="O24" s="2018"/>
      <c r="P24" s="2018"/>
      <c r="Q24" s="560"/>
    </row>
    <row r="25" spans="2:18" ht="7.5" customHeight="1" x14ac:dyDescent="0.3">
      <c r="B25" s="559"/>
      <c r="C25" s="2018"/>
      <c r="D25" s="2018"/>
      <c r="E25" s="2019"/>
      <c r="F25" s="2019"/>
      <c r="G25" s="2019"/>
      <c r="H25" s="2018"/>
      <c r="I25" s="2018"/>
      <c r="J25" s="2018"/>
      <c r="K25" s="2018"/>
      <c r="L25" s="2018"/>
      <c r="M25" s="2018"/>
      <c r="N25" s="2018"/>
      <c r="O25" s="2018"/>
      <c r="P25" s="2018"/>
      <c r="Q25" s="560"/>
    </row>
    <row r="26" spans="2:18" ht="15" thickBot="1" x14ac:dyDescent="0.35">
      <c r="B26" s="559"/>
      <c r="C26" s="2557" t="s">
        <v>299</v>
      </c>
      <c r="D26" s="2646"/>
      <c r="E26" s="2557"/>
      <c r="F26" s="2557"/>
      <c r="G26" s="2557"/>
      <c r="H26" s="2557"/>
      <c r="I26" s="2557"/>
      <c r="J26" s="2557"/>
      <c r="K26" s="2774"/>
      <c r="L26" s="2557"/>
      <c r="M26" s="2557"/>
      <c r="N26" s="2557"/>
      <c r="O26" s="2557"/>
      <c r="P26" s="2557"/>
      <c r="Q26" s="561"/>
    </row>
    <row r="27" spans="2:18" ht="28.2" thickBot="1" x14ac:dyDescent="0.35">
      <c r="B27" s="562"/>
      <c r="C27" s="1011" t="s">
        <v>630</v>
      </c>
      <c r="D27" s="745" t="s">
        <v>632</v>
      </c>
      <c r="E27" s="2023" t="s">
        <v>292</v>
      </c>
      <c r="F27" s="2023" t="s">
        <v>293</v>
      </c>
      <c r="G27" s="2023" t="s">
        <v>300</v>
      </c>
      <c r="H27" s="565" t="s">
        <v>301</v>
      </c>
      <c r="I27" s="565" t="s">
        <v>302</v>
      </c>
      <c r="J27" s="2023" t="s">
        <v>543</v>
      </c>
      <c r="K27" s="745" t="s">
        <v>1502</v>
      </c>
      <c r="L27" s="745" t="s">
        <v>1501</v>
      </c>
      <c r="M27" s="564" t="s">
        <v>294</v>
      </c>
      <c r="N27" s="564" t="s">
        <v>1503</v>
      </c>
      <c r="O27" s="565" t="s">
        <v>295</v>
      </c>
      <c r="P27" s="2024" t="s">
        <v>503</v>
      </c>
      <c r="Q27" s="567"/>
    </row>
    <row r="28" spans="2:18" x14ac:dyDescent="0.3">
      <c r="B28" s="559"/>
      <c r="C28" s="755" t="s">
        <v>1950</v>
      </c>
      <c r="D28" s="768" t="s">
        <v>616</v>
      </c>
      <c r="E28" s="756">
        <v>12660000</v>
      </c>
      <c r="F28" s="747">
        <v>0</v>
      </c>
      <c r="G28" s="757" t="s">
        <v>560</v>
      </c>
      <c r="H28" s="1959">
        <v>42992</v>
      </c>
      <c r="I28" s="1198">
        <v>43074</v>
      </c>
      <c r="J28" s="1615" t="s">
        <v>542</v>
      </c>
      <c r="K28" s="1619" t="s">
        <v>1496</v>
      </c>
      <c r="L28" s="758" t="s">
        <v>1506</v>
      </c>
      <c r="M28" s="2336">
        <v>0.01</v>
      </c>
      <c r="N28" s="2025" t="s">
        <v>1951</v>
      </c>
      <c r="O28" s="2025" t="s">
        <v>1889</v>
      </c>
      <c r="P28" s="759"/>
      <c r="Q28" s="560"/>
      <c r="R28" s="554"/>
    </row>
    <row r="29" spans="2:18" x14ac:dyDescent="0.3">
      <c r="B29" s="559"/>
      <c r="C29" s="760" t="s">
        <v>1901</v>
      </c>
      <c r="D29" s="771" t="s">
        <v>617</v>
      </c>
      <c r="E29" s="761">
        <v>3750000</v>
      </c>
      <c r="F29" s="752">
        <v>0</v>
      </c>
      <c r="G29" s="762" t="s">
        <v>560</v>
      </c>
      <c r="H29" s="2334">
        <v>43344</v>
      </c>
      <c r="I29" s="2335">
        <v>43435</v>
      </c>
      <c r="J29" s="1616" t="s">
        <v>542</v>
      </c>
      <c r="K29" s="1620" t="s">
        <v>1496</v>
      </c>
      <c r="L29" s="764" t="s">
        <v>1506</v>
      </c>
      <c r="M29" s="2337">
        <v>0.01</v>
      </c>
      <c r="N29" s="2020" t="s">
        <v>1951</v>
      </c>
      <c r="O29" s="2020" t="s">
        <v>1889</v>
      </c>
      <c r="P29" s="765"/>
      <c r="Q29" s="560"/>
    </row>
    <row r="30" spans="2:18" x14ac:dyDescent="0.3">
      <c r="B30" s="559"/>
      <c r="C30" s="760" t="s">
        <v>1952</v>
      </c>
      <c r="D30" s="771" t="s">
        <v>618</v>
      </c>
      <c r="E30" s="761">
        <v>1651371.99</v>
      </c>
      <c r="F30" s="752">
        <v>0</v>
      </c>
      <c r="G30" s="762" t="s">
        <v>561</v>
      </c>
      <c r="H30" s="2334">
        <v>44197</v>
      </c>
      <c r="I30" s="2335">
        <v>44197</v>
      </c>
      <c r="J30" s="1616" t="s">
        <v>542</v>
      </c>
      <c r="K30" s="1620" t="s">
        <v>1496</v>
      </c>
      <c r="L30" s="764" t="s">
        <v>1506</v>
      </c>
      <c r="M30" s="2337">
        <v>0.02</v>
      </c>
      <c r="N30" s="2020" t="s">
        <v>1889</v>
      </c>
      <c r="O30" s="2020" t="s">
        <v>1889</v>
      </c>
      <c r="P30" s="765" t="s">
        <v>648</v>
      </c>
      <c r="Q30" s="560"/>
    </row>
    <row r="31" spans="2:18" x14ac:dyDescent="0.3">
      <c r="B31" s="559"/>
      <c r="C31" s="760" t="s">
        <v>1955</v>
      </c>
      <c r="D31" s="771" t="s">
        <v>561</v>
      </c>
      <c r="E31" s="761">
        <v>15611555</v>
      </c>
      <c r="F31" s="752">
        <v>0</v>
      </c>
      <c r="G31" s="762" t="s">
        <v>561</v>
      </c>
      <c r="H31" s="1960">
        <v>43617</v>
      </c>
      <c r="I31" s="2335">
        <v>43709</v>
      </c>
      <c r="J31" s="1616" t="s">
        <v>542</v>
      </c>
      <c r="K31" s="1620" t="s">
        <v>1958</v>
      </c>
      <c r="L31" s="764" t="s">
        <v>1505</v>
      </c>
      <c r="M31" s="2337">
        <v>4.9500000000000002E-2</v>
      </c>
      <c r="N31" s="2020" t="s">
        <v>1957</v>
      </c>
      <c r="O31" s="2020" t="s">
        <v>1956</v>
      </c>
      <c r="P31" s="765" t="s">
        <v>648</v>
      </c>
      <c r="Q31" s="560"/>
    </row>
    <row r="32" spans="2:18" x14ac:dyDescent="0.3">
      <c r="B32" s="559"/>
      <c r="C32" s="760" t="s">
        <v>2045</v>
      </c>
      <c r="D32" s="771" t="s">
        <v>637</v>
      </c>
      <c r="E32" s="761">
        <v>2100000</v>
      </c>
      <c r="F32" s="752">
        <v>0</v>
      </c>
      <c r="G32" s="762" t="s">
        <v>561</v>
      </c>
      <c r="H32" s="2334">
        <v>44197</v>
      </c>
      <c r="I32" s="2335">
        <v>44197</v>
      </c>
      <c r="J32" s="1616" t="s">
        <v>542</v>
      </c>
      <c r="K32" s="1620" t="s">
        <v>1496</v>
      </c>
      <c r="L32" s="764" t="s">
        <v>1506</v>
      </c>
      <c r="M32" s="1206">
        <v>2</v>
      </c>
      <c r="N32" s="2020" t="s">
        <v>2155</v>
      </c>
      <c r="O32" s="2020" t="s">
        <v>2156</v>
      </c>
      <c r="P32" s="765"/>
      <c r="Q32" s="560"/>
    </row>
    <row r="33" spans="2:17" x14ac:dyDescent="0.3">
      <c r="B33" s="559"/>
      <c r="C33" s="760"/>
      <c r="D33" s="771"/>
      <c r="E33" s="761">
        <v>0</v>
      </c>
      <c r="F33" s="752">
        <v>0</v>
      </c>
      <c r="G33" s="762"/>
      <c r="H33" s="1960"/>
      <c r="I33" s="1961"/>
      <c r="J33" s="1616"/>
      <c r="K33" s="1620"/>
      <c r="L33" s="764"/>
      <c r="M33" s="1206"/>
      <c r="N33" s="2020"/>
      <c r="O33" s="2020"/>
      <c r="P33" s="765"/>
      <c r="Q33" s="560"/>
    </row>
    <row r="34" spans="2:17" ht="7.5" customHeight="1" thickBot="1" x14ac:dyDescent="0.35">
      <c r="B34" s="559"/>
      <c r="C34" s="1467"/>
      <c r="D34" s="1468"/>
      <c r="E34" s="1469"/>
      <c r="F34" s="1463"/>
      <c r="G34" s="1470"/>
      <c r="H34" s="2021"/>
      <c r="I34" s="1471"/>
      <c r="J34" s="1617"/>
      <c r="K34" s="1621"/>
      <c r="L34" s="2022"/>
      <c r="M34" s="1472"/>
      <c r="N34" s="2021"/>
      <c r="O34" s="2021"/>
      <c r="P34" s="1473"/>
      <c r="Q34" s="560"/>
    </row>
    <row r="35" spans="2:17" ht="15" thickBot="1" x14ac:dyDescent="0.35">
      <c r="B35" s="559"/>
      <c r="C35" s="384"/>
      <c r="D35" s="721" t="s">
        <v>304</v>
      </c>
      <c r="E35" s="197">
        <f>SUM(E28:E34)</f>
        <v>35772926.989999995</v>
      </c>
      <c r="F35" s="198">
        <f>SUM(F28:F34)</f>
        <v>0</v>
      </c>
      <c r="G35" s="572"/>
      <c r="H35" s="573"/>
      <c r="I35" s="722"/>
      <c r="J35" s="2018"/>
      <c r="K35" s="2018"/>
      <c r="L35" s="2018"/>
      <c r="M35" s="2018"/>
      <c r="N35" s="2018"/>
      <c r="O35" s="722"/>
      <c r="P35" s="722"/>
      <c r="Q35" s="574"/>
    </row>
    <row r="36" spans="2:17" ht="3.75" customHeight="1" thickBot="1" x14ac:dyDescent="0.35">
      <c r="B36" s="559"/>
      <c r="C36" s="194"/>
      <c r="D36" s="194"/>
      <c r="E36" s="195"/>
      <c r="F36" s="195"/>
      <c r="G36" s="193"/>
      <c r="H36" s="575"/>
      <c r="I36" s="722"/>
      <c r="J36" s="2018"/>
      <c r="K36" s="2018"/>
      <c r="L36" s="2018"/>
      <c r="M36" s="2018"/>
      <c r="N36" s="2018"/>
      <c r="O36" s="722"/>
      <c r="P36" s="722"/>
      <c r="Q36" s="574"/>
    </row>
    <row r="37" spans="2:17" ht="15" thickBot="1" x14ac:dyDescent="0.35">
      <c r="B37" s="559"/>
      <c r="C37" s="384"/>
      <c r="D37" s="722"/>
      <c r="E37" s="1012" t="s">
        <v>305</v>
      </c>
      <c r="F37" s="199">
        <f>E35+F35</f>
        <v>35772926.989999995</v>
      </c>
      <c r="G37" s="193"/>
      <c r="H37" s="575"/>
      <c r="I37" s="722"/>
      <c r="J37" s="2018"/>
      <c r="K37" s="2018"/>
      <c r="L37" s="2018"/>
      <c r="M37" s="2018"/>
      <c r="N37" s="2018"/>
      <c r="O37" s="722"/>
      <c r="P37" s="722"/>
      <c r="Q37" s="574"/>
    </row>
    <row r="38" spans="2:17" ht="3.75" customHeight="1" thickBot="1" x14ac:dyDescent="0.35">
      <c r="B38" s="559"/>
      <c r="C38" s="384"/>
      <c r="D38" s="988"/>
      <c r="E38" s="1013"/>
      <c r="F38" s="196"/>
      <c r="G38" s="193"/>
      <c r="H38" s="575"/>
      <c r="I38" s="722"/>
      <c r="J38" s="2018"/>
      <c r="K38" s="2018"/>
      <c r="L38" s="2018"/>
      <c r="M38" s="2018"/>
      <c r="N38" s="2018"/>
      <c r="O38" s="722"/>
      <c r="P38" s="722"/>
      <c r="Q38" s="574"/>
    </row>
    <row r="39" spans="2:17" ht="15" thickBot="1" x14ac:dyDescent="0.35">
      <c r="B39" s="559"/>
      <c r="C39" s="384"/>
      <c r="D39" s="722"/>
      <c r="E39" s="1012" t="s">
        <v>666</v>
      </c>
      <c r="F39" s="199">
        <f>'6D - 4% Building'!G55</f>
        <v>16062304.007399999</v>
      </c>
      <c r="G39" s="576"/>
      <c r="H39" s="575"/>
      <c r="I39" s="722"/>
      <c r="J39" s="2018"/>
      <c r="K39" s="2018"/>
      <c r="L39" s="2018"/>
      <c r="M39" s="2018"/>
      <c r="N39" s="2018"/>
      <c r="O39" s="722"/>
      <c r="P39" s="722"/>
      <c r="Q39" s="574"/>
    </row>
    <row r="40" spans="2:17" ht="3.75" customHeight="1" thickBot="1" x14ac:dyDescent="0.35">
      <c r="B40" s="559"/>
      <c r="C40" s="384"/>
      <c r="D40" s="988"/>
      <c r="E40" s="1013"/>
      <c r="F40" s="196"/>
      <c r="G40" s="193"/>
      <c r="H40" s="575"/>
      <c r="I40" s="722"/>
      <c r="J40" s="2018"/>
      <c r="K40" s="2018"/>
      <c r="L40" s="2018"/>
      <c r="M40" s="2018"/>
      <c r="N40" s="2018"/>
      <c r="O40" s="722"/>
      <c r="P40" s="722"/>
      <c r="Q40" s="574"/>
    </row>
    <row r="41" spans="2:17" ht="15" thickBot="1" x14ac:dyDescent="0.35">
      <c r="B41" s="559"/>
      <c r="C41" s="384"/>
      <c r="D41" s="722"/>
      <c r="E41" s="1012" t="s">
        <v>307</v>
      </c>
      <c r="F41" s="199">
        <f>F37+F39</f>
        <v>51835230.997399993</v>
      </c>
      <c r="G41" s="2019"/>
      <c r="H41" s="575"/>
      <c r="I41" s="722"/>
      <c r="J41" s="722"/>
      <c r="K41" s="722"/>
      <c r="L41" s="722"/>
      <c r="M41" s="722"/>
      <c r="N41" s="722"/>
      <c r="O41" s="722"/>
      <c r="P41" s="2018"/>
      <c r="Q41" s="560"/>
    </row>
    <row r="42" spans="2:17" ht="7.5" customHeight="1" x14ac:dyDescent="0.3">
      <c r="B42" s="559"/>
      <c r="C42" s="2018"/>
      <c r="D42" s="2018"/>
      <c r="E42" s="2019"/>
      <c r="F42" s="577"/>
      <c r="G42" s="2019"/>
      <c r="H42" s="2018"/>
      <c r="I42" s="2018"/>
      <c r="J42" s="2018"/>
      <c r="K42" s="2018"/>
      <c r="L42" s="2018"/>
      <c r="M42" s="2018"/>
      <c r="N42" s="2018"/>
      <c r="O42" s="2018"/>
      <c r="P42" s="2018"/>
      <c r="Q42" s="560"/>
    </row>
    <row r="43" spans="2:17" ht="15" thickBot="1" x14ac:dyDescent="0.35">
      <c r="B43" s="559"/>
      <c r="C43" s="2557" t="s">
        <v>308</v>
      </c>
      <c r="D43" s="2557"/>
      <c r="E43" s="2557"/>
      <c r="F43" s="2557"/>
      <c r="G43" s="2557"/>
      <c r="H43" s="2557"/>
      <c r="I43" s="2557"/>
      <c r="J43" s="2557"/>
      <c r="K43" s="2557"/>
      <c r="L43" s="2557"/>
      <c r="M43" s="2557"/>
      <c r="N43" s="2557"/>
      <c r="O43" s="2557"/>
      <c r="P43" s="2557"/>
      <c r="Q43" s="560"/>
    </row>
    <row r="44" spans="2:17" ht="28.2" thickBot="1" x14ac:dyDescent="0.35">
      <c r="B44" s="559"/>
      <c r="C44" s="1011" t="s">
        <v>631</v>
      </c>
      <c r="D44" s="745" t="s">
        <v>635</v>
      </c>
      <c r="E44" s="2102" t="s">
        <v>292</v>
      </c>
      <c r="F44" s="2102" t="s">
        <v>293</v>
      </c>
      <c r="G44" s="2102" t="s">
        <v>300</v>
      </c>
      <c r="H44" s="565" t="s">
        <v>301</v>
      </c>
      <c r="I44" s="565" t="s">
        <v>302</v>
      </c>
      <c r="J44" s="2102" t="s">
        <v>543</v>
      </c>
      <c r="K44" s="745" t="s">
        <v>1502</v>
      </c>
      <c r="L44" s="745" t="s">
        <v>1501</v>
      </c>
      <c r="M44" s="564" t="s">
        <v>294</v>
      </c>
      <c r="N44" s="564" t="s">
        <v>303</v>
      </c>
      <c r="O44" s="565" t="s">
        <v>295</v>
      </c>
      <c r="P44" s="2103" t="s">
        <v>503</v>
      </c>
      <c r="Q44" s="560"/>
    </row>
    <row r="45" spans="2:17" x14ac:dyDescent="0.3">
      <c r="B45" s="559"/>
      <c r="C45" s="755" t="s">
        <v>1953</v>
      </c>
      <c r="D45" s="768" t="s">
        <v>616</v>
      </c>
      <c r="E45" s="756">
        <v>2000000</v>
      </c>
      <c r="F45" s="747"/>
      <c r="G45" s="757" t="s">
        <v>560</v>
      </c>
      <c r="H45" s="2347">
        <v>43525</v>
      </c>
      <c r="I45" s="2348">
        <v>43617</v>
      </c>
      <c r="J45" s="1615" t="s">
        <v>527</v>
      </c>
      <c r="K45" s="1622"/>
      <c r="L45" s="1624" t="s">
        <v>533</v>
      </c>
      <c r="M45" s="767" t="s">
        <v>1889</v>
      </c>
      <c r="N45" s="766"/>
      <c r="O45" s="766" t="s">
        <v>1889</v>
      </c>
      <c r="P45" s="768" t="s">
        <v>1889</v>
      </c>
      <c r="Q45" s="560"/>
    </row>
    <row r="46" spans="2:17" x14ac:dyDescent="0.3">
      <c r="B46" s="559"/>
      <c r="C46" s="2105" t="s">
        <v>1954</v>
      </c>
      <c r="D46" s="2106" t="s">
        <v>561</v>
      </c>
      <c r="E46" s="2107">
        <v>2691058</v>
      </c>
      <c r="F46" s="2108"/>
      <c r="G46" s="2109" t="s">
        <v>561</v>
      </c>
      <c r="H46" s="2349">
        <v>44317</v>
      </c>
      <c r="I46" s="2404">
        <v>44409</v>
      </c>
      <c r="J46" s="2112" t="s">
        <v>542</v>
      </c>
      <c r="K46" s="1620"/>
      <c r="L46" s="2114" t="s">
        <v>1505</v>
      </c>
      <c r="M46" s="2405">
        <v>0.05</v>
      </c>
      <c r="N46" s="2110" t="s">
        <v>2041</v>
      </c>
      <c r="O46" s="2110" t="s">
        <v>2042</v>
      </c>
      <c r="P46" s="2106" t="s">
        <v>648</v>
      </c>
      <c r="Q46" s="560"/>
    </row>
    <row r="47" spans="2:17" x14ac:dyDescent="0.3">
      <c r="B47" s="559"/>
      <c r="C47" s="2105"/>
      <c r="D47" s="2106"/>
      <c r="E47" s="2107"/>
      <c r="F47" s="2108"/>
      <c r="G47" s="2109"/>
      <c r="H47" s="2403"/>
      <c r="I47" s="2111"/>
      <c r="J47" s="2112"/>
      <c r="K47" s="2113"/>
      <c r="L47" s="2114"/>
      <c r="M47" s="2115"/>
      <c r="N47" s="2110"/>
      <c r="O47" s="2110"/>
      <c r="P47" s="2106"/>
      <c r="Q47" s="560"/>
    </row>
    <row r="48" spans="2:17" x14ac:dyDescent="0.3">
      <c r="B48" s="559"/>
      <c r="C48" s="2105"/>
      <c r="D48" s="2106"/>
      <c r="E48" s="2107"/>
      <c r="F48" s="2108"/>
      <c r="G48" s="2109"/>
      <c r="H48" s="2403"/>
      <c r="I48" s="2111"/>
      <c r="J48" s="2112"/>
      <c r="K48" s="2113"/>
      <c r="L48" s="2114"/>
      <c r="M48" s="2405"/>
      <c r="N48" s="2110"/>
      <c r="O48" s="2110"/>
      <c r="P48" s="2106"/>
      <c r="Q48" s="560"/>
    </row>
    <row r="49" spans="2:17" x14ac:dyDescent="0.3">
      <c r="B49" s="559"/>
      <c r="C49" s="2105"/>
      <c r="D49" s="2106"/>
      <c r="E49" s="2107"/>
      <c r="F49" s="2108"/>
      <c r="G49" s="2109"/>
      <c r="H49" s="2110"/>
      <c r="I49" s="2111"/>
      <c r="J49" s="2112"/>
      <c r="K49" s="2113"/>
      <c r="L49" s="2114"/>
      <c r="M49" s="2115"/>
      <c r="N49" s="2110"/>
      <c r="O49" s="2110"/>
      <c r="P49" s="2106"/>
      <c r="Q49" s="560"/>
    </row>
    <row r="50" spans="2:17" x14ac:dyDescent="0.3">
      <c r="B50" s="559"/>
      <c r="C50" s="2105"/>
      <c r="D50" s="2106"/>
      <c r="E50" s="2107"/>
      <c r="F50" s="2108"/>
      <c r="G50" s="2109"/>
      <c r="H50" s="2110"/>
      <c r="I50" s="2111"/>
      <c r="J50" s="2112"/>
      <c r="K50" s="2113"/>
      <c r="L50" s="2114"/>
      <c r="M50" s="2115"/>
      <c r="N50" s="2110"/>
      <c r="O50" s="2110"/>
      <c r="P50" s="2106"/>
      <c r="Q50" s="560"/>
    </row>
    <row r="51" spans="2:17" x14ac:dyDescent="0.3">
      <c r="B51" s="559"/>
      <c r="C51" s="2105"/>
      <c r="D51" s="2106"/>
      <c r="E51" s="2107"/>
      <c r="F51" s="2108"/>
      <c r="G51" s="2109"/>
      <c r="H51" s="2110"/>
      <c r="I51" s="2111"/>
      <c r="J51" s="2112"/>
      <c r="K51" s="2113"/>
      <c r="L51" s="2114"/>
      <c r="M51" s="2115"/>
      <c r="N51" s="2110"/>
      <c r="O51" s="2110"/>
      <c r="P51" s="2106"/>
      <c r="Q51" s="560"/>
    </row>
    <row r="52" spans="2:17" x14ac:dyDescent="0.3">
      <c r="B52" s="559"/>
      <c r="C52" s="760"/>
      <c r="D52" s="771"/>
      <c r="E52" s="761"/>
      <c r="F52" s="752"/>
      <c r="G52" s="762"/>
      <c r="H52" s="769"/>
      <c r="I52" s="763"/>
      <c r="J52" s="1616"/>
      <c r="K52" s="1623"/>
      <c r="L52" s="1625"/>
      <c r="M52" s="770"/>
      <c r="N52" s="769"/>
      <c r="O52" s="769"/>
      <c r="P52" s="771"/>
      <c r="Q52" s="560"/>
    </row>
    <row r="53" spans="2:17" ht="7.5" customHeight="1" thickBot="1" x14ac:dyDescent="0.35">
      <c r="B53" s="559"/>
      <c r="C53" s="1467"/>
      <c r="D53" s="1468"/>
      <c r="E53" s="1469"/>
      <c r="F53" s="1463"/>
      <c r="G53" s="1470"/>
      <c r="H53" s="1448"/>
      <c r="I53" s="1471"/>
      <c r="J53" s="1617"/>
      <c r="K53" s="1621"/>
      <c r="L53" s="1626"/>
      <c r="M53" s="1474"/>
      <c r="N53" s="1448"/>
      <c r="O53" s="1448"/>
      <c r="P53" s="1475"/>
      <c r="Q53" s="560"/>
    </row>
    <row r="54" spans="2:17" ht="15" thickBot="1" x14ac:dyDescent="0.35">
      <c r="B54" s="559"/>
      <c r="C54" s="384"/>
      <c r="D54" s="721" t="s">
        <v>304</v>
      </c>
      <c r="E54" s="578">
        <f>SUM(E45:E53)</f>
        <v>4691058</v>
      </c>
      <c r="F54" s="579">
        <f>SUM(F45:F53)</f>
        <v>0</v>
      </c>
      <c r="G54" s="193"/>
      <c r="H54" s="722"/>
      <c r="I54" s="2101"/>
      <c r="J54" s="2101"/>
      <c r="K54" s="2101"/>
      <c r="L54" s="2101"/>
      <c r="M54" s="2101"/>
      <c r="N54" s="2101"/>
      <c r="O54" s="2101"/>
      <c r="P54" s="2101"/>
      <c r="Q54" s="560"/>
    </row>
    <row r="55" spans="2:17" ht="3.75" customHeight="1" thickBot="1" x14ac:dyDescent="0.35">
      <c r="B55" s="559"/>
      <c r="C55" s="722"/>
      <c r="D55" s="722"/>
      <c r="E55" s="195"/>
      <c r="F55" s="196"/>
      <c r="G55" s="193"/>
      <c r="H55" s="722"/>
      <c r="I55" s="2101"/>
      <c r="J55" s="2101"/>
      <c r="K55" s="2101"/>
      <c r="L55" s="2101"/>
      <c r="M55" s="2101"/>
      <c r="N55" s="2101"/>
      <c r="O55" s="2101"/>
      <c r="P55" s="2101"/>
      <c r="Q55" s="560"/>
    </row>
    <row r="56" spans="2:17" ht="16.2" thickBot="1" x14ac:dyDescent="0.35">
      <c r="B56" s="559"/>
      <c r="C56" s="384"/>
      <c r="D56" s="722"/>
      <c r="E56" s="1012" t="s">
        <v>309</v>
      </c>
      <c r="F56" s="199">
        <f>E54+F54</f>
        <v>4691058</v>
      </c>
      <c r="G56" s="193"/>
      <c r="H56" s="580"/>
      <c r="I56" s="722"/>
      <c r="J56" s="722"/>
      <c r="K56" s="722"/>
      <c r="L56" s="722"/>
      <c r="M56" s="722"/>
      <c r="N56" s="722"/>
      <c r="O56" s="722"/>
      <c r="P56" s="2101"/>
      <c r="Q56" s="560"/>
    </row>
    <row r="57" spans="2:17" ht="3.75" customHeight="1" thickBot="1" x14ac:dyDescent="0.35">
      <c r="B57" s="1476"/>
      <c r="C57" s="384"/>
      <c r="D57" s="384"/>
      <c r="E57" s="384"/>
      <c r="F57" s="384"/>
      <c r="G57" s="384"/>
      <c r="H57" s="384"/>
      <c r="I57" s="384"/>
      <c r="J57" s="384"/>
      <c r="K57" s="384"/>
      <c r="L57" s="384"/>
      <c r="M57" s="384"/>
      <c r="N57" s="384"/>
      <c r="O57" s="384"/>
      <c r="P57" s="384"/>
      <c r="Q57" s="1477"/>
    </row>
    <row r="58" spans="2:17" ht="15.6" thickTop="1" thickBot="1" x14ac:dyDescent="0.35">
      <c r="B58" s="1476"/>
      <c r="C58" s="384"/>
      <c r="D58" s="384"/>
      <c r="E58" s="1478" t="s">
        <v>636</v>
      </c>
      <c r="F58" s="1479">
        <f>F41+F56</f>
        <v>56526288.997399993</v>
      </c>
      <c r="G58" s="384"/>
      <c r="H58" s="384"/>
      <c r="I58" s="384"/>
      <c r="J58" s="384"/>
      <c r="K58" s="384"/>
      <c r="L58" s="384"/>
      <c r="M58" s="384"/>
      <c r="N58" s="384"/>
      <c r="O58" s="384"/>
      <c r="P58" s="384"/>
      <c r="Q58" s="1477"/>
    </row>
    <row r="59" spans="2:17" ht="9" customHeight="1" thickTop="1" thickBot="1" x14ac:dyDescent="0.35">
      <c r="B59" s="581"/>
      <c r="C59" s="582"/>
      <c r="D59" s="582"/>
      <c r="E59" s="584"/>
      <c r="F59" s="585"/>
      <c r="G59" s="585"/>
      <c r="H59" s="586"/>
      <c r="I59" s="586"/>
      <c r="J59" s="583"/>
      <c r="K59" s="583"/>
      <c r="L59" s="583"/>
      <c r="M59" s="583"/>
      <c r="N59" s="583"/>
      <c r="O59" s="586"/>
      <c r="P59" s="586"/>
      <c r="Q59" s="587"/>
    </row>
  </sheetData>
  <sheetProtection algorithmName="SHA-512" hashValue="vctfau2us0XdgrQGHub1SCqOzzv1Q6Jqk92joXFmyQad/3R/iz7EHROpQfTHMcULlekg+wiL0PEkprz/v4tz5A==" saltValue="6TSxWrh1LQlD+NKZahcZiQ==" spinCount="100000" sheet="1" formatCells="0" formatColumns="0" formatRows="0" insertRows="0"/>
  <mergeCells count="11">
    <mergeCell ref="C43:P43"/>
    <mergeCell ref="J20:M20"/>
    <mergeCell ref="J21:M21"/>
    <mergeCell ref="C26:P26"/>
    <mergeCell ref="C10:P10"/>
    <mergeCell ref="C12:M12"/>
    <mergeCell ref="C16:M16"/>
    <mergeCell ref="J17:M17"/>
    <mergeCell ref="J18:M18"/>
    <mergeCell ref="J19:M19"/>
    <mergeCell ref="C14:M14"/>
  </mergeCells>
  <conditionalFormatting sqref="L28:P33">
    <cfRule type="expression" dxfId="59" priority="2">
      <formula>$K28="Non-Recoverable"</formula>
    </cfRule>
  </conditionalFormatting>
  <conditionalFormatting sqref="L45:P52">
    <cfRule type="expression" dxfId="58" priority="1">
      <formula>#REF!="Non-Recoverable"</formula>
    </cfRule>
  </conditionalFormatting>
  <dataValidations count="9">
    <dataValidation type="list" allowBlank="1" showInputMessage="1" showErrorMessage="1" sqref="L28:L34 L45:L53" xr:uid="{00000000-0002-0000-1B00-000000000000}">
      <formula1>Debt_Type</formula1>
    </dataValidation>
    <dataValidation type="list" allowBlank="1" showInputMessage="1" showErrorMessage="1" sqref="K34" xr:uid="{00000000-0002-0000-1B00-000001000000}">
      <formula1>INDIRECT(J28)</formula1>
    </dataValidation>
    <dataValidation type="list" allowBlank="1" showInputMessage="1" showErrorMessage="1" sqref="K28:K33" xr:uid="{00000000-0002-0000-1B00-000002000000}">
      <formula1>INDIRECT(J28)</formula1>
    </dataValidation>
    <dataValidation type="list" allowBlank="1" showInputMessage="1" showErrorMessage="1" sqref="J28:J34 J45:J53" xr:uid="{00000000-0002-0000-1B00-000003000000}">
      <formula1>G_or_L</formula1>
    </dataValidation>
    <dataValidation type="list" allowBlank="1" showInputMessage="1" showErrorMessage="1" sqref="G34 G53" xr:uid="{00000000-0002-0000-1B00-000004000000}">
      <formula1>"Public,Private"</formula1>
    </dataValidation>
    <dataValidation type="list" allowBlank="1" showInputMessage="1" showErrorMessage="1" sqref="G28:G33 G45:G52" xr:uid="{00000000-0002-0000-1B00-000005000000}">
      <formula1>"Select...,Public,Private"</formula1>
    </dataValidation>
    <dataValidation type="list" allowBlank="1" showInputMessage="1" showErrorMessage="1" sqref="D18:D20 D28:D33" xr:uid="{00000000-0002-0000-1B00-000006000000}">
      <formula1>Fund_Source</formula1>
    </dataValidation>
    <dataValidation type="list" allowBlank="1" showInputMessage="1" showErrorMessage="1" sqref="K45:K53" xr:uid="{00000000-0002-0000-1B00-000007000000}">
      <formula1>INDIRECT(#REF!)</formula1>
    </dataValidation>
    <dataValidation type="list" allowBlank="1" showInputMessage="1" showErrorMessage="1" sqref="D45:D52" xr:uid="{00000000-0002-0000-1B00-000008000000}">
      <formula1>NonRes_FundSource</formula1>
    </dataValidation>
  </dataValidations>
  <pageMargins left="1" right="0.25" top="0.75" bottom="0.75" header="0.3" footer="0.3"/>
  <pageSetup paperSize="17" orientation="landscape" r:id="rId1"/>
  <headerFooter>
    <oddFooter>&amp;LForm 7A
Financing Sources&amp;CCFA Forms&amp;REdition: 2017
Version: 1.0</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0:AA71"/>
  <sheetViews>
    <sheetView showGridLines="0" topLeftCell="L49" zoomScaleNormal="100" zoomScaleSheetLayoutView="100" workbookViewId="0">
      <selection activeCell="X50" sqref="X50:X58"/>
    </sheetView>
  </sheetViews>
  <sheetFormatPr defaultColWidth="9.109375" defaultRowHeight="14.4" x14ac:dyDescent="0.3"/>
  <cols>
    <col min="1" max="2" width="1.6640625" style="399" customWidth="1"/>
    <col min="3" max="3" width="20.33203125" style="399" bestFit="1" customWidth="1"/>
    <col min="4" max="4" width="10.6640625" style="399" customWidth="1"/>
    <col min="5" max="5" width="10.109375" style="399" customWidth="1"/>
    <col min="6" max="6" width="10" style="399" customWidth="1"/>
    <col min="7" max="7" width="11.44140625" style="399" customWidth="1"/>
    <col min="8" max="8" width="12.33203125" style="399" customWidth="1"/>
    <col min="9" max="9" width="12.6640625" style="399" customWidth="1"/>
    <col min="10" max="11" width="12" style="399" customWidth="1"/>
    <col min="12" max="12" width="11.88671875" style="399" customWidth="1"/>
    <col min="13" max="13" width="12.6640625" style="399" customWidth="1"/>
    <col min="14" max="14" width="13.5546875" style="399" customWidth="1"/>
    <col min="15" max="15" width="14.5546875" style="399" customWidth="1"/>
    <col min="16" max="16" width="13.33203125" style="399" customWidth="1"/>
    <col min="17" max="17" width="12.88671875" style="399" customWidth="1"/>
    <col min="18" max="18" width="13.88671875" style="399" customWidth="1"/>
    <col min="19" max="21" width="13" style="399" customWidth="1"/>
    <col min="22" max="22" width="13.5546875" style="399" bestFit="1" customWidth="1"/>
    <col min="23" max="23" width="2.33203125" style="399" customWidth="1"/>
    <col min="24" max="24" width="15.33203125" style="399" bestFit="1" customWidth="1"/>
    <col min="25" max="25" width="16.6640625" style="399" customWidth="1"/>
    <col min="26" max="16384" width="9.109375" style="399"/>
  </cols>
  <sheetData>
    <row r="10" spans="2:23" ht="9" customHeight="1" thickBot="1" x14ac:dyDescent="0.35"/>
    <row r="11" spans="2:23" ht="9" customHeight="1" x14ac:dyDescent="0.3">
      <c r="B11" s="588"/>
      <c r="C11" s="436"/>
      <c r="D11" s="436"/>
      <c r="E11" s="436"/>
      <c r="F11" s="436"/>
      <c r="G11" s="436"/>
      <c r="H11" s="436"/>
      <c r="I11" s="436"/>
      <c r="J11" s="436"/>
      <c r="K11" s="436"/>
      <c r="L11" s="1480"/>
      <c r="M11" s="1480"/>
      <c r="N11" s="1480"/>
      <c r="O11" s="1480"/>
      <c r="P11" s="1480"/>
      <c r="Q11" s="1480"/>
      <c r="R11" s="1480"/>
      <c r="S11" s="1480"/>
      <c r="T11" s="1480"/>
      <c r="U11" s="1480"/>
      <c r="V11" s="1480"/>
      <c r="W11" s="1481"/>
    </row>
    <row r="12" spans="2:23" ht="18" x14ac:dyDescent="0.35">
      <c r="B12" s="589"/>
      <c r="C12" s="2657" t="s">
        <v>1866</v>
      </c>
      <c r="D12" s="2657"/>
      <c r="E12" s="2657"/>
      <c r="F12" s="2657"/>
      <c r="G12" s="2657"/>
      <c r="H12" s="2657"/>
      <c r="I12" s="2657"/>
      <c r="J12" s="2657"/>
      <c r="K12" s="2657"/>
      <c r="L12" s="2657"/>
      <c r="M12" s="2657"/>
      <c r="N12" s="2657"/>
      <c r="O12" s="2657"/>
      <c r="P12" s="2657"/>
      <c r="Q12" s="2657"/>
      <c r="R12" s="2657"/>
      <c r="S12" s="2657"/>
      <c r="T12" s="2657"/>
      <c r="U12" s="2657"/>
      <c r="V12" s="2657"/>
      <c r="W12" s="1482"/>
    </row>
    <row r="13" spans="2:23" ht="15" customHeight="1" x14ac:dyDescent="0.3">
      <c r="B13" s="589"/>
      <c r="C13" s="411"/>
      <c r="D13" s="411"/>
      <c r="E13" s="411"/>
      <c r="F13" s="411"/>
      <c r="G13" s="411"/>
      <c r="H13" s="411"/>
      <c r="I13" s="411"/>
      <c r="J13" s="411"/>
      <c r="K13" s="411"/>
      <c r="L13" s="1030"/>
      <c r="M13" s="1030"/>
      <c r="N13" s="1030"/>
      <c r="O13" s="1030"/>
      <c r="P13" s="1030"/>
      <c r="Q13" s="1030"/>
      <c r="R13" s="1030"/>
      <c r="S13" s="1030"/>
      <c r="T13" s="1030"/>
      <c r="U13" s="1030"/>
      <c r="V13" s="1030"/>
      <c r="W13" s="1482"/>
    </row>
    <row r="14" spans="2:23" ht="15" thickBot="1" x14ac:dyDescent="0.35">
      <c r="B14" s="590"/>
      <c r="C14" s="2791" t="str">
        <f>IF('1'!G5="","Enter Project Name on Form 1",(CONCATENATE("Project Name: ",'1'!G5)))</f>
        <v>Project Name: 6600 Roosevelt Way NE</v>
      </c>
      <c r="D14" s="2791"/>
      <c r="E14" s="2791"/>
      <c r="F14" s="2791"/>
      <c r="G14" s="2791"/>
      <c r="H14" s="2791"/>
      <c r="I14" s="2791"/>
      <c r="J14" s="2791"/>
      <c r="K14" s="374"/>
      <c r="L14" s="134" t="s">
        <v>310</v>
      </c>
      <c r="M14" s="2406">
        <v>42987</v>
      </c>
      <c r="N14" s="1030"/>
      <c r="O14" s="1030"/>
      <c r="P14" s="1030"/>
      <c r="Q14" s="1030"/>
      <c r="R14" s="1030"/>
      <c r="S14" s="1030"/>
      <c r="T14" s="1030"/>
      <c r="U14" s="1030"/>
      <c r="V14" s="1030"/>
      <c r="W14" s="1482"/>
    </row>
    <row r="15" spans="2:23" ht="7.5" customHeight="1" x14ac:dyDescent="0.3">
      <c r="B15" s="590"/>
      <c r="C15" s="2323"/>
      <c r="D15" s="2323"/>
      <c r="E15" s="2323"/>
      <c r="F15" s="2323"/>
      <c r="G15" s="2323"/>
      <c r="H15" s="2323"/>
      <c r="I15" s="2323"/>
      <c r="J15" s="2323"/>
      <c r="K15" s="374"/>
      <c r="L15" s="134"/>
      <c r="M15" s="2322"/>
      <c r="N15" s="1030"/>
      <c r="O15" s="1030"/>
      <c r="P15" s="1030"/>
      <c r="Q15" s="1030"/>
      <c r="R15" s="1030"/>
      <c r="S15" s="1030"/>
      <c r="T15" s="1030"/>
      <c r="U15" s="1030"/>
      <c r="V15" s="1030"/>
      <c r="W15" s="1482"/>
    </row>
    <row r="16" spans="2:23" ht="15" thickBot="1" x14ac:dyDescent="0.35">
      <c r="B16" s="590"/>
      <c r="C16" s="2791" t="str">
        <f>IF('1'!G29="","Enter Site Name/ID Number on Form 1",(CONCATENATE("Site Name/ID: ",'1'!G29)))</f>
        <v>Site Name/ID: Site A - 4% Building</v>
      </c>
      <c r="D16" s="2791"/>
      <c r="E16" s="2791"/>
      <c r="F16" s="2791"/>
      <c r="G16" s="2791"/>
      <c r="H16" s="2791"/>
      <c r="I16" s="2791"/>
      <c r="J16" s="2791"/>
      <c r="K16" s="374"/>
      <c r="L16" s="134"/>
      <c r="M16" s="2322"/>
      <c r="N16" s="1030"/>
      <c r="O16" s="1030"/>
      <c r="P16" s="1030"/>
      <c r="Q16" s="1030"/>
      <c r="R16" s="1030"/>
      <c r="S16" s="1030"/>
      <c r="T16" s="1030"/>
      <c r="U16" s="1030"/>
      <c r="V16" s="1030"/>
      <c r="W16" s="1482"/>
    </row>
    <row r="17" spans="2:27" s="417" customFormat="1" ht="7.5" customHeight="1" x14ac:dyDescent="0.3">
      <c r="B17" s="590"/>
      <c r="C17" s="2124"/>
      <c r="D17" s="600"/>
      <c r="E17" s="997"/>
      <c r="F17" s="635"/>
      <c r="G17" s="998"/>
      <c r="H17" s="600"/>
      <c r="I17" s="600"/>
      <c r="J17" s="600"/>
      <c r="K17" s="387"/>
      <c r="L17" s="1241"/>
      <c r="M17" s="1241"/>
      <c r="N17" s="1241"/>
      <c r="O17" s="1241"/>
      <c r="P17" s="1241"/>
      <c r="Q17" s="1241"/>
      <c r="R17" s="1241"/>
      <c r="S17" s="1241"/>
      <c r="T17" s="1241"/>
      <c r="U17" s="1241"/>
      <c r="V17" s="1241"/>
      <c r="W17" s="1483"/>
      <c r="Y17" s="399"/>
      <c r="Z17" s="399"/>
      <c r="AA17" s="399"/>
    </row>
    <row r="18" spans="2:27" s="417" customFormat="1" ht="15" customHeight="1" thickBot="1" x14ac:dyDescent="0.35">
      <c r="B18" s="590"/>
      <c r="C18" s="2792" t="s">
        <v>311</v>
      </c>
      <c r="D18" s="2792"/>
      <c r="E18" s="2792"/>
      <c r="F18" s="2792"/>
      <c r="G18" s="2792"/>
      <c r="H18" s="2792"/>
      <c r="I18" s="2792"/>
      <c r="J18" s="2792"/>
      <c r="K18" s="2792"/>
      <c r="L18" s="1241"/>
      <c r="M18" s="1241"/>
      <c r="N18" s="1241"/>
      <c r="O18" s="1241"/>
      <c r="P18" s="1241"/>
      <c r="Q18" s="1241"/>
      <c r="R18" s="1241"/>
      <c r="S18" s="1241"/>
      <c r="T18" s="1241"/>
      <c r="U18" s="1241"/>
      <c r="V18" s="1241"/>
      <c r="W18" s="1483"/>
    </row>
    <row r="19" spans="2:27" s="417" customFormat="1" ht="15" customHeight="1" x14ac:dyDescent="0.3">
      <c r="B19" s="590"/>
      <c r="C19" s="130"/>
      <c r="D19" s="999" t="s">
        <v>640</v>
      </c>
      <c r="E19" s="1000" t="s">
        <v>641</v>
      </c>
      <c r="F19" s="1000" t="s">
        <v>642</v>
      </c>
      <c r="G19" s="1000" t="s">
        <v>643</v>
      </c>
      <c r="H19" s="1000" t="s">
        <v>640</v>
      </c>
      <c r="I19" s="1000" t="s">
        <v>641</v>
      </c>
      <c r="J19" s="1000" t="s">
        <v>642</v>
      </c>
      <c r="K19" s="1000" t="s">
        <v>643</v>
      </c>
      <c r="L19" s="1000" t="s">
        <v>640</v>
      </c>
      <c r="M19" s="1000" t="s">
        <v>641</v>
      </c>
      <c r="N19" s="1000" t="s">
        <v>642</v>
      </c>
      <c r="O19" s="1000" t="s">
        <v>643</v>
      </c>
      <c r="P19" s="1000" t="s">
        <v>640</v>
      </c>
      <c r="Q19" s="1000" t="s">
        <v>641</v>
      </c>
      <c r="R19" s="1000" t="s">
        <v>642</v>
      </c>
      <c r="S19" s="1000" t="s">
        <v>643</v>
      </c>
      <c r="T19" s="1000" t="s">
        <v>640</v>
      </c>
      <c r="U19" s="1000" t="s">
        <v>641</v>
      </c>
      <c r="V19" s="358" t="s">
        <v>322</v>
      </c>
      <c r="W19" s="1483"/>
    </row>
    <row r="20" spans="2:27" s="417" customFormat="1" ht="15" customHeight="1" thickBot="1" x14ac:dyDescent="0.35">
      <c r="B20" s="590"/>
      <c r="C20" s="131" t="s">
        <v>290</v>
      </c>
      <c r="D20" s="1983">
        <v>43009</v>
      </c>
      <c r="E20" s="1984">
        <v>43101</v>
      </c>
      <c r="F20" s="1984">
        <v>43191</v>
      </c>
      <c r="G20" s="1984">
        <v>43282</v>
      </c>
      <c r="H20" s="1984">
        <v>43374</v>
      </c>
      <c r="I20" s="1984">
        <v>43466</v>
      </c>
      <c r="J20" s="1984">
        <v>43556</v>
      </c>
      <c r="K20" s="1984">
        <v>43647</v>
      </c>
      <c r="L20" s="1984">
        <v>43739</v>
      </c>
      <c r="M20" s="1984">
        <v>43831</v>
      </c>
      <c r="N20" s="1985">
        <v>43922</v>
      </c>
      <c r="O20" s="1984">
        <v>44013</v>
      </c>
      <c r="P20" s="1984">
        <v>44105</v>
      </c>
      <c r="Q20" s="1984">
        <v>44197</v>
      </c>
      <c r="R20" s="1984">
        <v>44287</v>
      </c>
      <c r="S20" s="1985">
        <v>44378</v>
      </c>
      <c r="T20" s="1985">
        <v>44470</v>
      </c>
      <c r="U20" s="1985">
        <v>44562</v>
      </c>
      <c r="V20" s="359"/>
      <c r="W20" s="1483"/>
    </row>
    <row r="21" spans="2:27" s="417" customFormat="1" ht="15" customHeight="1" x14ac:dyDescent="0.3">
      <c r="B21" s="590"/>
      <c r="C21" s="592" t="s">
        <v>312</v>
      </c>
      <c r="D21" s="2427"/>
      <c r="E21" s="2428"/>
      <c r="F21" s="2428"/>
      <c r="G21" s="2428"/>
      <c r="H21" s="2428"/>
      <c r="I21" s="2428"/>
      <c r="J21" s="2428"/>
      <c r="K21" s="2428"/>
      <c r="L21" s="2428"/>
      <c r="M21" s="2428">
        <v>0</v>
      </c>
      <c r="N21" s="2428">
        <v>0</v>
      </c>
      <c r="O21" s="2428">
        <v>0</v>
      </c>
      <c r="P21" s="2428">
        <v>0</v>
      </c>
      <c r="Q21" s="2428">
        <v>0</v>
      </c>
      <c r="R21" s="2428">
        <v>0</v>
      </c>
      <c r="S21" s="2428">
        <v>0</v>
      </c>
      <c r="T21" s="2428"/>
      <c r="U21" s="2428"/>
      <c r="V21" s="1484">
        <f>SUM(D21:K21)+SUM(L21:U21)</f>
        <v>0</v>
      </c>
      <c r="W21" s="1483"/>
    </row>
    <row r="22" spans="2:27" s="417" customFormat="1" ht="15" customHeight="1" x14ac:dyDescent="0.3">
      <c r="B22" s="590"/>
      <c r="C22" s="1033" t="str">
        <f>IF('7A - 4%'!C18="","Enter on Form 7A - 4%",'7A - 4%'!C18)</f>
        <v>Bellwether/Mercy Predevelopment Loan</v>
      </c>
      <c r="D22" s="2500">
        <v>40645</v>
      </c>
      <c r="E22" s="2501">
        <v>80630</v>
      </c>
      <c r="F22" s="2501">
        <v>91865</v>
      </c>
      <c r="G22" s="2501">
        <v>138128</v>
      </c>
      <c r="H22" s="2501">
        <v>157955</v>
      </c>
      <c r="I22" s="2501">
        <v>199592</v>
      </c>
      <c r="J22" s="2501">
        <v>280222</v>
      </c>
      <c r="K22" s="2501">
        <v>181087</v>
      </c>
      <c r="L22" s="2502">
        <f>149363+116318</f>
        <v>265681</v>
      </c>
      <c r="M22" s="2430">
        <v>0</v>
      </c>
      <c r="N22" s="2430">
        <v>0</v>
      </c>
      <c r="O22" s="2430">
        <v>0</v>
      </c>
      <c r="P22" s="2430">
        <v>0</v>
      </c>
      <c r="Q22" s="2430">
        <v>0</v>
      </c>
      <c r="R22" s="2430">
        <v>0</v>
      </c>
      <c r="S22" s="2430">
        <v>0</v>
      </c>
      <c r="T22" s="2430"/>
      <c r="U22" s="2430"/>
      <c r="V22" s="1485">
        <f>SUM(D22:K22)+SUM(L22:U22)</f>
        <v>1435805</v>
      </c>
      <c r="W22" s="1483"/>
    </row>
    <row r="23" spans="2:27" s="417" customFormat="1" ht="15" customHeight="1" x14ac:dyDescent="0.3">
      <c r="B23" s="590"/>
      <c r="C23" s="1033" t="str">
        <f>IF('7A - 4%'!C19="","Enter on Form 7A - 4%",'7A - 4%'!C19)</f>
        <v>Tier B Bonds Construction Loan</v>
      </c>
      <c r="D23" s="2429">
        <v>0</v>
      </c>
      <c r="E23" s="2430">
        <v>0</v>
      </c>
      <c r="F23" s="2430">
        <v>0</v>
      </c>
      <c r="G23" s="2430">
        <v>0</v>
      </c>
      <c r="H23" s="2430">
        <v>0</v>
      </c>
      <c r="I23" s="2430">
        <v>0</v>
      </c>
      <c r="J23" s="2430">
        <v>0</v>
      </c>
      <c r="K23" s="2430">
        <v>0</v>
      </c>
      <c r="L23" s="2430">
        <v>0</v>
      </c>
      <c r="M23" s="2430">
        <v>0</v>
      </c>
      <c r="N23" s="2430">
        <v>0</v>
      </c>
      <c r="O23" s="2430">
        <v>0</v>
      </c>
      <c r="P23" s="2430"/>
      <c r="Q23" s="2430">
        <f>4188814+125000+70582-91470</f>
        <v>4292926</v>
      </c>
      <c r="R23" s="2430">
        <v>5637031</v>
      </c>
      <c r="S23" s="2430">
        <f>4624155+100137</f>
        <v>4724292</v>
      </c>
      <c r="T23" s="2430"/>
      <c r="U23" s="2430"/>
      <c r="V23" s="1486">
        <f>SUM(D23:K23)+SUM(L23:U23)</f>
        <v>14654249</v>
      </c>
      <c r="W23" s="1483"/>
    </row>
    <row r="24" spans="2:27" s="417" customFormat="1" ht="15" customHeight="1" thickBot="1" x14ac:dyDescent="0.35">
      <c r="B24" s="590"/>
      <c r="C24" s="1033" t="str">
        <f>IF('7A - 4%'!C20="","Enter on Form 7A - 4%",'7A - 4%'!C20)</f>
        <v>Construction Loan Daycare</v>
      </c>
      <c r="D24" s="2431">
        <v>0</v>
      </c>
      <c r="E24" s="2432">
        <v>0</v>
      </c>
      <c r="F24" s="2432">
        <v>0</v>
      </c>
      <c r="G24" s="2432">
        <v>0</v>
      </c>
      <c r="H24" s="2432">
        <v>0</v>
      </c>
      <c r="I24" s="2432">
        <v>0</v>
      </c>
      <c r="J24" s="2432">
        <v>0</v>
      </c>
      <c r="K24" s="2432">
        <v>0</v>
      </c>
      <c r="L24" s="2432">
        <v>0</v>
      </c>
      <c r="M24" s="2432">
        <v>0</v>
      </c>
      <c r="N24" s="2432">
        <v>0</v>
      </c>
      <c r="O24" s="2432">
        <v>0</v>
      </c>
      <c r="P24" s="2432">
        <v>641058</v>
      </c>
      <c r="Q24" s="2432">
        <v>600000</v>
      </c>
      <c r="R24" s="2432">
        <v>500000</v>
      </c>
      <c r="S24" s="2432">
        <v>950000</v>
      </c>
      <c r="T24" s="2432"/>
      <c r="U24" s="2432"/>
      <c r="V24" s="1487">
        <f>SUM(D24:K24)+SUM(L24:U24)</f>
        <v>2691058</v>
      </c>
      <c r="W24" s="1483"/>
    </row>
    <row r="25" spans="2:27" s="417" customFormat="1" ht="15" customHeight="1" thickBot="1" x14ac:dyDescent="0.35">
      <c r="B25" s="590"/>
      <c r="C25" s="139" t="s">
        <v>313</v>
      </c>
      <c r="D25" s="2433">
        <f>SUM(D21:D24)</f>
        <v>40645</v>
      </c>
      <c r="E25" s="2434">
        <f t="shared" ref="E25:K25" si="0">SUM(E21:E24)</f>
        <v>80630</v>
      </c>
      <c r="F25" s="2434">
        <f t="shared" si="0"/>
        <v>91865</v>
      </c>
      <c r="G25" s="2434">
        <f t="shared" si="0"/>
        <v>138128</v>
      </c>
      <c r="H25" s="2434">
        <f t="shared" si="0"/>
        <v>157955</v>
      </c>
      <c r="I25" s="2434">
        <f t="shared" si="0"/>
        <v>199592</v>
      </c>
      <c r="J25" s="2434">
        <f t="shared" si="0"/>
        <v>280222</v>
      </c>
      <c r="K25" s="2434">
        <f t="shared" si="0"/>
        <v>181087</v>
      </c>
      <c r="L25" s="2434">
        <f t="shared" ref="L25:V25" si="1">SUM(L21:L24)</f>
        <v>265681</v>
      </c>
      <c r="M25" s="2434">
        <f t="shared" si="1"/>
        <v>0</v>
      </c>
      <c r="N25" s="2434">
        <f t="shared" si="1"/>
        <v>0</v>
      </c>
      <c r="O25" s="2434">
        <f t="shared" si="1"/>
        <v>0</v>
      </c>
      <c r="P25" s="2434">
        <f t="shared" si="1"/>
        <v>641058</v>
      </c>
      <c r="Q25" s="2434">
        <f t="shared" si="1"/>
        <v>4892926</v>
      </c>
      <c r="R25" s="2434">
        <f t="shared" si="1"/>
        <v>6137031</v>
      </c>
      <c r="S25" s="2434">
        <f t="shared" ref="S25:T25" si="2">SUM(S21:S24)</f>
        <v>5674292</v>
      </c>
      <c r="T25" s="2434">
        <f t="shared" si="2"/>
        <v>0</v>
      </c>
      <c r="U25" s="2434">
        <f t="shared" si="1"/>
        <v>0</v>
      </c>
      <c r="V25" s="2439">
        <f t="shared" si="1"/>
        <v>18781112</v>
      </c>
      <c r="W25" s="1483"/>
    </row>
    <row r="26" spans="2:27" s="417" customFormat="1" ht="3.75" customHeight="1" x14ac:dyDescent="0.3">
      <c r="B26" s="590"/>
      <c r="C26" s="2124"/>
      <c r="D26" s="600"/>
      <c r="E26" s="997"/>
      <c r="F26" s="635"/>
      <c r="G26" s="998"/>
      <c r="H26" s="600"/>
      <c r="I26" s="600"/>
      <c r="J26" s="600"/>
      <c r="K26" s="600"/>
      <c r="L26" s="600"/>
      <c r="M26" s="1241"/>
      <c r="N26" s="1241"/>
      <c r="O26" s="1241"/>
      <c r="P26" s="1241"/>
      <c r="Q26" s="1241"/>
      <c r="R26" s="1241"/>
      <c r="S26" s="1241"/>
      <c r="T26" s="1241"/>
      <c r="U26" s="1241"/>
      <c r="V26" s="1241"/>
      <c r="W26" s="1483"/>
    </row>
    <row r="27" spans="2:27" s="417" customFormat="1" ht="15" customHeight="1" x14ac:dyDescent="0.3">
      <c r="B27" s="590"/>
      <c r="C27" s="131" t="s">
        <v>192</v>
      </c>
      <c r="D27" s="1030"/>
      <c r="E27" s="1030"/>
      <c r="F27" s="1030"/>
      <c r="G27" s="1030"/>
      <c r="H27" s="1030"/>
      <c r="I27" s="1030"/>
      <c r="J27" s="1030"/>
      <c r="K27" s="1030"/>
      <c r="L27" s="1030"/>
      <c r="M27" s="1241"/>
      <c r="N27" s="1241"/>
      <c r="O27" s="1241"/>
      <c r="P27" s="1241"/>
      <c r="Q27" s="1241"/>
      <c r="R27" s="1241"/>
      <c r="S27" s="1241"/>
      <c r="T27" s="1241"/>
      <c r="U27" s="1241"/>
      <c r="V27" s="1241"/>
      <c r="W27" s="1483"/>
      <c r="X27" s="2467"/>
    </row>
    <row r="28" spans="2:27" s="417" customFormat="1" ht="15" customHeight="1" thickBot="1" x14ac:dyDescent="0.35">
      <c r="B28" s="590"/>
      <c r="C28" s="2211" t="s">
        <v>569</v>
      </c>
      <c r="D28" s="2212"/>
      <c r="E28" s="2212"/>
      <c r="F28" s="2212"/>
      <c r="G28" s="2212"/>
      <c r="H28" s="2212"/>
      <c r="I28" s="2212"/>
      <c r="J28" s="2212"/>
      <c r="K28" s="2212"/>
      <c r="L28" s="2212"/>
      <c r="M28" s="2212"/>
      <c r="N28" s="2212"/>
      <c r="O28" s="2212"/>
      <c r="P28" s="2212"/>
      <c r="Q28" s="2212"/>
      <c r="R28" s="2212"/>
      <c r="S28" s="2212"/>
      <c r="T28" s="2212"/>
      <c r="U28" s="2212"/>
      <c r="V28" s="2212"/>
      <c r="W28" s="1483"/>
    </row>
    <row r="29" spans="2:27" s="417" customFormat="1" ht="15" customHeight="1" x14ac:dyDescent="0.3">
      <c r="B29" s="590"/>
      <c r="C29" s="1001" t="s">
        <v>644</v>
      </c>
      <c r="D29" s="2427">
        <v>0</v>
      </c>
      <c r="E29" s="2428">
        <v>0</v>
      </c>
      <c r="F29" s="2428">
        <v>0</v>
      </c>
      <c r="G29" s="2428">
        <v>0</v>
      </c>
      <c r="H29" s="2428">
        <v>0</v>
      </c>
      <c r="I29" s="2428">
        <v>0</v>
      </c>
      <c r="J29" s="2428">
        <v>0</v>
      </c>
      <c r="K29" s="2428">
        <v>0</v>
      </c>
      <c r="L29" s="2428">
        <v>0</v>
      </c>
      <c r="M29" s="2428">
        <f>1605943.16+2873.85</f>
        <v>1608817.01</v>
      </c>
      <c r="N29" s="2428">
        <v>0</v>
      </c>
      <c r="O29" s="2428">
        <v>0</v>
      </c>
      <c r="P29" s="2428">
        <v>0</v>
      </c>
      <c r="Q29" s="2428">
        <v>0</v>
      </c>
      <c r="R29" s="2428">
        <v>0</v>
      </c>
      <c r="S29" s="2428"/>
      <c r="T29" s="2428">
        <f>1605943.16+2873.85</f>
        <v>1608817.01</v>
      </c>
      <c r="U29" s="2428">
        <f>12847543.84-2873.85</f>
        <v>12844669.99</v>
      </c>
      <c r="V29" s="1488">
        <f t="shared" ref="V29:V35" si="3">SUM(D29:K29)+SUM(L29:U29)</f>
        <v>16062304.01</v>
      </c>
      <c r="W29" s="1483"/>
      <c r="Y29" s="2468"/>
    </row>
    <row r="30" spans="2:27" x14ac:dyDescent="0.3">
      <c r="B30" s="1431"/>
      <c r="C30" s="1489" t="str">
        <f>IF('7A - 4%'!C28="","Enter on Form 7A - 4%",'7A - 4%'!C28)</f>
        <v>Seattle Office of Housing</v>
      </c>
      <c r="D30" s="2429">
        <v>0</v>
      </c>
      <c r="E30" s="2430">
        <v>0</v>
      </c>
      <c r="F30" s="2430">
        <v>0</v>
      </c>
      <c r="G30" s="2430">
        <v>0</v>
      </c>
      <c r="H30" s="2430">
        <v>0</v>
      </c>
      <c r="I30" s="2430">
        <v>0</v>
      </c>
      <c r="J30" s="2430">
        <v>0</v>
      </c>
      <c r="K30" s="2430">
        <v>0</v>
      </c>
      <c r="L30" s="2430">
        <v>0</v>
      </c>
      <c r="M30" s="2430">
        <v>6688635</v>
      </c>
      <c r="N30" s="2430">
        <f>4684477-70582+91470</f>
        <v>4705365</v>
      </c>
      <c r="O30" s="2430"/>
      <c r="P30" s="2430">
        <v>0</v>
      </c>
      <c r="Q30" s="2430">
        <v>0</v>
      </c>
      <c r="R30" s="2430">
        <v>0</v>
      </c>
      <c r="S30" s="2430"/>
      <c r="T30" s="2430">
        <v>1266000</v>
      </c>
      <c r="U30" s="2430"/>
      <c r="V30" s="1486">
        <f t="shared" si="3"/>
        <v>12660000</v>
      </c>
      <c r="W30" s="1482"/>
    </row>
    <row r="31" spans="2:27" x14ac:dyDescent="0.3">
      <c r="B31" s="1431"/>
      <c r="C31" s="1489" t="str">
        <f>IF('7A - 4%'!C29="","Enter on Form 7A - 4%",'7A - 4%'!C29)</f>
        <v>King County TOD</v>
      </c>
      <c r="D31" s="2429">
        <v>0</v>
      </c>
      <c r="E31" s="2430">
        <v>0</v>
      </c>
      <c r="F31" s="2430">
        <v>0</v>
      </c>
      <c r="G31" s="2430">
        <v>0</v>
      </c>
      <c r="H31" s="2430">
        <v>0</v>
      </c>
      <c r="I31" s="2430">
        <v>0</v>
      </c>
      <c r="J31" s="2430">
        <v>0</v>
      </c>
      <c r="K31" s="2430">
        <v>0</v>
      </c>
      <c r="L31" s="2430">
        <v>0</v>
      </c>
      <c r="M31" s="2430">
        <f>600000+1500000</f>
        <v>2100000</v>
      </c>
      <c r="N31" s="2430">
        <v>1275000</v>
      </c>
      <c r="O31" s="2430"/>
      <c r="P31" s="2430"/>
      <c r="Q31" s="2430">
        <v>0</v>
      </c>
      <c r="R31" s="2430">
        <v>0</v>
      </c>
      <c r="S31" s="2430"/>
      <c r="T31" s="2430">
        <v>375000</v>
      </c>
      <c r="U31" s="2430"/>
      <c r="V31" s="1486">
        <f t="shared" si="3"/>
        <v>3750000</v>
      </c>
      <c r="W31" s="1482"/>
    </row>
    <row r="32" spans="2:27" x14ac:dyDescent="0.3">
      <c r="B32" s="1431"/>
      <c r="C32" s="1489" t="str">
        <f>IF('7A - 4%'!C30="","Enter on Form 7A - 4%",'7A - 4%'!C30)</f>
        <v>Build Smart/Sponsor Loan</v>
      </c>
      <c r="D32" s="2429">
        <v>0</v>
      </c>
      <c r="E32" s="2430">
        <v>0</v>
      </c>
      <c r="F32" s="2430">
        <v>0</v>
      </c>
      <c r="G32" s="2430">
        <v>0</v>
      </c>
      <c r="H32" s="2430">
        <v>0</v>
      </c>
      <c r="I32" s="2430">
        <v>0</v>
      </c>
      <c r="J32" s="2430">
        <v>0</v>
      </c>
      <c r="K32" s="2430">
        <v>0</v>
      </c>
      <c r="L32" s="2430">
        <v>0</v>
      </c>
      <c r="M32" s="2430">
        <f>1654245.84-2873.85</f>
        <v>1651371.99</v>
      </c>
      <c r="N32" s="2430">
        <v>0</v>
      </c>
      <c r="O32" s="2430">
        <v>0</v>
      </c>
      <c r="P32" s="2430">
        <v>0</v>
      </c>
      <c r="Q32" s="2430">
        <v>0</v>
      </c>
      <c r="R32" s="2430">
        <v>0</v>
      </c>
      <c r="S32" s="2430">
        <v>0</v>
      </c>
      <c r="T32" s="2430"/>
      <c r="U32" s="2430"/>
      <c r="V32" s="1486">
        <f t="shared" si="3"/>
        <v>1651371.99</v>
      </c>
      <c r="W32" s="1482"/>
      <c r="Y32" s="485"/>
    </row>
    <row r="33" spans="2:23" x14ac:dyDescent="0.3">
      <c r="B33" s="1431"/>
      <c r="C33" s="1489" t="str">
        <f>IF('7A - 4%'!C31="","Enter on Form 7A - 4%",'7A - 4%'!C31)</f>
        <v>Tax-Exempt Perm Debt</v>
      </c>
      <c r="D33" s="2429">
        <v>0</v>
      </c>
      <c r="E33" s="2430">
        <v>0</v>
      </c>
      <c r="F33" s="2430">
        <v>0</v>
      </c>
      <c r="G33" s="2430">
        <v>0</v>
      </c>
      <c r="H33" s="2430">
        <v>0</v>
      </c>
      <c r="I33" s="2430">
        <v>0</v>
      </c>
      <c r="J33" s="2430">
        <v>0</v>
      </c>
      <c r="K33" s="2430">
        <v>0</v>
      </c>
      <c r="L33" s="2430">
        <v>0</v>
      </c>
      <c r="M33" s="2430">
        <v>50001</v>
      </c>
      <c r="N33" s="2430">
        <f>1771318-91470</f>
        <v>1679848</v>
      </c>
      <c r="O33" s="2430">
        <v>6325993</v>
      </c>
      <c r="P33" s="2430">
        <v>5534825</v>
      </c>
      <c r="Q33" s="2430">
        <f>1929418+91470</f>
        <v>2020888</v>
      </c>
      <c r="R33" s="2430">
        <v>0</v>
      </c>
      <c r="S33" s="2430">
        <v>0</v>
      </c>
      <c r="T33" s="2430">
        <v>0</v>
      </c>
      <c r="U33" s="2430">
        <v>0</v>
      </c>
      <c r="V33" s="1486">
        <f t="shared" si="3"/>
        <v>15611555</v>
      </c>
      <c r="W33" s="1482"/>
    </row>
    <row r="34" spans="2:23" x14ac:dyDescent="0.3">
      <c r="B34" s="1431"/>
      <c r="C34" s="1489" t="str">
        <f>IF('7A - 4%'!C32="","Enter on Form 7A - 4%",'7A - 4%'!C32)</f>
        <v>Deferred Developer Fee</v>
      </c>
      <c r="D34" s="2429">
        <v>0</v>
      </c>
      <c r="E34" s="2430">
        <v>0</v>
      </c>
      <c r="F34" s="2430">
        <v>0</v>
      </c>
      <c r="G34" s="2430">
        <v>0</v>
      </c>
      <c r="H34" s="2430">
        <v>0</v>
      </c>
      <c r="I34" s="2430">
        <v>0</v>
      </c>
      <c r="J34" s="2430">
        <v>0</v>
      </c>
      <c r="K34" s="2430">
        <v>0</v>
      </c>
      <c r="L34" s="2430">
        <v>0</v>
      </c>
      <c r="M34" s="2430">
        <v>2100000</v>
      </c>
      <c r="N34" s="2430">
        <v>0</v>
      </c>
      <c r="O34" s="2430">
        <v>0</v>
      </c>
      <c r="P34" s="2430">
        <v>0</v>
      </c>
      <c r="Q34" s="2430">
        <v>0</v>
      </c>
      <c r="R34" s="2430">
        <v>0</v>
      </c>
      <c r="S34" s="2430">
        <v>0</v>
      </c>
      <c r="T34" s="2430">
        <v>0</v>
      </c>
      <c r="U34" s="2430">
        <v>0</v>
      </c>
      <c r="V34" s="1486">
        <f t="shared" si="3"/>
        <v>2100000</v>
      </c>
      <c r="W34" s="1482"/>
    </row>
    <row r="35" spans="2:23" ht="15" thickBot="1" x14ac:dyDescent="0.35">
      <c r="B35" s="1431"/>
      <c r="C35" s="1489" t="str">
        <f>IF('7A - 4%'!C33="","Enter on Form 7A - 4%",'7A - 4%'!C33)</f>
        <v>Enter on Form 7A - 4%</v>
      </c>
      <c r="D35" s="2429">
        <v>0</v>
      </c>
      <c r="E35" s="2430">
        <v>0</v>
      </c>
      <c r="F35" s="2430">
        <v>0</v>
      </c>
      <c r="G35" s="2430">
        <v>0</v>
      </c>
      <c r="H35" s="2430">
        <v>0</v>
      </c>
      <c r="I35" s="2430">
        <v>0</v>
      </c>
      <c r="J35" s="2430">
        <v>0</v>
      </c>
      <c r="K35" s="2430">
        <v>0</v>
      </c>
      <c r="L35" s="2430">
        <v>0</v>
      </c>
      <c r="M35" s="2430">
        <v>0</v>
      </c>
      <c r="N35" s="2430">
        <v>0</v>
      </c>
      <c r="O35" s="2430">
        <v>0</v>
      </c>
      <c r="P35" s="2430">
        <v>0</v>
      </c>
      <c r="Q35" s="2430">
        <v>0</v>
      </c>
      <c r="R35" s="2430">
        <v>0</v>
      </c>
      <c r="S35" s="2430">
        <v>0</v>
      </c>
      <c r="T35" s="2430">
        <v>0</v>
      </c>
      <c r="U35" s="2430">
        <v>0</v>
      </c>
      <c r="V35" s="2207">
        <f t="shared" si="3"/>
        <v>0</v>
      </c>
      <c r="W35" s="1482"/>
    </row>
    <row r="36" spans="2:23" ht="15" thickBot="1" x14ac:dyDescent="0.35">
      <c r="B36" s="1431"/>
      <c r="C36" s="2213" t="s">
        <v>570</v>
      </c>
      <c r="D36" s="2215"/>
      <c r="E36" s="2215"/>
      <c r="F36" s="2215"/>
      <c r="G36" s="2215"/>
      <c r="H36" s="2215"/>
      <c r="I36" s="2215"/>
      <c r="J36" s="2215"/>
      <c r="K36" s="2215"/>
      <c r="L36" s="2215"/>
      <c r="M36" s="2215"/>
      <c r="N36" s="2215"/>
      <c r="O36" s="2215"/>
      <c r="P36" s="2215"/>
      <c r="Q36" s="2215"/>
      <c r="R36" s="2215"/>
      <c r="S36" s="2215"/>
      <c r="T36" s="2215"/>
      <c r="U36" s="2215"/>
      <c r="V36" s="2215"/>
      <c r="W36" s="1482"/>
    </row>
    <row r="37" spans="2:23" x14ac:dyDescent="0.3">
      <c r="B37" s="1431"/>
      <c r="C37" s="1489" t="str">
        <f>IF('7A - 4%'!C45="","Enter on Form 7A - 4%",'7A - 4%'!C45)</f>
        <v>Seattle Day Care Grants</v>
      </c>
      <c r="D37" s="2208">
        <v>0</v>
      </c>
      <c r="E37" s="2209">
        <v>0</v>
      </c>
      <c r="F37" s="2209">
        <v>0</v>
      </c>
      <c r="G37" s="2209">
        <v>0</v>
      </c>
      <c r="H37" s="2209">
        <v>0</v>
      </c>
      <c r="I37" s="2209">
        <v>0</v>
      </c>
      <c r="J37" s="2209">
        <v>0</v>
      </c>
      <c r="K37" s="2209">
        <v>0</v>
      </c>
      <c r="L37" s="2209">
        <v>0</v>
      </c>
      <c r="M37" s="2209">
        <v>800000</v>
      </c>
      <c r="N37" s="2209">
        <v>450000</v>
      </c>
      <c r="O37" s="2209">
        <v>450000</v>
      </c>
      <c r="P37" s="2209">
        <v>300000</v>
      </c>
      <c r="Q37" s="2209">
        <v>0</v>
      </c>
      <c r="R37" s="2209">
        <v>0</v>
      </c>
      <c r="S37" s="2209">
        <v>0</v>
      </c>
      <c r="T37" s="2209">
        <v>0</v>
      </c>
      <c r="U37" s="2209">
        <v>0</v>
      </c>
      <c r="V37" s="2210">
        <f t="shared" ref="V37:V44" si="4">SUM(D37:K37)+SUM(L37:U37)</f>
        <v>2000000</v>
      </c>
      <c r="W37" s="1482"/>
    </row>
    <row r="38" spans="2:23" x14ac:dyDescent="0.3">
      <c r="B38" s="1431"/>
      <c r="C38" s="1489" t="str">
        <f>IF('7A - 4%'!C46="","Enter on Form 7A - 4%",'7A - 4%'!C46)</f>
        <v>Day Care - Non Profit Debt</v>
      </c>
      <c r="D38" s="1039">
        <v>0</v>
      </c>
      <c r="E38" s="1040">
        <v>0</v>
      </c>
      <c r="F38" s="1040">
        <v>0</v>
      </c>
      <c r="G38" s="1040">
        <v>0</v>
      </c>
      <c r="H38" s="1040">
        <v>0</v>
      </c>
      <c r="I38" s="1040">
        <v>0</v>
      </c>
      <c r="J38" s="1040">
        <v>0</v>
      </c>
      <c r="K38" s="1040">
        <v>0</v>
      </c>
      <c r="L38" s="1040">
        <v>0</v>
      </c>
      <c r="M38" s="1040">
        <v>0</v>
      </c>
      <c r="N38" s="1040">
        <v>0</v>
      </c>
      <c r="O38" s="1040">
        <v>0</v>
      </c>
      <c r="P38" s="1040">
        <v>0</v>
      </c>
      <c r="Q38" s="1040">
        <v>0</v>
      </c>
      <c r="R38" s="1040">
        <v>0</v>
      </c>
      <c r="S38" s="1040">
        <v>0</v>
      </c>
      <c r="T38" s="1040">
        <v>0</v>
      </c>
      <c r="U38" s="1040">
        <v>0</v>
      </c>
      <c r="V38" s="2207">
        <f t="shared" si="4"/>
        <v>0</v>
      </c>
      <c r="W38" s="1482"/>
    </row>
    <row r="39" spans="2:23" x14ac:dyDescent="0.3">
      <c r="B39" s="1431"/>
      <c r="C39" s="1489" t="str">
        <f>IF('7A - 4%'!C47="","Enter on Form 7A - 4%",'7A - 4%'!C47)</f>
        <v>Enter on Form 7A - 4%</v>
      </c>
      <c r="D39" s="1039">
        <v>0</v>
      </c>
      <c r="E39" s="1040">
        <v>0</v>
      </c>
      <c r="F39" s="1040">
        <v>0</v>
      </c>
      <c r="G39" s="1040">
        <v>0</v>
      </c>
      <c r="H39" s="1040">
        <v>0</v>
      </c>
      <c r="I39" s="1040">
        <v>0</v>
      </c>
      <c r="J39" s="1040">
        <v>0</v>
      </c>
      <c r="K39" s="1040">
        <v>0</v>
      </c>
      <c r="L39" s="1040">
        <v>0</v>
      </c>
      <c r="M39" s="1040">
        <v>0</v>
      </c>
      <c r="N39" s="1040">
        <v>0</v>
      </c>
      <c r="O39" s="1040">
        <v>0</v>
      </c>
      <c r="P39" s="1040">
        <v>0</v>
      </c>
      <c r="Q39" s="1040">
        <v>0</v>
      </c>
      <c r="R39" s="1040">
        <v>0</v>
      </c>
      <c r="S39" s="1040">
        <v>0</v>
      </c>
      <c r="T39" s="1040">
        <v>0</v>
      </c>
      <c r="U39" s="1040">
        <v>0</v>
      </c>
      <c r="V39" s="2207">
        <f t="shared" si="4"/>
        <v>0</v>
      </c>
      <c r="W39" s="1482"/>
    </row>
    <row r="40" spans="2:23" x14ac:dyDescent="0.3">
      <c r="B40" s="1431"/>
      <c r="C40" s="1489" t="str">
        <f>IF('7A - 4%'!C48="","Enter on Form 7A - 4%",'7A - 4%'!C48)</f>
        <v>Enter on Form 7A - 4%</v>
      </c>
      <c r="D40" s="1039">
        <v>0</v>
      </c>
      <c r="E40" s="1040">
        <v>0</v>
      </c>
      <c r="F40" s="1040">
        <v>0</v>
      </c>
      <c r="G40" s="1040">
        <v>0</v>
      </c>
      <c r="H40" s="1040">
        <v>0</v>
      </c>
      <c r="I40" s="1040">
        <v>0</v>
      </c>
      <c r="J40" s="1040">
        <v>0</v>
      </c>
      <c r="K40" s="1040">
        <v>0</v>
      </c>
      <c r="L40" s="1040">
        <v>0</v>
      </c>
      <c r="M40" s="1040">
        <v>0</v>
      </c>
      <c r="N40" s="1040">
        <v>0</v>
      </c>
      <c r="O40" s="1040">
        <v>0</v>
      </c>
      <c r="P40" s="1040">
        <v>0</v>
      </c>
      <c r="Q40" s="1040">
        <v>0</v>
      </c>
      <c r="R40" s="1040">
        <v>0</v>
      </c>
      <c r="S40" s="1040">
        <v>0</v>
      </c>
      <c r="T40" s="1040">
        <v>0</v>
      </c>
      <c r="U40" s="1040">
        <v>0</v>
      </c>
      <c r="V40" s="2207">
        <f t="shared" si="4"/>
        <v>0</v>
      </c>
      <c r="W40" s="1482"/>
    </row>
    <row r="41" spans="2:23" x14ac:dyDescent="0.3">
      <c r="B41" s="1431"/>
      <c r="C41" s="1489" t="str">
        <f>IF('7A - 4%'!C49="","Enter on Form 7A - 4%",'7A - 4%'!C49)</f>
        <v>Enter on Form 7A - 4%</v>
      </c>
      <c r="D41" s="1039">
        <v>0</v>
      </c>
      <c r="E41" s="1040">
        <v>0</v>
      </c>
      <c r="F41" s="1040">
        <v>0</v>
      </c>
      <c r="G41" s="1040">
        <v>0</v>
      </c>
      <c r="H41" s="1040">
        <v>0</v>
      </c>
      <c r="I41" s="1040">
        <v>0</v>
      </c>
      <c r="J41" s="1040">
        <v>0</v>
      </c>
      <c r="K41" s="1040">
        <v>0</v>
      </c>
      <c r="L41" s="1040">
        <v>0</v>
      </c>
      <c r="M41" s="1040">
        <v>0</v>
      </c>
      <c r="N41" s="1040">
        <v>0</v>
      </c>
      <c r="O41" s="1040">
        <v>0</v>
      </c>
      <c r="P41" s="1040">
        <v>0</v>
      </c>
      <c r="Q41" s="1040">
        <v>0</v>
      </c>
      <c r="R41" s="1040">
        <v>0</v>
      </c>
      <c r="S41" s="1040">
        <v>0</v>
      </c>
      <c r="T41" s="1040">
        <v>0</v>
      </c>
      <c r="U41" s="1040">
        <v>0</v>
      </c>
      <c r="V41" s="2207">
        <f t="shared" si="4"/>
        <v>0</v>
      </c>
      <c r="W41" s="1482"/>
    </row>
    <row r="42" spans="2:23" x14ac:dyDescent="0.3">
      <c r="B42" s="1431"/>
      <c r="C42" s="1489" t="str">
        <f>IF('7A - 4%'!C50="","Enter on Form 7A - 4%",'7A - 4%'!C50)</f>
        <v>Enter on Form 7A - 4%</v>
      </c>
      <c r="D42" s="1039">
        <v>0</v>
      </c>
      <c r="E42" s="1040">
        <v>0</v>
      </c>
      <c r="F42" s="1040">
        <v>0</v>
      </c>
      <c r="G42" s="1040">
        <v>0</v>
      </c>
      <c r="H42" s="1040">
        <v>0</v>
      </c>
      <c r="I42" s="1040">
        <v>0</v>
      </c>
      <c r="J42" s="1040">
        <v>0</v>
      </c>
      <c r="K42" s="1040">
        <v>0</v>
      </c>
      <c r="L42" s="1040">
        <v>0</v>
      </c>
      <c r="M42" s="1040">
        <v>0</v>
      </c>
      <c r="N42" s="1040">
        <v>0</v>
      </c>
      <c r="O42" s="1040">
        <v>0</v>
      </c>
      <c r="P42" s="1040">
        <v>0</v>
      </c>
      <c r="Q42" s="1040">
        <v>0</v>
      </c>
      <c r="R42" s="1040">
        <v>0</v>
      </c>
      <c r="S42" s="1040">
        <v>0</v>
      </c>
      <c r="T42" s="1040">
        <v>0</v>
      </c>
      <c r="U42" s="1040">
        <v>0</v>
      </c>
      <c r="V42" s="2207">
        <f t="shared" si="4"/>
        <v>0</v>
      </c>
      <c r="W42" s="1482"/>
    </row>
    <row r="43" spans="2:23" x14ac:dyDescent="0.3">
      <c r="B43" s="1431"/>
      <c r="C43" s="1489" t="str">
        <f>IF('7A - 4%'!C51="","Enter on Form 7A - 4%",'7A - 4%'!C51)</f>
        <v>Enter on Form 7A - 4%</v>
      </c>
      <c r="D43" s="1039">
        <v>0</v>
      </c>
      <c r="E43" s="1040">
        <v>0</v>
      </c>
      <c r="F43" s="1040">
        <v>0</v>
      </c>
      <c r="G43" s="1040">
        <v>0</v>
      </c>
      <c r="H43" s="1040">
        <v>0</v>
      </c>
      <c r="I43" s="1040">
        <v>0</v>
      </c>
      <c r="J43" s="1040">
        <v>0</v>
      </c>
      <c r="K43" s="1040">
        <v>0</v>
      </c>
      <c r="L43" s="1040">
        <v>0</v>
      </c>
      <c r="M43" s="1040">
        <v>0</v>
      </c>
      <c r="N43" s="1040">
        <v>0</v>
      </c>
      <c r="O43" s="1040">
        <v>0</v>
      </c>
      <c r="P43" s="1040">
        <v>0</v>
      </c>
      <c r="Q43" s="1040">
        <v>0</v>
      </c>
      <c r="R43" s="1040">
        <v>0</v>
      </c>
      <c r="S43" s="1040">
        <v>0</v>
      </c>
      <c r="T43" s="1040">
        <v>0</v>
      </c>
      <c r="U43" s="1040">
        <v>0</v>
      </c>
      <c r="V43" s="2207">
        <f t="shared" si="4"/>
        <v>0</v>
      </c>
      <c r="W43" s="1482"/>
    </row>
    <row r="44" spans="2:23" ht="15" thickBot="1" x14ac:dyDescent="0.35">
      <c r="B44" s="1431"/>
      <c r="C44" s="1489" t="str">
        <f>IF('7A - 4%'!C52="","Enter on Form 7A - 4%",'7A - 4%'!C52)</f>
        <v>Enter on Form 7A - 4%</v>
      </c>
      <c r="D44" s="1041">
        <v>0</v>
      </c>
      <c r="E44" s="1042">
        <v>0</v>
      </c>
      <c r="F44" s="1042">
        <v>0</v>
      </c>
      <c r="G44" s="1042">
        <v>0</v>
      </c>
      <c r="H44" s="1042">
        <v>0</v>
      </c>
      <c r="I44" s="1042">
        <v>0</v>
      </c>
      <c r="J44" s="1042">
        <v>0</v>
      </c>
      <c r="K44" s="1042">
        <v>0</v>
      </c>
      <c r="L44" s="1042">
        <v>0</v>
      </c>
      <c r="M44" s="1042">
        <v>0</v>
      </c>
      <c r="N44" s="1042">
        <v>0</v>
      </c>
      <c r="O44" s="1042">
        <v>0</v>
      </c>
      <c r="P44" s="1042">
        <v>0</v>
      </c>
      <c r="Q44" s="1042">
        <v>0</v>
      </c>
      <c r="R44" s="1042">
        <v>0</v>
      </c>
      <c r="S44" s="1042">
        <v>0</v>
      </c>
      <c r="T44" s="1042">
        <v>0</v>
      </c>
      <c r="U44" s="1042">
        <v>0</v>
      </c>
      <c r="V44" s="1487">
        <f t="shared" si="4"/>
        <v>0</v>
      </c>
      <c r="W44" s="1482"/>
    </row>
    <row r="45" spans="2:23" ht="15" thickBot="1" x14ac:dyDescent="0.35">
      <c r="B45" s="593"/>
      <c r="C45" s="132" t="s">
        <v>313</v>
      </c>
      <c r="D45" s="2433">
        <f>SUM(D29:D35)+SUM(D37:D44)</f>
        <v>0</v>
      </c>
      <c r="E45" s="2434">
        <f t="shared" ref="E45:U45" si="5">SUM(E29:E35)+SUM(E37:E44)</f>
        <v>0</v>
      </c>
      <c r="F45" s="2434">
        <f t="shared" si="5"/>
        <v>0</v>
      </c>
      <c r="G45" s="2434">
        <f t="shared" si="5"/>
        <v>0</v>
      </c>
      <c r="H45" s="2434">
        <f t="shared" si="5"/>
        <v>0</v>
      </c>
      <c r="I45" s="2434">
        <f t="shared" si="5"/>
        <v>0</v>
      </c>
      <c r="J45" s="2434">
        <f t="shared" si="5"/>
        <v>0</v>
      </c>
      <c r="K45" s="2434">
        <f t="shared" si="5"/>
        <v>0</v>
      </c>
      <c r="L45" s="2434">
        <f t="shared" si="5"/>
        <v>0</v>
      </c>
      <c r="M45" s="2434">
        <f t="shared" si="5"/>
        <v>14998825</v>
      </c>
      <c r="N45" s="2434">
        <f t="shared" si="5"/>
        <v>8110213</v>
      </c>
      <c r="O45" s="2434">
        <f t="shared" si="5"/>
        <v>6775993</v>
      </c>
      <c r="P45" s="2434">
        <f t="shared" si="5"/>
        <v>5834825</v>
      </c>
      <c r="Q45" s="2434">
        <f t="shared" si="5"/>
        <v>2020888</v>
      </c>
      <c r="R45" s="2434">
        <f t="shared" si="5"/>
        <v>0</v>
      </c>
      <c r="S45" s="2434">
        <f t="shared" ref="S45:T45" si="6">SUM(S29:S35)+SUM(S37:S44)</f>
        <v>0</v>
      </c>
      <c r="T45" s="2434">
        <f t="shared" si="6"/>
        <v>3249817.01</v>
      </c>
      <c r="U45" s="2434">
        <f t="shared" si="5"/>
        <v>12844669.99</v>
      </c>
      <c r="V45" s="2435">
        <f>SUM(V29:V35)+SUM(V37:V44)</f>
        <v>53835231</v>
      </c>
      <c r="W45" s="1482"/>
    </row>
    <row r="46" spans="2:23" ht="3.75" customHeight="1" thickBot="1" x14ac:dyDescent="0.35">
      <c r="B46" s="593"/>
      <c r="C46" s="133"/>
      <c r="D46" s="2440"/>
      <c r="E46" s="2440"/>
      <c r="F46" s="2440"/>
      <c r="G46" s="2440"/>
      <c r="H46" s="2440"/>
      <c r="I46" s="2440"/>
      <c r="J46" s="2440"/>
      <c r="K46" s="2440"/>
      <c r="L46" s="2440"/>
      <c r="M46" s="2440"/>
      <c r="N46" s="2440"/>
      <c r="O46" s="2440"/>
      <c r="P46" s="2440"/>
      <c r="Q46" s="2440"/>
      <c r="R46" s="2440"/>
      <c r="S46" s="2440"/>
      <c r="T46" s="2440"/>
      <c r="U46" s="2440"/>
      <c r="V46" s="2441"/>
      <c r="W46" s="1482"/>
    </row>
    <row r="47" spans="2:23" ht="15" thickBot="1" x14ac:dyDescent="0.35">
      <c r="B47" s="590"/>
      <c r="C47" s="131" t="s">
        <v>314</v>
      </c>
      <c r="D47" s="2433">
        <f t="shared" ref="D47:V47" si="7">D25+D45</f>
        <v>40645</v>
      </c>
      <c r="E47" s="2434">
        <f t="shared" si="7"/>
        <v>80630</v>
      </c>
      <c r="F47" s="2434">
        <f t="shared" si="7"/>
        <v>91865</v>
      </c>
      <c r="G47" s="2434">
        <f t="shared" si="7"/>
        <v>138128</v>
      </c>
      <c r="H47" s="2434">
        <f t="shared" si="7"/>
        <v>157955</v>
      </c>
      <c r="I47" s="2434">
        <f t="shared" si="7"/>
        <v>199592</v>
      </c>
      <c r="J47" s="2434">
        <f t="shared" si="7"/>
        <v>280222</v>
      </c>
      <c r="K47" s="2434">
        <f t="shared" si="7"/>
        <v>181087</v>
      </c>
      <c r="L47" s="2434">
        <f t="shared" si="7"/>
        <v>265681</v>
      </c>
      <c r="M47" s="2434">
        <f t="shared" si="7"/>
        <v>14998825</v>
      </c>
      <c r="N47" s="2434">
        <f t="shared" si="7"/>
        <v>8110213</v>
      </c>
      <c r="O47" s="2434">
        <f t="shared" si="7"/>
        <v>6775993</v>
      </c>
      <c r="P47" s="2434">
        <f t="shared" si="7"/>
        <v>6475883</v>
      </c>
      <c r="Q47" s="2434">
        <f t="shared" si="7"/>
        <v>6913814</v>
      </c>
      <c r="R47" s="2434">
        <f t="shared" si="7"/>
        <v>6137031</v>
      </c>
      <c r="S47" s="2434">
        <f t="shared" ref="S47:T47" si="8">S25+S45</f>
        <v>5674292</v>
      </c>
      <c r="T47" s="2434">
        <f t="shared" si="8"/>
        <v>3249817.01</v>
      </c>
      <c r="U47" s="2434">
        <f t="shared" si="7"/>
        <v>12844669.99</v>
      </c>
      <c r="V47" s="2442">
        <f t="shared" si="7"/>
        <v>72616343</v>
      </c>
      <c r="W47" s="1482"/>
    </row>
    <row r="48" spans="2:23" x14ac:dyDescent="0.3">
      <c r="B48" s="590"/>
      <c r="C48" s="130"/>
      <c r="D48" s="130"/>
      <c r="E48" s="130"/>
      <c r="F48" s="130"/>
      <c r="G48" s="130"/>
      <c r="H48" s="130"/>
      <c r="I48" s="591"/>
      <c r="J48" s="130"/>
      <c r="K48" s="1029"/>
      <c r="L48" s="1030"/>
      <c r="M48" s="1030"/>
      <c r="N48" s="1030"/>
      <c r="O48" s="1030"/>
      <c r="P48" s="1030"/>
      <c r="Q48" s="1030"/>
      <c r="R48" s="1030"/>
      <c r="S48" s="1030"/>
      <c r="T48" s="1030"/>
      <c r="U48" s="1030"/>
      <c r="V48" s="1030"/>
      <c r="W48" s="1482"/>
    </row>
    <row r="49" spans="2:25" ht="15" thickBot="1" x14ac:dyDescent="0.35">
      <c r="B49" s="590"/>
      <c r="C49" s="2793" t="s">
        <v>315</v>
      </c>
      <c r="D49" s="2793"/>
      <c r="E49" s="2793"/>
      <c r="F49" s="2793"/>
      <c r="G49" s="2793"/>
      <c r="H49" s="2793"/>
      <c r="I49" s="2793"/>
      <c r="J49" s="2793"/>
      <c r="K49" s="2793"/>
      <c r="L49" s="1030"/>
      <c r="M49" s="1030"/>
      <c r="N49" s="1030"/>
      <c r="O49" s="1030"/>
      <c r="P49" s="1030"/>
      <c r="Q49" s="1030"/>
      <c r="R49" s="1030"/>
      <c r="S49" s="1030"/>
      <c r="T49" s="1030"/>
      <c r="U49" s="1030"/>
      <c r="V49" s="1030"/>
      <c r="W49" s="1482"/>
    </row>
    <row r="50" spans="2:25" x14ac:dyDescent="0.3">
      <c r="B50" s="590"/>
      <c r="C50" s="140" t="s">
        <v>21</v>
      </c>
      <c r="D50" s="2443">
        <v>0</v>
      </c>
      <c r="E50" s="2444">
        <v>0</v>
      </c>
      <c r="F50" s="2444">
        <v>0</v>
      </c>
      <c r="G50" s="2444">
        <v>0</v>
      </c>
      <c r="H50" s="2444">
        <v>0</v>
      </c>
      <c r="I50" s="2444">
        <v>0</v>
      </c>
      <c r="J50" s="2444">
        <v>0</v>
      </c>
      <c r="K50" s="2444">
        <v>0</v>
      </c>
      <c r="L50" s="2444">
        <v>0</v>
      </c>
      <c r="M50" s="2444">
        <v>3118619</v>
      </c>
      <c r="N50" s="2444">
        <v>0</v>
      </c>
      <c r="O50" s="2444">
        <v>0</v>
      </c>
      <c r="P50" s="2444">
        <v>0</v>
      </c>
      <c r="Q50" s="2444">
        <v>0</v>
      </c>
      <c r="R50" s="2444">
        <v>0</v>
      </c>
      <c r="S50" s="2444">
        <v>0</v>
      </c>
      <c r="T50" s="2444"/>
      <c r="U50" s="2444"/>
      <c r="V50" s="1488">
        <f t="shared" ref="V50:V58" si="9">SUM(D50:K50)+SUM(L50:U50)</f>
        <v>3118619</v>
      </c>
      <c r="W50" s="1482"/>
      <c r="X50" s="417"/>
    </row>
    <row r="51" spans="2:25" x14ac:dyDescent="0.3">
      <c r="B51" s="590"/>
      <c r="C51" s="141" t="s">
        <v>316</v>
      </c>
      <c r="D51" s="2445">
        <v>0</v>
      </c>
      <c r="E51" s="2446">
        <v>0</v>
      </c>
      <c r="F51" s="2446">
        <v>0</v>
      </c>
      <c r="G51" s="2446">
        <v>0</v>
      </c>
      <c r="H51" s="2446">
        <v>0</v>
      </c>
      <c r="I51" s="2446">
        <v>0</v>
      </c>
      <c r="J51" s="2446">
        <v>0</v>
      </c>
      <c r="K51" s="2446">
        <v>0</v>
      </c>
      <c r="L51" s="2446">
        <v>0</v>
      </c>
      <c r="M51" s="2446">
        <v>7443558</v>
      </c>
      <c r="N51" s="2446">
        <v>7617213</v>
      </c>
      <c r="O51" s="2446">
        <v>6322993</v>
      </c>
      <c r="P51" s="2446">
        <v>6007883</v>
      </c>
      <c r="Q51" s="2446">
        <v>5209504</v>
      </c>
      <c r="R51" s="2446">
        <v>5465031</v>
      </c>
      <c r="S51" s="2446">
        <v>4918312</v>
      </c>
      <c r="T51" s="2446">
        <v>305180</v>
      </c>
      <c r="U51" s="2446"/>
      <c r="V51" s="1486">
        <f t="shared" si="9"/>
        <v>43289674</v>
      </c>
      <c r="W51" s="1482"/>
      <c r="X51" s="417"/>
      <c r="Y51" s="485"/>
    </row>
    <row r="52" spans="2:25" x14ac:dyDescent="0.3">
      <c r="B52" s="590"/>
      <c r="C52" s="141" t="s">
        <v>1527</v>
      </c>
      <c r="D52" s="2445">
        <v>0</v>
      </c>
      <c r="E52" s="2446">
        <v>0</v>
      </c>
      <c r="F52" s="2446">
        <v>0</v>
      </c>
      <c r="G52" s="2446">
        <v>0</v>
      </c>
      <c r="H52" s="2446">
        <v>0</v>
      </c>
      <c r="I52" s="2446">
        <v>0</v>
      </c>
      <c r="J52" s="2446">
        <v>0</v>
      </c>
      <c r="K52" s="2446">
        <v>0</v>
      </c>
      <c r="L52" s="2446">
        <v>0</v>
      </c>
      <c r="M52" s="2446">
        <f>875000+305343+2100000</f>
        <v>3280343</v>
      </c>
      <c r="N52" s="2446">
        <v>475000</v>
      </c>
      <c r="O52" s="2446">
        <v>450000</v>
      </c>
      <c r="P52" s="2446">
        <v>450000</v>
      </c>
      <c r="Q52" s="2446">
        <v>450000</v>
      </c>
      <c r="R52" s="2446">
        <v>450000</v>
      </c>
      <c r="S52" s="2446">
        <v>425000</v>
      </c>
      <c r="T52" s="2446">
        <f>200000-5159</f>
        <v>194841</v>
      </c>
      <c r="U52" s="2446"/>
      <c r="V52" s="1486">
        <f t="shared" si="9"/>
        <v>6175184</v>
      </c>
      <c r="W52" s="1482"/>
      <c r="X52" s="417"/>
      <c r="Y52" s="485"/>
    </row>
    <row r="53" spans="2:25" x14ac:dyDescent="0.3">
      <c r="B53" s="590"/>
      <c r="C53" s="141" t="s">
        <v>317</v>
      </c>
      <c r="D53" s="2445">
        <v>0</v>
      </c>
      <c r="E53" s="2446">
        <v>0</v>
      </c>
      <c r="F53" s="2446">
        <v>0</v>
      </c>
      <c r="G53" s="2446">
        <v>0</v>
      </c>
      <c r="H53" s="2446">
        <v>0</v>
      </c>
      <c r="I53" s="2446">
        <v>0</v>
      </c>
      <c r="J53" s="2446">
        <v>0</v>
      </c>
      <c r="K53" s="2446">
        <v>0</v>
      </c>
      <c r="L53" s="2446">
        <v>0</v>
      </c>
      <c r="M53" s="2446">
        <v>64138</v>
      </c>
      <c r="N53" s="2446">
        <v>0</v>
      </c>
      <c r="O53" s="2446">
        <v>0</v>
      </c>
      <c r="P53" s="2446">
        <v>0</v>
      </c>
      <c r="Q53" s="2446">
        <v>0</v>
      </c>
      <c r="R53" s="2446">
        <v>0</v>
      </c>
      <c r="S53" s="2446">
        <v>0</v>
      </c>
      <c r="T53" s="2446"/>
      <c r="U53" s="2446"/>
      <c r="V53" s="1486">
        <f t="shared" si="9"/>
        <v>64138</v>
      </c>
      <c r="W53" s="1482"/>
      <c r="X53" s="417"/>
    </row>
    <row r="54" spans="2:25" x14ac:dyDescent="0.3">
      <c r="B54" s="590"/>
      <c r="C54" s="142" t="s">
        <v>186</v>
      </c>
      <c r="D54" s="2445">
        <v>0</v>
      </c>
      <c r="E54" s="2446">
        <v>0</v>
      </c>
      <c r="F54" s="2446">
        <v>0</v>
      </c>
      <c r="G54" s="2446">
        <v>0</v>
      </c>
      <c r="H54" s="2446">
        <v>0</v>
      </c>
      <c r="I54" s="2446">
        <v>0</v>
      </c>
      <c r="J54" s="2446">
        <v>0</v>
      </c>
      <c r="K54" s="2446">
        <v>0</v>
      </c>
      <c r="L54" s="2446">
        <v>0</v>
      </c>
      <c r="M54" s="2446">
        <v>107500</v>
      </c>
      <c r="N54" s="2446">
        <v>0</v>
      </c>
      <c r="O54" s="2446">
        <v>0</v>
      </c>
      <c r="P54" s="2446">
        <v>0</v>
      </c>
      <c r="Q54" s="2446">
        <v>125000</v>
      </c>
      <c r="R54" s="2446">
        <v>200000</v>
      </c>
      <c r="S54" s="2446">
        <f>100000+214480</f>
        <v>314480</v>
      </c>
      <c r="T54" s="2446">
        <v>159627</v>
      </c>
      <c r="U54" s="2446"/>
      <c r="V54" s="1486">
        <f t="shared" si="9"/>
        <v>906607</v>
      </c>
      <c r="W54" s="1482"/>
      <c r="X54" s="417"/>
    </row>
    <row r="55" spans="2:25" x14ac:dyDescent="0.3">
      <c r="B55" s="590"/>
      <c r="C55" s="142" t="s">
        <v>192</v>
      </c>
      <c r="D55" s="2445">
        <v>0</v>
      </c>
      <c r="E55" s="2446">
        <v>0</v>
      </c>
      <c r="F55" s="2446">
        <v>0</v>
      </c>
      <c r="G55" s="2446">
        <v>0</v>
      </c>
      <c r="H55" s="2446">
        <v>0</v>
      </c>
      <c r="I55" s="2446">
        <v>0</v>
      </c>
      <c r="J55" s="2446">
        <v>0</v>
      </c>
      <c r="K55" s="2446">
        <v>0</v>
      </c>
      <c r="L55" s="2446">
        <v>0</v>
      </c>
      <c r="M55" s="2446">
        <f>275000+17443</f>
        <v>292443</v>
      </c>
      <c r="N55" s="2446">
        <v>3000</v>
      </c>
      <c r="O55" s="2446">
        <v>3000</v>
      </c>
      <c r="P55" s="2446">
        <v>3000</v>
      </c>
      <c r="Q55" s="2446">
        <v>103000</v>
      </c>
      <c r="R55" s="2446">
        <v>3000</v>
      </c>
      <c r="S55" s="2446">
        <v>3000</v>
      </c>
      <c r="T55" s="2446">
        <v>1000</v>
      </c>
      <c r="U55" s="2446">
        <v>0</v>
      </c>
      <c r="V55" s="1486">
        <f t="shared" si="9"/>
        <v>411443</v>
      </c>
      <c r="W55" s="1482"/>
      <c r="X55" s="417"/>
      <c r="Y55" s="485"/>
    </row>
    <row r="56" spans="2:25" x14ac:dyDescent="0.3">
      <c r="B56" s="590"/>
      <c r="C56" s="142" t="s">
        <v>200</v>
      </c>
      <c r="D56" s="2445">
        <v>0</v>
      </c>
      <c r="E56" s="2446">
        <v>0</v>
      </c>
      <c r="F56" s="2446">
        <v>0</v>
      </c>
      <c r="G56" s="2446">
        <v>0</v>
      </c>
      <c r="H56" s="2446">
        <v>0</v>
      </c>
      <c r="I56" s="2446">
        <v>0</v>
      </c>
      <c r="J56" s="2446">
        <v>0</v>
      </c>
      <c r="K56" s="2446">
        <v>0</v>
      </c>
      <c r="L56" s="2446">
        <v>0</v>
      </c>
      <c r="M56" s="2446">
        <v>0</v>
      </c>
      <c r="N56" s="2446">
        <v>0</v>
      </c>
      <c r="O56" s="2446">
        <v>0</v>
      </c>
      <c r="P56" s="2446">
        <v>0</v>
      </c>
      <c r="Q56" s="2446">
        <v>0</v>
      </c>
      <c r="R56" s="2446">
        <v>0</v>
      </c>
      <c r="S56" s="2446">
        <v>0</v>
      </c>
      <c r="T56" s="2446">
        <v>615000</v>
      </c>
      <c r="U56" s="2446">
        <v>0</v>
      </c>
      <c r="V56" s="1486">
        <f t="shared" si="9"/>
        <v>615000</v>
      </c>
      <c r="W56" s="1482"/>
      <c r="X56" s="417"/>
    </row>
    <row r="57" spans="2:25" x14ac:dyDescent="0.3">
      <c r="B57" s="590"/>
      <c r="C57" s="142" t="s">
        <v>203</v>
      </c>
      <c r="D57" s="2445">
        <v>0</v>
      </c>
      <c r="E57" s="2446">
        <v>0</v>
      </c>
      <c r="F57" s="2446">
        <v>0</v>
      </c>
      <c r="G57" s="2446">
        <v>0</v>
      </c>
      <c r="H57" s="2446">
        <v>0</v>
      </c>
      <c r="I57" s="2446">
        <v>0</v>
      </c>
      <c r="J57" s="2446">
        <v>0</v>
      </c>
      <c r="K57" s="2446">
        <v>0</v>
      </c>
      <c r="L57" s="2446">
        <v>0</v>
      </c>
      <c r="M57" s="2446">
        <f>220757+360467</f>
        <v>581224</v>
      </c>
      <c r="N57" s="2446">
        <v>15000</v>
      </c>
      <c r="O57" s="2446"/>
      <c r="P57" s="2446">
        <v>15000</v>
      </c>
      <c r="Q57" s="2446">
        <f>50000+976310</f>
        <v>1026310</v>
      </c>
      <c r="R57" s="2446">
        <f>19000</f>
        <v>19000</v>
      </c>
      <c r="S57" s="2446">
        <v>13500</v>
      </c>
      <c r="T57" s="2446">
        <f>19027+89220+56343</f>
        <v>164590</v>
      </c>
      <c r="U57" s="2446">
        <v>0</v>
      </c>
      <c r="V57" s="1486">
        <f t="shared" si="9"/>
        <v>1834624</v>
      </c>
      <c r="W57" s="1482"/>
      <c r="X57" s="417"/>
    </row>
    <row r="58" spans="2:25" ht="15" thickBot="1" x14ac:dyDescent="0.35">
      <c r="B58" s="590"/>
      <c r="C58" s="142" t="s">
        <v>318</v>
      </c>
      <c r="D58" s="2447">
        <v>0</v>
      </c>
      <c r="E58" s="2448">
        <v>0</v>
      </c>
      <c r="F58" s="2448">
        <v>0</v>
      </c>
      <c r="G58" s="2448">
        <v>0</v>
      </c>
      <c r="H58" s="2448">
        <v>0</v>
      </c>
      <c r="I58" s="2448">
        <v>0</v>
      </c>
      <c r="J58" s="2448">
        <v>0</v>
      </c>
      <c r="K58" s="2448">
        <v>0</v>
      </c>
      <c r="L58" s="2448">
        <v>0</v>
      </c>
      <c r="M58" s="2448">
        <v>111000</v>
      </c>
      <c r="N58" s="2448">
        <v>0</v>
      </c>
      <c r="O58" s="2448">
        <v>0</v>
      </c>
      <c r="P58" s="2448">
        <v>0</v>
      </c>
      <c r="Q58" s="2448">
        <v>0</v>
      </c>
      <c r="R58" s="2448">
        <v>0</v>
      </c>
      <c r="S58" s="2448">
        <v>0</v>
      </c>
      <c r="T58" s="2448">
        <v>0</v>
      </c>
      <c r="U58" s="2448">
        <v>0</v>
      </c>
      <c r="V58" s="1487">
        <f t="shared" si="9"/>
        <v>111000</v>
      </c>
      <c r="W58" s="1482"/>
      <c r="X58" s="417"/>
    </row>
    <row r="59" spans="2:25" ht="3.75" customHeight="1" thickBot="1" x14ac:dyDescent="0.35">
      <c r="B59" s="590"/>
      <c r="C59" s="138"/>
      <c r="D59" s="130"/>
      <c r="E59" s="130"/>
      <c r="F59" s="130"/>
      <c r="G59" s="130"/>
      <c r="H59" s="130"/>
      <c r="I59" s="591"/>
      <c r="J59" s="130"/>
      <c r="K59" s="591"/>
      <c r="L59" s="130"/>
      <c r="M59" s="136"/>
      <c r="N59" s="136"/>
      <c r="O59" s="136"/>
      <c r="P59" s="136"/>
      <c r="Q59" s="136"/>
      <c r="R59" s="136"/>
      <c r="S59" s="136"/>
      <c r="T59" s="136"/>
      <c r="U59" s="136"/>
      <c r="V59" s="137"/>
      <c r="W59" s="1482"/>
    </row>
    <row r="60" spans="2:25" ht="15" thickBot="1" x14ac:dyDescent="0.35">
      <c r="B60" s="590"/>
      <c r="C60" s="131" t="s">
        <v>319</v>
      </c>
      <c r="D60" s="1034">
        <f>SUM(D50:D58)</f>
        <v>0</v>
      </c>
      <c r="E60" s="1035">
        <f t="shared" ref="E60:J60" si="10">SUM(E50:E58)</f>
        <v>0</v>
      </c>
      <c r="F60" s="1035">
        <f t="shared" si="10"/>
        <v>0</v>
      </c>
      <c r="G60" s="1035">
        <f t="shared" si="10"/>
        <v>0</v>
      </c>
      <c r="H60" s="1035">
        <f t="shared" si="10"/>
        <v>0</v>
      </c>
      <c r="I60" s="1035">
        <f t="shared" si="10"/>
        <v>0</v>
      </c>
      <c r="J60" s="1035">
        <f t="shared" si="10"/>
        <v>0</v>
      </c>
      <c r="K60" s="1035">
        <f>SUM(K50:K58)</f>
        <v>0</v>
      </c>
      <c r="L60" s="1035">
        <f>SUM(L50:L58)</f>
        <v>0</v>
      </c>
      <c r="M60" s="1035">
        <f t="shared" ref="M60:R60" si="11">SUM(M50:M58)</f>
        <v>14998825</v>
      </c>
      <c r="N60" s="1035">
        <f t="shared" si="11"/>
        <v>8110213</v>
      </c>
      <c r="O60" s="1035">
        <f t="shared" si="11"/>
        <v>6775993</v>
      </c>
      <c r="P60" s="1035">
        <f t="shared" si="11"/>
        <v>6475883</v>
      </c>
      <c r="Q60" s="1035">
        <f t="shared" si="11"/>
        <v>6913814</v>
      </c>
      <c r="R60" s="1035">
        <f t="shared" si="11"/>
        <v>6137031</v>
      </c>
      <c r="S60" s="1035">
        <f t="shared" ref="S60:T60" si="12">SUM(S50:S58)</f>
        <v>5674292</v>
      </c>
      <c r="T60" s="1035">
        <f t="shared" si="12"/>
        <v>1440238</v>
      </c>
      <c r="U60" s="1035">
        <f>SUM(U50:U58)</f>
        <v>0</v>
      </c>
      <c r="V60" s="1978">
        <f>SUM(V50:V58)</f>
        <v>56526289</v>
      </c>
      <c r="W60" s="1482"/>
    </row>
    <row r="61" spans="2:25" ht="3.75" customHeight="1" thickBot="1" x14ac:dyDescent="0.35">
      <c r="B61" s="590"/>
      <c r="C61" s="130"/>
      <c r="D61" s="136"/>
      <c r="E61" s="136"/>
      <c r="F61" s="136"/>
      <c r="G61" s="136"/>
      <c r="H61" s="136"/>
      <c r="I61" s="594"/>
      <c r="J61" s="130"/>
      <c r="K61" s="594"/>
      <c r="L61" s="130"/>
      <c r="M61" s="136"/>
      <c r="N61" s="136"/>
      <c r="O61" s="136"/>
      <c r="P61" s="136"/>
      <c r="Q61" s="594"/>
      <c r="R61" s="130"/>
      <c r="S61" s="136"/>
      <c r="T61" s="136"/>
      <c r="U61" s="136"/>
      <c r="V61" s="138"/>
      <c r="W61" s="1482"/>
    </row>
    <row r="62" spans="2:25" ht="15" thickBot="1" x14ac:dyDescent="0.35">
      <c r="B62" s="590"/>
      <c r="C62" s="134" t="s">
        <v>320</v>
      </c>
      <c r="D62" s="1034">
        <f t="shared" ref="D62:V62" si="13">D47-D60</f>
        <v>40645</v>
      </c>
      <c r="E62" s="1035">
        <f t="shared" si="13"/>
        <v>80630</v>
      </c>
      <c r="F62" s="1035">
        <f t="shared" si="13"/>
        <v>91865</v>
      </c>
      <c r="G62" s="1035">
        <f t="shared" si="13"/>
        <v>138128</v>
      </c>
      <c r="H62" s="1035">
        <f t="shared" si="13"/>
        <v>157955</v>
      </c>
      <c r="I62" s="1035">
        <f t="shared" si="13"/>
        <v>199592</v>
      </c>
      <c r="J62" s="1035">
        <f t="shared" si="13"/>
        <v>280222</v>
      </c>
      <c r="K62" s="1035">
        <f t="shared" si="13"/>
        <v>181087</v>
      </c>
      <c r="L62" s="1035">
        <f t="shared" si="13"/>
        <v>265681</v>
      </c>
      <c r="M62" s="1035">
        <f t="shared" si="13"/>
        <v>0</v>
      </c>
      <c r="N62" s="1035">
        <f t="shared" si="13"/>
        <v>0</v>
      </c>
      <c r="O62" s="1035">
        <f t="shared" si="13"/>
        <v>0</v>
      </c>
      <c r="P62" s="1035">
        <f t="shared" si="13"/>
        <v>0</v>
      </c>
      <c r="Q62" s="1035">
        <f t="shared" si="13"/>
        <v>0</v>
      </c>
      <c r="R62" s="1035">
        <f t="shared" si="13"/>
        <v>0</v>
      </c>
      <c r="S62" s="1035">
        <f t="shared" ref="S62:T62" si="14">S47-S60</f>
        <v>0</v>
      </c>
      <c r="T62" s="1035">
        <f t="shared" si="14"/>
        <v>1809579.0099999998</v>
      </c>
      <c r="U62" s="1035">
        <f>U47-U60</f>
        <v>12844669.99</v>
      </c>
      <c r="V62" s="1037">
        <f t="shared" si="13"/>
        <v>16090054</v>
      </c>
      <c r="W62" s="1482"/>
    </row>
    <row r="63" spans="2:25" ht="15.75" customHeight="1" x14ac:dyDescent="0.3">
      <c r="B63" s="590"/>
      <c r="C63" s="130"/>
      <c r="D63" s="130"/>
      <c r="E63" s="136"/>
      <c r="F63" s="136"/>
      <c r="G63" s="136"/>
      <c r="H63" s="136"/>
      <c r="I63" s="136"/>
      <c r="J63" s="136"/>
      <c r="K63" s="136"/>
      <c r="L63" s="1030"/>
      <c r="M63" s="1030"/>
      <c r="N63" s="1030"/>
      <c r="O63" s="1030"/>
      <c r="P63" s="1030"/>
      <c r="Q63" s="1030"/>
      <c r="R63" s="1030"/>
      <c r="S63" s="1030"/>
      <c r="T63" s="1030"/>
      <c r="U63" s="1030"/>
      <c r="V63" s="1030"/>
      <c r="W63" s="1482"/>
      <c r="X63" s="485"/>
    </row>
    <row r="64" spans="2:25" x14ac:dyDescent="0.3">
      <c r="B64" s="590"/>
      <c r="C64" s="135" t="s">
        <v>321</v>
      </c>
      <c r="D64" s="1030"/>
      <c r="E64" s="136"/>
      <c r="F64" s="136"/>
      <c r="G64" s="136"/>
      <c r="H64" s="136"/>
      <c r="I64" s="136"/>
      <c r="J64" s="136"/>
      <c r="K64" s="136"/>
      <c r="L64" s="1030"/>
      <c r="M64" s="1030"/>
      <c r="N64" s="1030"/>
      <c r="O64" s="1030"/>
      <c r="P64" s="1030"/>
      <c r="Q64" s="1030"/>
      <c r="R64" s="1030"/>
      <c r="S64" s="1030"/>
      <c r="T64" s="1030"/>
      <c r="U64" s="1030"/>
      <c r="V64" s="1030"/>
      <c r="W64" s="1482"/>
    </row>
    <row r="65" spans="2:23" ht="15" customHeight="1" x14ac:dyDescent="0.3">
      <c r="B65" s="590"/>
      <c r="C65" s="2782"/>
      <c r="D65" s="2783"/>
      <c r="E65" s="2783"/>
      <c r="F65" s="2783"/>
      <c r="G65" s="2783"/>
      <c r="H65" s="2783"/>
      <c r="I65" s="2783"/>
      <c r="J65" s="2783"/>
      <c r="K65" s="2784"/>
      <c r="L65" s="1030"/>
      <c r="M65" s="1030"/>
      <c r="N65" s="1030"/>
      <c r="O65" s="1030"/>
      <c r="P65" s="1030"/>
      <c r="Q65" s="1030"/>
      <c r="R65" s="1030"/>
      <c r="S65" s="1030"/>
      <c r="T65" s="1030"/>
      <c r="U65" s="1030"/>
      <c r="V65" s="1030"/>
      <c r="W65" s="1482"/>
    </row>
    <row r="66" spans="2:23" ht="15" customHeight="1" x14ac:dyDescent="0.3">
      <c r="B66" s="590"/>
      <c r="C66" s="2785"/>
      <c r="D66" s="2786"/>
      <c r="E66" s="2786"/>
      <c r="F66" s="2786"/>
      <c r="G66" s="2786"/>
      <c r="H66" s="2786"/>
      <c r="I66" s="2786"/>
      <c r="J66" s="2786"/>
      <c r="K66" s="2787"/>
      <c r="L66" s="1030"/>
      <c r="M66" s="1030"/>
      <c r="N66" s="1030"/>
      <c r="O66" s="1030"/>
      <c r="P66" s="1030"/>
      <c r="Q66" s="1030"/>
      <c r="R66" s="1030"/>
      <c r="S66" s="1030"/>
      <c r="T66" s="1030"/>
      <c r="U66" s="1030"/>
      <c r="V66" s="1030"/>
      <c r="W66" s="1482"/>
    </row>
    <row r="67" spans="2:23" ht="15" customHeight="1" x14ac:dyDescent="0.3">
      <c r="B67" s="590"/>
      <c r="C67" s="2785"/>
      <c r="D67" s="2786"/>
      <c r="E67" s="2786"/>
      <c r="F67" s="2786"/>
      <c r="G67" s="2786"/>
      <c r="H67" s="2786"/>
      <c r="I67" s="2786"/>
      <c r="J67" s="2786"/>
      <c r="K67" s="2787"/>
      <c r="L67" s="1030"/>
      <c r="M67" s="1030"/>
      <c r="N67" s="1030"/>
      <c r="O67" s="1030"/>
      <c r="P67" s="1030"/>
      <c r="Q67" s="1030"/>
      <c r="R67" s="1030"/>
      <c r="S67" s="1030"/>
      <c r="T67" s="1030"/>
      <c r="U67" s="1030"/>
      <c r="V67" s="1030"/>
      <c r="W67" s="1482"/>
    </row>
    <row r="68" spans="2:23" ht="15" customHeight="1" x14ac:dyDescent="0.3">
      <c r="B68" s="590"/>
      <c r="C68" s="2788"/>
      <c r="D68" s="2789"/>
      <c r="E68" s="2789"/>
      <c r="F68" s="2789"/>
      <c r="G68" s="2789"/>
      <c r="H68" s="2789"/>
      <c r="I68" s="2789"/>
      <c r="J68" s="2789"/>
      <c r="K68" s="2790"/>
      <c r="L68" s="1030"/>
      <c r="M68" s="1030"/>
      <c r="N68" s="1030"/>
      <c r="O68" s="1030"/>
      <c r="P68" s="1030"/>
      <c r="Q68" s="1030"/>
      <c r="R68" s="1030"/>
      <c r="S68" s="1030"/>
      <c r="T68" s="1030"/>
      <c r="U68" s="1030"/>
      <c r="V68" s="1030"/>
      <c r="W68" s="1482"/>
    </row>
    <row r="69" spans="2:23" ht="9" customHeight="1" thickBot="1" x14ac:dyDescent="0.35">
      <c r="B69" s="595"/>
      <c r="C69" s="1032"/>
      <c r="D69" s="1031"/>
      <c r="E69" s="1031"/>
      <c r="F69" s="1031"/>
      <c r="G69" s="1031"/>
      <c r="H69" s="1031"/>
      <c r="I69" s="1031"/>
      <c r="J69" s="1031"/>
      <c r="K69" s="1031"/>
      <c r="L69" s="1490"/>
      <c r="M69" s="1490"/>
      <c r="N69" s="1490"/>
      <c r="O69" s="1490"/>
      <c r="P69" s="1490"/>
      <c r="Q69" s="1490"/>
      <c r="R69" s="1490"/>
      <c r="S69" s="1490"/>
      <c r="T69" s="1490"/>
      <c r="U69" s="1490"/>
      <c r="V69" s="1490"/>
      <c r="W69" s="1439"/>
    </row>
    <row r="70" spans="2:23" ht="3.75" customHeight="1" x14ac:dyDescent="0.3"/>
    <row r="71" spans="2:23" ht="3.75" customHeight="1" x14ac:dyDescent="0.3"/>
  </sheetData>
  <sheetProtection algorithmName="SHA-512" hashValue="Wf9WfKp5/gNJ0oaL5/HJu9br2s7/zPhEhdFITWN1+VnUVnoOqRzmvFTDSrTIQm3smmPrqzjFnC2ebHMkJdOiwQ==" saltValue="QWA+DRc4d2hEsxg/unVjlA==" spinCount="100000" sheet="1" formatCells="0" formatColumns="0" formatRows="0" insertRows="0"/>
  <mergeCells count="6">
    <mergeCell ref="C65:K68"/>
    <mergeCell ref="C14:J14"/>
    <mergeCell ref="C18:K18"/>
    <mergeCell ref="C49:K49"/>
    <mergeCell ref="C12:V12"/>
    <mergeCell ref="C16:J16"/>
  </mergeCells>
  <pageMargins left="1" right="0.25" top="0.75" bottom="0.75" header="0.3" footer="0.3"/>
  <pageSetup paperSize="17" scale="77" orientation="landscape" r:id="rId1"/>
  <headerFooter>
    <oddFooter>&amp;LForm 7B
Estimate of Cash Flow During Development&amp;CCFA Forms&amp;REdition: 2017
Version: 1.0</oddFooter>
  </headerFooter>
  <rowBreaks count="1" manualBreakCount="1">
    <brk id="70" min="1" max="12"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B8:R59"/>
  <sheetViews>
    <sheetView showGridLines="0" topLeftCell="A16" zoomScaleNormal="100" workbookViewId="0">
      <selection activeCell="E31" sqref="E31"/>
    </sheetView>
  </sheetViews>
  <sheetFormatPr defaultColWidth="9.109375" defaultRowHeight="14.4" x14ac:dyDescent="0.3"/>
  <cols>
    <col min="1" max="2" width="1.6640625" style="400" customWidth="1"/>
    <col min="3" max="3" width="24.5546875" style="400" bestFit="1" customWidth="1"/>
    <col min="4" max="4" width="22.33203125" style="400" bestFit="1" customWidth="1"/>
    <col min="5" max="5" width="15.44140625" style="400" bestFit="1" customWidth="1"/>
    <col min="6" max="6" width="17" style="400" bestFit="1" customWidth="1"/>
    <col min="7" max="7" width="9.109375" style="400"/>
    <col min="8" max="8" width="9.44140625" style="400" bestFit="1" customWidth="1"/>
    <col min="9" max="9" width="10.44140625" style="400" bestFit="1" customWidth="1"/>
    <col min="10" max="10" width="6.88671875" style="400" bestFit="1" customWidth="1"/>
    <col min="11" max="11" width="11.33203125" style="400" bestFit="1" customWidth="1"/>
    <col min="12" max="12" width="9" style="400" bestFit="1" customWidth="1"/>
    <col min="13" max="13" width="11.33203125" style="400" bestFit="1" customWidth="1"/>
    <col min="14" max="14" width="9.6640625" style="400" bestFit="1" customWidth="1"/>
    <col min="15" max="15" width="10.109375" style="400" bestFit="1" customWidth="1"/>
    <col min="16" max="16" width="10" style="400" bestFit="1" customWidth="1"/>
    <col min="17" max="17" width="1.6640625" style="400" customWidth="1"/>
    <col min="18" max="16384" width="9.109375" style="400"/>
  </cols>
  <sheetData>
    <row r="8" spans="2:17" ht="9" customHeight="1" thickBot="1" x14ac:dyDescent="0.35"/>
    <row r="9" spans="2:17" ht="9" customHeight="1" x14ac:dyDescent="0.3">
      <c r="B9" s="555"/>
      <c r="C9" s="556"/>
      <c r="D9" s="556"/>
      <c r="E9" s="557"/>
      <c r="F9" s="557"/>
      <c r="G9" s="557"/>
      <c r="H9" s="556"/>
      <c r="I9" s="556"/>
      <c r="J9" s="556"/>
      <c r="K9" s="556"/>
      <c r="L9" s="556"/>
      <c r="M9" s="556"/>
      <c r="N9" s="556"/>
      <c r="O9" s="556"/>
      <c r="P9" s="556"/>
      <c r="Q9" s="558"/>
    </row>
    <row r="10" spans="2:17" ht="18" x14ac:dyDescent="0.35">
      <c r="B10" s="559"/>
      <c r="C10" s="2657" t="s">
        <v>1859</v>
      </c>
      <c r="D10" s="2657"/>
      <c r="E10" s="2657"/>
      <c r="F10" s="2657"/>
      <c r="G10" s="2657"/>
      <c r="H10" s="2657"/>
      <c r="I10" s="2657"/>
      <c r="J10" s="2657"/>
      <c r="K10" s="2657"/>
      <c r="L10" s="2657"/>
      <c r="M10" s="2657"/>
      <c r="N10" s="2657"/>
      <c r="O10" s="2657"/>
      <c r="P10" s="2657"/>
      <c r="Q10" s="560"/>
    </row>
    <row r="11" spans="2:17" x14ac:dyDescent="0.3">
      <c r="B11" s="559"/>
      <c r="C11" s="2018"/>
      <c r="D11" s="2018"/>
      <c r="E11" s="2019"/>
      <c r="F11" s="2019"/>
      <c r="G11" s="2019"/>
      <c r="H11" s="2018"/>
      <c r="I11" s="2018"/>
      <c r="J11" s="2018"/>
      <c r="K11" s="2018"/>
      <c r="L11" s="2018"/>
      <c r="M11" s="2018"/>
      <c r="N11" s="2018"/>
      <c r="O11" s="2018"/>
      <c r="P11" s="2018"/>
      <c r="Q11" s="560"/>
    </row>
    <row r="12" spans="2:17" ht="15" thickBot="1" x14ac:dyDescent="0.35">
      <c r="B12" s="559"/>
      <c r="C12" s="2557" t="str">
        <f>IF('1'!G5="","Enter Project Name on Form 1",(CONCATENATE("Project Name: ",'1'!G5)))</f>
        <v>Project Name: 6600 Roosevelt Way NE</v>
      </c>
      <c r="D12" s="2646"/>
      <c r="E12" s="2557"/>
      <c r="F12" s="2557"/>
      <c r="G12" s="2557"/>
      <c r="H12" s="2557"/>
      <c r="I12" s="2557"/>
      <c r="J12" s="2557"/>
      <c r="K12" s="2774"/>
      <c r="L12" s="2557"/>
      <c r="M12" s="2557"/>
      <c r="N12" s="2018"/>
      <c r="O12" s="2018"/>
      <c r="P12" s="2018"/>
      <c r="Q12" s="560"/>
    </row>
    <row r="13" spans="2:17" ht="7.5" customHeight="1" x14ac:dyDescent="0.3">
      <c r="B13" s="559"/>
      <c r="C13" s="2116"/>
      <c r="D13" s="2116"/>
      <c r="E13" s="2116"/>
      <c r="F13" s="2116"/>
      <c r="G13" s="2116"/>
      <c r="H13" s="2116"/>
      <c r="I13" s="2116"/>
      <c r="J13" s="2116"/>
      <c r="K13" s="2116"/>
      <c r="L13" s="2116"/>
      <c r="M13" s="2116"/>
      <c r="N13" s="2124"/>
      <c r="O13" s="2124"/>
      <c r="P13" s="2124"/>
      <c r="Q13" s="560"/>
    </row>
    <row r="14" spans="2:17" ht="15" thickBot="1" x14ac:dyDescent="0.35">
      <c r="B14" s="559"/>
      <c r="C14" s="2557" t="str">
        <f>IF('1'!G55="","Enter Site Name/ID Number on Form 1",(CONCATENATE("Site Name/ID: ",'1'!G55)))</f>
        <v>Site Name/ID: Site B - 9% Building</v>
      </c>
      <c r="D14" s="2646"/>
      <c r="E14" s="2557"/>
      <c r="F14" s="2557"/>
      <c r="G14" s="2557"/>
      <c r="H14" s="2557"/>
      <c r="I14" s="2557"/>
      <c r="J14" s="2557"/>
      <c r="K14" s="2774"/>
      <c r="L14" s="2557"/>
      <c r="M14" s="2557"/>
      <c r="N14" s="2124"/>
      <c r="O14" s="2124"/>
      <c r="P14" s="2124"/>
      <c r="Q14" s="560"/>
    </row>
    <row r="15" spans="2:17" ht="7.5" customHeight="1" x14ac:dyDescent="0.3">
      <c r="B15" s="559"/>
      <c r="C15" s="2018"/>
      <c r="D15" s="2018"/>
      <c r="E15" s="2019"/>
      <c r="F15" s="2019"/>
      <c r="G15" s="2019"/>
      <c r="H15" s="2018"/>
      <c r="I15" s="2018"/>
      <c r="J15" s="2018"/>
      <c r="K15" s="2018"/>
      <c r="L15" s="2018"/>
      <c r="M15" s="2018"/>
      <c r="N15" s="2018"/>
      <c r="O15" s="2018"/>
      <c r="P15" s="2018"/>
      <c r="Q15" s="560"/>
    </row>
    <row r="16" spans="2:17" ht="15" thickBot="1" x14ac:dyDescent="0.35">
      <c r="B16" s="559"/>
      <c r="C16" s="2753" t="s">
        <v>290</v>
      </c>
      <c r="D16" s="2754"/>
      <c r="E16" s="2753"/>
      <c r="F16" s="2753"/>
      <c r="G16" s="2753"/>
      <c r="H16" s="2753"/>
      <c r="I16" s="2753"/>
      <c r="J16" s="2753"/>
      <c r="K16" s="2775"/>
      <c r="L16" s="2753"/>
      <c r="M16" s="2753"/>
      <c r="N16" s="2018"/>
      <c r="O16" s="493"/>
      <c r="P16" s="493"/>
      <c r="Q16" s="561"/>
    </row>
    <row r="17" spans="2:18" ht="28.2" thickBot="1" x14ac:dyDescent="0.35">
      <c r="B17" s="562"/>
      <c r="C17" s="1011" t="s">
        <v>633</v>
      </c>
      <c r="D17" s="745" t="s">
        <v>634</v>
      </c>
      <c r="E17" s="563" t="s">
        <v>292</v>
      </c>
      <c r="F17" s="2023" t="s">
        <v>293</v>
      </c>
      <c r="G17" s="564" t="s">
        <v>294</v>
      </c>
      <c r="H17" s="564" t="s">
        <v>504</v>
      </c>
      <c r="I17" s="565" t="s">
        <v>295</v>
      </c>
      <c r="J17" s="2776" t="s">
        <v>296</v>
      </c>
      <c r="K17" s="2777"/>
      <c r="L17" s="2777"/>
      <c r="M17" s="2778"/>
      <c r="N17" s="2018"/>
      <c r="O17" s="566"/>
      <c r="P17" s="566"/>
      <c r="Q17" s="567"/>
    </row>
    <row r="18" spans="2:18" ht="27.6" x14ac:dyDescent="0.3">
      <c r="B18" s="559"/>
      <c r="C18" s="2425" t="s">
        <v>2118</v>
      </c>
      <c r="D18" s="1009" t="s">
        <v>618</v>
      </c>
      <c r="E18" s="746">
        <v>736695</v>
      </c>
      <c r="F18" s="747">
        <v>0</v>
      </c>
      <c r="G18" s="2426">
        <v>0.04</v>
      </c>
      <c r="H18" s="748"/>
      <c r="I18" s="749"/>
      <c r="J18" s="2779" t="s">
        <v>2119</v>
      </c>
      <c r="K18" s="2780"/>
      <c r="L18" s="2780"/>
      <c r="M18" s="2781"/>
      <c r="N18" s="2018"/>
      <c r="O18" s="2018"/>
      <c r="P18" s="2018"/>
      <c r="Q18" s="560"/>
    </row>
    <row r="19" spans="2:18" x14ac:dyDescent="0.3">
      <c r="B19" s="559"/>
      <c r="C19" s="750" t="s">
        <v>2132</v>
      </c>
      <c r="D19" s="1010" t="s">
        <v>619</v>
      </c>
      <c r="E19" s="751">
        <v>13000000</v>
      </c>
      <c r="F19" s="752">
        <v>0</v>
      </c>
      <c r="G19" s="1205">
        <v>4</v>
      </c>
      <c r="H19" s="753" t="s">
        <v>2134</v>
      </c>
      <c r="I19" s="754"/>
      <c r="J19" s="2767" t="s">
        <v>2123</v>
      </c>
      <c r="K19" s="2768"/>
      <c r="L19" s="2768"/>
      <c r="M19" s="2769"/>
      <c r="N19" s="2018"/>
      <c r="O19" s="2018"/>
      <c r="P19" s="2018"/>
      <c r="Q19" s="560"/>
    </row>
    <row r="20" spans="2:18" x14ac:dyDescent="0.3">
      <c r="B20" s="559"/>
      <c r="C20" s="750" t="s">
        <v>2133</v>
      </c>
      <c r="D20" s="1010" t="s">
        <v>619</v>
      </c>
      <c r="E20" s="751">
        <v>14000000</v>
      </c>
      <c r="F20" s="752">
        <v>0</v>
      </c>
      <c r="G20" s="1205">
        <v>4</v>
      </c>
      <c r="H20" s="753" t="s">
        <v>2134</v>
      </c>
      <c r="I20" s="754"/>
      <c r="J20" s="2767" t="s">
        <v>2135</v>
      </c>
      <c r="K20" s="2768"/>
      <c r="L20" s="2768"/>
      <c r="M20" s="2769"/>
      <c r="N20" s="2018"/>
      <c r="O20" s="2018"/>
      <c r="P20" s="2018"/>
      <c r="Q20" s="560"/>
    </row>
    <row r="21" spans="2:18" ht="7.5" customHeight="1" thickBot="1" x14ac:dyDescent="0.35">
      <c r="B21" s="559"/>
      <c r="C21" s="1460"/>
      <c r="D21" s="1461"/>
      <c r="E21" s="1462"/>
      <c r="F21" s="1463"/>
      <c r="G21" s="1464"/>
      <c r="H21" s="1465"/>
      <c r="I21" s="1466"/>
      <c r="J21" s="2770"/>
      <c r="K21" s="2771"/>
      <c r="L21" s="2772"/>
      <c r="M21" s="2773"/>
      <c r="N21" s="2018"/>
      <c r="O21" s="2018"/>
      <c r="P21" s="2018"/>
      <c r="Q21" s="560"/>
    </row>
    <row r="22" spans="2:18" ht="15" thickBot="1" x14ac:dyDescent="0.35">
      <c r="B22" s="559"/>
      <c r="C22" s="384"/>
      <c r="D22" s="721" t="s">
        <v>297</v>
      </c>
      <c r="E22" s="568">
        <f>SUM(E18:E21)</f>
        <v>27736695</v>
      </c>
      <c r="F22" s="569">
        <f>SUM(F18:F21)</f>
        <v>0</v>
      </c>
      <c r="G22" s="193"/>
      <c r="H22" s="2018"/>
      <c r="I22" s="2018"/>
      <c r="J22" s="2018"/>
      <c r="K22" s="2018"/>
      <c r="L22" s="2018"/>
      <c r="M22" s="2018"/>
      <c r="N22" s="2018"/>
      <c r="O22" s="2018"/>
      <c r="P22" s="2018"/>
      <c r="Q22" s="560"/>
    </row>
    <row r="23" spans="2:18" ht="3.75" customHeight="1" thickBot="1" x14ac:dyDescent="0.35">
      <c r="B23" s="559"/>
      <c r="C23" s="194"/>
      <c r="D23" s="194"/>
      <c r="E23" s="195"/>
      <c r="F23" s="195"/>
      <c r="G23" s="193"/>
      <c r="H23" s="2018"/>
      <c r="I23" s="2018"/>
      <c r="J23" s="2018"/>
      <c r="K23" s="2018"/>
      <c r="L23" s="2018"/>
      <c r="M23" s="2018"/>
      <c r="N23" s="2018"/>
      <c r="O23" s="2018"/>
      <c r="P23" s="2018"/>
      <c r="Q23" s="560"/>
    </row>
    <row r="24" spans="2:18" ht="15" thickBot="1" x14ac:dyDescent="0.35">
      <c r="B24" s="559"/>
      <c r="C24" s="571" t="s">
        <v>298</v>
      </c>
      <c r="D24" s="571"/>
      <c r="E24" s="384"/>
      <c r="F24" s="199">
        <f>E22+F22</f>
        <v>27736695</v>
      </c>
      <c r="G24" s="2019"/>
      <c r="H24" s="2018"/>
      <c r="I24" s="2018"/>
      <c r="J24" s="2018"/>
      <c r="K24" s="2018"/>
      <c r="L24" s="2018"/>
      <c r="M24" s="2018"/>
      <c r="N24" s="2018"/>
      <c r="O24" s="2018"/>
      <c r="P24" s="2018"/>
      <c r="Q24" s="560"/>
    </row>
    <row r="25" spans="2:18" ht="7.5" customHeight="1" x14ac:dyDescent="0.3">
      <c r="B25" s="559"/>
      <c r="C25" s="2018"/>
      <c r="D25" s="2018"/>
      <c r="E25" s="2019"/>
      <c r="F25" s="2019"/>
      <c r="G25" s="2019"/>
      <c r="H25" s="2018"/>
      <c r="I25" s="2018"/>
      <c r="J25" s="2018"/>
      <c r="K25" s="2018"/>
      <c r="L25" s="2018"/>
      <c r="M25" s="2018"/>
      <c r="N25" s="2018"/>
      <c r="O25" s="2018"/>
      <c r="P25" s="2018"/>
      <c r="Q25" s="560"/>
    </row>
    <row r="26" spans="2:18" ht="15" thickBot="1" x14ac:dyDescent="0.35">
      <c r="B26" s="559"/>
      <c r="C26" s="2557" t="s">
        <v>299</v>
      </c>
      <c r="D26" s="2646"/>
      <c r="E26" s="2557"/>
      <c r="F26" s="2557"/>
      <c r="G26" s="2557"/>
      <c r="H26" s="2557"/>
      <c r="I26" s="2557"/>
      <c r="J26" s="2557"/>
      <c r="K26" s="2774"/>
      <c r="L26" s="2557"/>
      <c r="M26" s="2557"/>
      <c r="N26" s="2557"/>
      <c r="O26" s="2557"/>
      <c r="P26" s="2557"/>
      <c r="Q26" s="561"/>
    </row>
    <row r="27" spans="2:18" ht="28.2" thickBot="1" x14ac:dyDescent="0.35">
      <c r="B27" s="562"/>
      <c r="C27" s="1011" t="s">
        <v>630</v>
      </c>
      <c r="D27" s="745" t="s">
        <v>632</v>
      </c>
      <c r="E27" s="2023" t="s">
        <v>292</v>
      </c>
      <c r="F27" s="2023" t="s">
        <v>293</v>
      </c>
      <c r="G27" s="2023" t="s">
        <v>300</v>
      </c>
      <c r="H27" s="565" t="s">
        <v>301</v>
      </c>
      <c r="I27" s="565" t="s">
        <v>302</v>
      </c>
      <c r="J27" s="2023" t="s">
        <v>543</v>
      </c>
      <c r="K27" s="745" t="s">
        <v>1502</v>
      </c>
      <c r="L27" s="745" t="s">
        <v>1501</v>
      </c>
      <c r="M27" s="564" t="s">
        <v>294</v>
      </c>
      <c r="N27" s="564" t="s">
        <v>1503</v>
      </c>
      <c r="O27" s="565" t="s">
        <v>295</v>
      </c>
      <c r="P27" s="2024" t="s">
        <v>503</v>
      </c>
      <c r="Q27" s="567"/>
    </row>
    <row r="28" spans="2:18" x14ac:dyDescent="0.3">
      <c r="B28" s="559"/>
      <c r="C28" s="755" t="s">
        <v>1900</v>
      </c>
      <c r="D28" s="768" t="s">
        <v>616</v>
      </c>
      <c r="E28" s="756">
        <v>2335000</v>
      </c>
      <c r="F28" s="747">
        <v>0</v>
      </c>
      <c r="G28" s="757" t="s">
        <v>560</v>
      </c>
      <c r="H28" s="1959">
        <v>42992</v>
      </c>
      <c r="I28" s="1198">
        <v>43074</v>
      </c>
      <c r="J28" s="1615" t="s">
        <v>542</v>
      </c>
      <c r="K28" s="1619" t="s">
        <v>1496</v>
      </c>
      <c r="L28" s="758" t="s">
        <v>1506</v>
      </c>
      <c r="M28" s="2336">
        <v>0.01</v>
      </c>
      <c r="N28" s="2025" t="s">
        <v>2127</v>
      </c>
      <c r="O28" s="2025" t="s">
        <v>1889</v>
      </c>
      <c r="P28" s="759"/>
      <c r="Q28" s="560"/>
      <c r="R28" s="554"/>
    </row>
    <row r="29" spans="2:18" x14ac:dyDescent="0.3">
      <c r="B29" s="559"/>
      <c r="C29" s="760" t="s">
        <v>1902</v>
      </c>
      <c r="D29" s="771" t="s">
        <v>1125</v>
      </c>
      <c r="E29" s="761">
        <v>3000000</v>
      </c>
      <c r="F29" s="752">
        <v>0</v>
      </c>
      <c r="G29" s="762" t="s">
        <v>560</v>
      </c>
      <c r="H29" s="2334">
        <v>43344</v>
      </c>
      <c r="I29" s="2335">
        <v>43435</v>
      </c>
      <c r="J29" s="1616" t="s">
        <v>542</v>
      </c>
      <c r="K29" s="1620" t="s">
        <v>1496</v>
      </c>
      <c r="L29" s="764" t="s">
        <v>1506</v>
      </c>
      <c r="M29" s="2337">
        <v>0.02</v>
      </c>
      <c r="N29" s="2020" t="s">
        <v>2127</v>
      </c>
      <c r="O29" s="2020" t="s">
        <v>1889</v>
      </c>
      <c r="P29" s="765"/>
      <c r="Q29" s="560"/>
    </row>
    <row r="30" spans="2:18" x14ac:dyDescent="0.3">
      <c r="B30" s="559"/>
      <c r="C30" s="760" t="s">
        <v>1952</v>
      </c>
      <c r="D30" s="771" t="s">
        <v>618</v>
      </c>
      <c r="E30" s="761">
        <v>674168</v>
      </c>
      <c r="F30" s="752">
        <v>0</v>
      </c>
      <c r="G30" s="762" t="s">
        <v>561</v>
      </c>
      <c r="H30" s="2020" t="s">
        <v>1889</v>
      </c>
      <c r="I30" s="763" t="s">
        <v>2125</v>
      </c>
      <c r="J30" s="1616" t="s">
        <v>542</v>
      </c>
      <c r="K30" s="1620" t="s">
        <v>1496</v>
      </c>
      <c r="L30" s="764" t="s">
        <v>1506</v>
      </c>
      <c r="M30" s="2337">
        <v>0.02</v>
      </c>
      <c r="N30" s="2020" t="s">
        <v>1889</v>
      </c>
      <c r="O30" s="2020" t="s">
        <v>1889</v>
      </c>
      <c r="P30" s="765" t="s">
        <v>2130</v>
      </c>
      <c r="Q30" s="560"/>
    </row>
    <row r="31" spans="2:18" x14ac:dyDescent="0.3">
      <c r="B31" s="559"/>
      <c r="C31" s="760" t="s">
        <v>2044</v>
      </c>
      <c r="D31" s="771" t="s">
        <v>619</v>
      </c>
      <c r="E31" s="761">
        <v>2951351</v>
      </c>
      <c r="F31" s="752">
        <v>0</v>
      </c>
      <c r="G31" s="762" t="s">
        <v>561</v>
      </c>
      <c r="H31" s="1960">
        <v>44044</v>
      </c>
      <c r="I31" s="1961">
        <v>44105</v>
      </c>
      <c r="J31" s="1616" t="s">
        <v>542</v>
      </c>
      <c r="K31" s="1620" t="s">
        <v>1498</v>
      </c>
      <c r="L31" s="764" t="s">
        <v>1505</v>
      </c>
      <c r="M31" s="2337">
        <v>0.06</v>
      </c>
      <c r="N31" s="2020" t="s">
        <v>2126</v>
      </c>
      <c r="O31" s="2020" t="s">
        <v>2129</v>
      </c>
      <c r="P31" s="765" t="s">
        <v>2131</v>
      </c>
      <c r="Q31" s="560"/>
    </row>
    <row r="32" spans="2:18" x14ac:dyDescent="0.3">
      <c r="B32" s="559"/>
      <c r="C32" s="760" t="s">
        <v>2045</v>
      </c>
      <c r="D32" s="771" t="s">
        <v>637</v>
      </c>
      <c r="E32" s="761">
        <v>200000</v>
      </c>
      <c r="F32" s="752">
        <v>0</v>
      </c>
      <c r="G32" s="762" t="s">
        <v>561</v>
      </c>
      <c r="H32" s="2020" t="s">
        <v>1889</v>
      </c>
      <c r="I32" s="763" t="s">
        <v>1889</v>
      </c>
      <c r="J32" s="1616" t="s">
        <v>542</v>
      </c>
      <c r="K32" s="1620" t="s">
        <v>648</v>
      </c>
      <c r="L32" s="764" t="s">
        <v>1506</v>
      </c>
      <c r="M32" s="2337">
        <v>0.02</v>
      </c>
      <c r="N32" s="2020" t="s">
        <v>2128</v>
      </c>
      <c r="O32" s="2020" t="s">
        <v>2128</v>
      </c>
      <c r="P32" s="765" t="s">
        <v>648</v>
      </c>
      <c r="Q32" s="560"/>
    </row>
    <row r="33" spans="2:17" x14ac:dyDescent="0.3">
      <c r="B33" s="559"/>
      <c r="C33" s="760"/>
      <c r="D33" s="771"/>
      <c r="E33" s="761">
        <v>0</v>
      </c>
      <c r="F33" s="752">
        <v>0</v>
      </c>
      <c r="G33" s="762"/>
      <c r="H33" s="1960"/>
      <c r="I33" s="1961"/>
      <c r="J33" s="1616"/>
      <c r="K33" s="1620"/>
      <c r="L33" s="764"/>
      <c r="M33" s="1206"/>
      <c r="N33" s="2020"/>
      <c r="O33" s="2020"/>
      <c r="P33" s="765"/>
      <c r="Q33" s="560"/>
    </row>
    <row r="34" spans="2:17" ht="7.5" customHeight="1" thickBot="1" x14ac:dyDescent="0.35">
      <c r="B34" s="559"/>
      <c r="C34" s="1467"/>
      <c r="D34" s="1468"/>
      <c r="E34" s="1469"/>
      <c r="F34" s="1463"/>
      <c r="G34" s="1470"/>
      <c r="H34" s="2021"/>
      <c r="I34" s="1471"/>
      <c r="J34" s="1617"/>
      <c r="K34" s="1621"/>
      <c r="L34" s="2022"/>
      <c r="M34" s="1472"/>
      <c r="N34" s="2021"/>
      <c r="O34" s="2021"/>
      <c r="P34" s="1473"/>
      <c r="Q34" s="560"/>
    </row>
    <row r="35" spans="2:17" ht="15" thickBot="1" x14ac:dyDescent="0.35">
      <c r="B35" s="559"/>
      <c r="C35" s="384"/>
      <c r="D35" s="721" t="s">
        <v>304</v>
      </c>
      <c r="E35" s="197">
        <f>SUM(E28:E34)</f>
        <v>9160519</v>
      </c>
      <c r="F35" s="198">
        <f>SUM(F28:F34)</f>
        <v>0</v>
      </c>
      <c r="G35" s="572"/>
      <c r="H35" s="573"/>
      <c r="I35" s="722"/>
      <c r="J35" s="2018"/>
      <c r="K35" s="2018"/>
      <c r="L35" s="2018"/>
      <c r="M35" s="2018"/>
      <c r="N35" s="2018"/>
      <c r="O35" s="722"/>
      <c r="P35" s="722"/>
      <c r="Q35" s="574"/>
    </row>
    <row r="36" spans="2:17" ht="3.75" customHeight="1" thickBot="1" x14ac:dyDescent="0.35">
      <c r="B36" s="559"/>
      <c r="C36" s="194"/>
      <c r="D36" s="194"/>
      <c r="E36" s="195"/>
      <c r="F36" s="195"/>
      <c r="G36" s="193"/>
      <c r="H36" s="575"/>
      <c r="I36" s="722"/>
      <c r="J36" s="2018"/>
      <c r="K36" s="2018"/>
      <c r="L36" s="2018"/>
      <c r="M36" s="2018"/>
      <c r="N36" s="2018"/>
      <c r="O36" s="722"/>
      <c r="P36" s="722"/>
      <c r="Q36" s="574"/>
    </row>
    <row r="37" spans="2:17" ht="15" thickBot="1" x14ac:dyDescent="0.35">
      <c r="B37" s="559"/>
      <c r="C37" s="384"/>
      <c r="D37" s="722"/>
      <c r="E37" s="1012" t="s">
        <v>305</v>
      </c>
      <c r="F37" s="199">
        <f>E35+F35</f>
        <v>9160519</v>
      </c>
      <c r="G37" s="193"/>
      <c r="H37" s="575"/>
      <c r="I37" s="722"/>
      <c r="J37" s="2018"/>
      <c r="K37" s="2018"/>
      <c r="L37" s="2018"/>
      <c r="M37" s="2018"/>
      <c r="N37" s="2018"/>
      <c r="O37" s="722"/>
      <c r="P37" s="722"/>
      <c r="Q37" s="574"/>
    </row>
    <row r="38" spans="2:17" ht="3.75" customHeight="1" thickBot="1" x14ac:dyDescent="0.35">
      <c r="B38" s="559"/>
      <c r="C38" s="384"/>
      <c r="D38" s="988"/>
      <c r="E38" s="1013"/>
      <c r="F38" s="196"/>
      <c r="G38" s="193"/>
      <c r="H38" s="575"/>
      <c r="I38" s="722"/>
      <c r="J38" s="2018"/>
      <c r="K38" s="2018"/>
      <c r="L38" s="2018"/>
      <c r="M38" s="2018"/>
      <c r="N38" s="2018"/>
      <c r="O38" s="722"/>
      <c r="P38" s="722"/>
      <c r="Q38" s="574"/>
    </row>
    <row r="39" spans="2:17" ht="15" thickBot="1" x14ac:dyDescent="0.35">
      <c r="B39" s="559"/>
      <c r="C39" s="384"/>
      <c r="D39" s="722"/>
      <c r="E39" s="1012" t="s">
        <v>666</v>
      </c>
      <c r="F39" s="199">
        <f>'6D - 9% Building'!G55</f>
        <v>16887150.600000001</v>
      </c>
      <c r="G39" s="576"/>
      <c r="H39" s="575"/>
      <c r="I39" s="722"/>
      <c r="J39" s="2018"/>
      <c r="K39" s="2018"/>
      <c r="L39" s="2018"/>
      <c r="M39" s="2018"/>
      <c r="N39" s="2018"/>
      <c r="O39" s="722"/>
      <c r="P39" s="722"/>
      <c r="Q39" s="574"/>
    </row>
    <row r="40" spans="2:17" ht="3.75" customHeight="1" thickBot="1" x14ac:dyDescent="0.35">
      <c r="B40" s="559"/>
      <c r="C40" s="384"/>
      <c r="D40" s="988"/>
      <c r="E40" s="1013"/>
      <c r="F40" s="196"/>
      <c r="G40" s="193"/>
      <c r="H40" s="575"/>
      <c r="I40" s="722"/>
      <c r="J40" s="2018"/>
      <c r="K40" s="2018"/>
      <c r="L40" s="2018"/>
      <c r="M40" s="2018"/>
      <c r="N40" s="2018"/>
      <c r="O40" s="722"/>
      <c r="P40" s="722"/>
      <c r="Q40" s="574"/>
    </row>
    <row r="41" spans="2:17" ht="15" thickBot="1" x14ac:dyDescent="0.35">
      <c r="B41" s="559"/>
      <c r="C41" s="384"/>
      <c r="D41" s="722"/>
      <c r="E41" s="1012" t="s">
        <v>307</v>
      </c>
      <c r="F41" s="199">
        <f>F37+F39</f>
        <v>26047669.600000001</v>
      </c>
      <c r="G41" s="2019"/>
      <c r="H41" s="575"/>
      <c r="I41" s="722"/>
      <c r="J41" s="722"/>
      <c r="K41" s="722"/>
      <c r="L41" s="722"/>
      <c r="M41" s="722"/>
      <c r="N41" s="722"/>
      <c r="O41" s="722"/>
      <c r="P41" s="2018"/>
      <c r="Q41" s="560"/>
    </row>
    <row r="42" spans="2:17" ht="7.5" customHeight="1" x14ac:dyDescent="0.3">
      <c r="B42" s="559"/>
      <c r="C42" s="2018"/>
      <c r="D42" s="2018"/>
      <c r="E42" s="2019"/>
      <c r="F42" s="577"/>
      <c r="G42" s="2019"/>
      <c r="H42" s="2018"/>
      <c r="I42" s="2018"/>
      <c r="J42" s="2018"/>
      <c r="K42" s="2018"/>
      <c r="L42" s="2018"/>
      <c r="M42" s="2018"/>
      <c r="N42" s="2018"/>
      <c r="O42" s="2018"/>
      <c r="P42" s="2018"/>
      <c r="Q42" s="560"/>
    </row>
    <row r="43" spans="2:17" ht="15" thickBot="1" x14ac:dyDescent="0.35">
      <c r="B43" s="559"/>
      <c r="C43" s="2557" t="s">
        <v>308</v>
      </c>
      <c r="D43" s="2557"/>
      <c r="E43" s="2557"/>
      <c r="F43" s="2557"/>
      <c r="G43" s="2557"/>
      <c r="H43" s="2557"/>
      <c r="I43" s="2557"/>
      <c r="J43" s="2557"/>
      <c r="K43" s="2557"/>
      <c r="L43" s="2557"/>
      <c r="M43" s="2557"/>
      <c r="N43" s="2557"/>
      <c r="O43" s="2557"/>
      <c r="P43" s="2557"/>
      <c r="Q43" s="560"/>
    </row>
    <row r="44" spans="2:17" ht="28.2" thickBot="1" x14ac:dyDescent="0.35">
      <c r="B44" s="559"/>
      <c r="C44" s="1011" t="s">
        <v>631</v>
      </c>
      <c r="D44" s="745" t="s">
        <v>635</v>
      </c>
      <c r="E44" s="2102" t="s">
        <v>292</v>
      </c>
      <c r="F44" s="2102" t="s">
        <v>293</v>
      </c>
      <c r="G44" s="2102" t="s">
        <v>300</v>
      </c>
      <c r="H44" s="565" t="s">
        <v>301</v>
      </c>
      <c r="I44" s="565" t="s">
        <v>302</v>
      </c>
      <c r="J44" s="2102" t="s">
        <v>543</v>
      </c>
      <c r="K44" s="745" t="s">
        <v>1502</v>
      </c>
      <c r="L44" s="745" t="s">
        <v>1501</v>
      </c>
      <c r="M44" s="564" t="s">
        <v>294</v>
      </c>
      <c r="N44" s="564" t="s">
        <v>303</v>
      </c>
      <c r="O44" s="565" t="s">
        <v>295</v>
      </c>
      <c r="P44" s="2103" t="s">
        <v>503</v>
      </c>
      <c r="Q44" s="560"/>
    </row>
    <row r="45" spans="2:17" x14ac:dyDescent="0.3">
      <c r="B45" s="559"/>
      <c r="C45" s="2105" t="s">
        <v>2039</v>
      </c>
      <c r="D45" s="2106" t="s">
        <v>561</v>
      </c>
      <c r="E45" s="2107">
        <v>5550000</v>
      </c>
      <c r="F45" s="2108"/>
      <c r="G45" s="2109" t="s">
        <v>561</v>
      </c>
      <c r="H45" s="2403" t="s">
        <v>1889</v>
      </c>
      <c r="I45" s="2111" t="s">
        <v>1889</v>
      </c>
      <c r="J45" s="2112"/>
      <c r="K45" s="2113"/>
      <c r="L45" s="2114"/>
      <c r="M45" s="2115"/>
      <c r="N45" s="2110"/>
      <c r="O45" s="2110" t="s">
        <v>1889</v>
      </c>
      <c r="P45" s="2106" t="s">
        <v>2043</v>
      </c>
      <c r="Q45" s="560"/>
    </row>
    <row r="46" spans="2:17" x14ac:dyDescent="0.3">
      <c r="B46" s="559"/>
      <c r="C46" s="2105" t="s">
        <v>2040</v>
      </c>
      <c r="D46" s="2106" t="s">
        <v>619</v>
      </c>
      <c r="E46" s="2107">
        <v>10472842</v>
      </c>
      <c r="F46" s="2108"/>
      <c r="G46" s="2109" t="s">
        <v>561</v>
      </c>
      <c r="H46" s="2403">
        <v>44317</v>
      </c>
      <c r="I46" s="2111" t="s">
        <v>1889</v>
      </c>
      <c r="J46" s="2112" t="s">
        <v>542</v>
      </c>
      <c r="K46" s="2113"/>
      <c r="L46" s="2114" t="s">
        <v>1505</v>
      </c>
      <c r="M46" s="2405">
        <v>0.06</v>
      </c>
      <c r="N46" s="2110" t="s">
        <v>2041</v>
      </c>
      <c r="O46" s="2110" t="s">
        <v>2042</v>
      </c>
      <c r="P46" s="2106" t="s">
        <v>648</v>
      </c>
      <c r="Q46" s="560"/>
    </row>
    <row r="47" spans="2:17" x14ac:dyDescent="0.3">
      <c r="B47" s="559"/>
      <c r="C47" s="2105"/>
      <c r="D47" s="2106"/>
      <c r="E47" s="2107"/>
      <c r="F47" s="2108"/>
      <c r="G47" s="2109"/>
      <c r="H47" s="2110"/>
      <c r="I47" s="2111"/>
      <c r="J47" s="2112"/>
      <c r="K47" s="2113"/>
      <c r="L47" s="2114"/>
      <c r="M47" s="2115"/>
      <c r="N47" s="2110"/>
      <c r="O47" s="2110"/>
      <c r="P47" s="2106"/>
      <c r="Q47" s="560"/>
    </row>
    <row r="48" spans="2:17" x14ac:dyDescent="0.3">
      <c r="B48" s="559"/>
      <c r="C48" s="2105"/>
      <c r="D48" s="2106"/>
      <c r="E48" s="2107"/>
      <c r="F48" s="2108"/>
      <c r="G48" s="2109"/>
      <c r="H48" s="2110"/>
      <c r="I48" s="2111"/>
      <c r="J48" s="2112"/>
      <c r="K48" s="2113"/>
      <c r="L48" s="2114"/>
      <c r="M48" s="2115"/>
      <c r="N48" s="2110"/>
      <c r="O48" s="2110"/>
      <c r="P48" s="2106"/>
      <c r="Q48" s="560"/>
    </row>
    <row r="49" spans="2:17" x14ac:dyDescent="0.3">
      <c r="B49" s="559"/>
      <c r="C49" s="2105"/>
      <c r="D49" s="2106"/>
      <c r="E49" s="2107"/>
      <c r="F49" s="2108"/>
      <c r="G49" s="2109"/>
      <c r="H49" s="2110"/>
      <c r="I49" s="2111"/>
      <c r="J49" s="2112"/>
      <c r="K49" s="2113"/>
      <c r="L49" s="2114"/>
      <c r="M49" s="2115"/>
      <c r="N49" s="2110"/>
      <c r="O49" s="2110"/>
      <c r="P49" s="2106"/>
      <c r="Q49" s="560"/>
    </row>
    <row r="50" spans="2:17" x14ac:dyDescent="0.3">
      <c r="B50" s="559"/>
      <c r="C50" s="2105"/>
      <c r="D50" s="2106"/>
      <c r="E50" s="2107"/>
      <c r="F50" s="2108"/>
      <c r="G50" s="2109"/>
      <c r="H50" s="2110"/>
      <c r="I50" s="2111"/>
      <c r="J50" s="2112"/>
      <c r="K50" s="2113"/>
      <c r="L50" s="2114"/>
      <c r="M50" s="2115"/>
      <c r="N50" s="2110"/>
      <c r="O50" s="2110"/>
      <c r="P50" s="2106"/>
      <c r="Q50" s="560"/>
    </row>
    <row r="51" spans="2:17" x14ac:dyDescent="0.3">
      <c r="B51" s="559"/>
      <c r="C51" s="2105"/>
      <c r="D51" s="2106"/>
      <c r="E51" s="2107"/>
      <c r="F51" s="2108"/>
      <c r="G51" s="2109"/>
      <c r="H51" s="2110"/>
      <c r="I51" s="2111"/>
      <c r="J51" s="2112"/>
      <c r="K51" s="2113"/>
      <c r="L51" s="2114"/>
      <c r="M51" s="2115"/>
      <c r="N51" s="2110"/>
      <c r="O51" s="2110"/>
      <c r="P51" s="2106"/>
      <c r="Q51" s="560"/>
    </row>
    <row r="52" spans="2:17" x14ac:dyDescent="0.3">
      <c r="B52" s="559"/>
      <c r="C52" s="760"/>
      <c r="D52" s="771"/>
      <c r="E52" s="761"/>
      <c r="F52" s="752"/>
      <c r="G52" s="762"/>
      <c r="H52" s="769"/>
      <c r="I52" s="763"/>
      <c r="J52" s="1616"/>
      <c r="K52" s="1623"/>
      <c r="L52" s="1625"/>
      <c r="M52" s="770"/>
      <c r="N52" s="769"/>
      <c r="O52" s="769"/>
      <c r="P52" s="771"/>
      <c r="Q52" s="560"/>
    </row>
    <row r="53" spans="2:17" ht="7.5" customHeight="1" thickBot="1" x14ac:dyDescent="0.35">
      <c r="B53" s="559"/>
      <c r="C53" s="1467"/>
      <c r="D53" s="1468"/>
      <c r="E53" s="1469"/>
      <c r="F53" s="1463"/>
      <c r="G53" s="1470"/>
      <c r="H53" s="1448"/>
      <c r="I53" s="1471"/>
      <c r="J53" s="1617"/>
      <c r="K53" s="1621"/>
      <c r="L53" s="1626"/>
      <c r="M53" s="1474"/>
      <c r="N53" s="1448"/>
      <c r="O53" s="1448"/>
      <c r="P53" s="1475"/>
      <c r="Q53" s="560"/>
    </row>
    <row r="54" spans="2:17" ht="15" thickBot="1" x14ac:dyDescent="0.35">
      <c r="B54" s="559"/>
      <c r="C54" s="384"/>
      <c r="D54" s="721" t="s">
        <v>304</v>
      </c>
      <c r="E54" s="578">
        <f>SUM(E45:E53)</f>
        <v>16022842</v>
      </c>
      <c r="F54" s="579">
        <f>SUM(F45:F53)</f>
        <v>0</v>
      </c>
      <c r="G54" s="193"/>
      <c r="H54" s="722"/>
      <c r="I54" s="2101"/>
      <c r="J54" s="2101"/>
      <c r="K54" s="2101"/>
      <c r="L54" s="2101"/>
      <c r="M54" s="2101"/>
      <c r="N54" s="2101"/>
      <c r="O54" s="2101"/>
      <c r="P54" s="2101"/>
      <c r="Q54" s="560"/>
    </row>
    <row r="55" spans="2:17" ht="3.75" customHeight="1" thickBot="1" x14ac:dyDescent="0.35">
      <c r="B55" s="559"/>
      <c r="C55" s="722"/>
      <c r="D55" s="722"/>
      <c r="E55" s="195"/>
      <c r="F55" s="196"/>
      <c r="G55" s="193"/>
      <c r="H55" s="722"/>
      <c r="I55" s="2101"/>
      <c r="J55" s="2101"/>
      <c r="K55" s="2101"/>
      <c r="L55" s="2101"/>
      <c r="M55" s="2101"/>
      <c r="N55" s="2101"/>
      <c r="O55" s="2101"/>
      <c r="P55" s="2101"/>
      <c r="Q55" s="560"/>
    </row>
    <row r="56" spans="2:17" ht="16.2" thickBot="1" x14ac:dyDescent="0.35">
      <c r="B56" s="559"/>
      <c r="C56" s="384"/>
      <c r="D56" s="722"/>
      <c r="E56" s="1012" t="s">
        <v>309</v>
      </c>
      <c r="F56" s="199">
        <f>E54+F54</f>
        <v>16022842</v>
      </c>
      <c r="G56" s="193"/>
      <c r="H56" s="580"/>
      <c r="I56" s="722"/>
      <c r="J56" s="722"/>
      <c r="K56" s="722"/>
      <c r="L56" s="722"/>
      <c r="M56" s="722"/>
      <c r="N56" s="722"/>
      <c r="O56" s="722"/>
      <c r="P56" s="2101"/>
      <c r="Q56" s="560"/>
    </row>
    <row r="57" spans="2:17" ht="3.75" customHeight="1" thickBot="1" x14ac:dyDescent="0.35">
      <c r="B57" s="1476"/>
      <c r="C57" s="384"/>
      <c r="D57" s="384"/>
      <c r="E57" s="384"/>
      <c r="F57" s="384"/>
      <c r="G57" s="384"/>
      <c r="H57" s="384"/>
      <c r="I57" s="384"/>
      <c r="J57" s="384"/>
      <c r="K57" s="384"/>
      <c r="L57" s="384"/>
      <c r="M57" s="384"/>
      <c r="N57" s="384"/>
      <c r="O57" s="384"/>
      <c r="P57" s="384"/>
      <c r="Q57" s="1477"/>
    </row>
    <row r="58" spans="2:17" ht="15.6" thickTop="1" thickBot="1" x14ac:dyDescent="0.35">
      <c r="B58" s="1476"/>
      <c r="C58" s="384"/>
      <c r="D58" s="384"/>
      <c r="E58" s="1478" t="s">
        <v>636</v>
      </c>
      <c r="F58" s="1479">
        <f>F41+F56</f>
        <v>42070511.600000001</v>
      </c>
      <c r="G58" s="384"/>
      <c r="H58" s="384"/>
      <c r="I58" s="384"/>
      <c r="J58" s="384"/>
      <c r="K58" s="384"/>
      <c r="L58" s="384"/>
      <c r="M58" s="384"/>
      <c r="N58" s="384"/>
      <c r="O58" s="384"/>
      <c r="P58" s="384"/>
      <c r="Q58" s="1477"/>
    </row>
    <row r="59" spans="2:17" ht="9" customHeight="1" thickTop="1" thickBot="1" x14ac:dyDescent="0.35">
      <c r="B59" s="581"/>
      <c r="C59" s="582"/>
      <c r="D59" s="582"/>
      <c r="E59" s="584"/>
      <c r="F59" s="585"/>
      <c r="G59" s="585"/>
      <c r="H59" s="586"/>
      <c r="I59" s="586"/>
      <c r="J59" s="583"/>
      <c r="K59" s="583"/>
      <c r="L59" s="583"/>
      <c r="M59" s="583"/>
      <c r="N59" s="583"/>
      <c r="O59" s="586"/>
      <c r="P59" s="586"/>
      <c r="Q59" s="587"/>
    </row>
  </sheetData>
  <sheetProtection algorithmName="SHA-512" hashValue="J5tRIXzdATBMn61kF+xeQ7qHpwYCaNLlj4l8CELWGpRvu+c+gZfrG0teM2jB13ruq7EWybkGirFC5wWlfd8YwQ==" saltValue="/rFOu4tL9XaJ5KwcPOWz7A==" spinCount="100000" sheet="1" formatCells="0" formatColumns="0" formatRows="0" insertRows="0"/>
  <mergeCells count="11">
    <mergeCell ref="C43:P43"/>
    <mergeCell ref="J20:M20"/>
    <mergeCell ref="J21:M21"/>
    <mergeCell ref="C26:P26"/>
    <mergeCell ref="C10:P10"/>
    <mergeCell ref="C12:M12"/>
    <mergeCell ref="C16:M16"/>
    <mergeCell ref="J17:M17"/>
    <mergeCell ref="J18:M18"/>
    <mergeCell ref="J19:M19"/>
    <mergeCell ref="C14:M14"/>
  </mergeCells>
  <conditionalFormatting sqref="L28:P33">
    <cfRule type="expression" dxfId="57" priority="3">
      <formula>$K28="Non-Recoverable"</formula>
    </cfRule>
  </conditionalFormatting>
  <conditionalFormatting sqref="L47:P52">
    <cfRule type="expression" dxfId="56" priority="2">
      <formula>#REF!="Non-Recoverable"</formula>
    </cfRule>
  </conditionalFormatting>
  <conditionalFormatting sqref="L45:P46">
    <cfRule type="expression" dxfId="55" priority="1">
      <formula>#REF!="Non-Recoverable"</formula>
    </cfRule>
  </conditionalFormatting>
  <dataValidations count="9">
    <dataValidation type="list" allowBlank="1" showInputMessage="1" showErrorMessage="1" sqref="D18:D20 D28:D33" xr:uid="{00000000-0002-0000-1D00-000000000000}">
      <formula1>Fund_Source</formula1>
    </dataValidation>
    <dataValidation type="list" allowBlank="1" showInputMessage="1" showErrorMessage="1" sqref="G28:G33 G45:G52" xr:uid="{00000000-0002-0000-1D00-000001000000}">
      <formula1>"Select...,Public,Private"</formula1>
    </dataValidation>
    <dataValidation type="list" allowBlank="1" showInputMessage="1" showErrorMessage="1" sqref="G34 G53" xr:uid="{00000000-0002-0000-1D00-000002000000}">
      <formula1>"Public,Private"</formula1>
    </dataValidation>
    <dataValidation type="list" allowBlank="1" showInputMessage="1" showErrorMessage="1" sqref="J28:J34 J45:J53" xr:uid="{00000000-0002-0000-1D00-000003000000}">
      <formula1>G_or_L</formula1>
    </dataValidation>
    <dataValidation type="list" allowBlank="1" showInputMessage="1" showErrorMessage="1" sqref="K28:K33" xr:uid="{00000000-0002-0000-1D00-000004000000}">
      <formula1>INDIRECT(J28)</formula1>
    </dataValidation>
    <dataValidation type="list" allowBlank="1" showInputMessage="1" showErrorMessage="1" sqref="K34" xr:uid="{00000000-0002-0000-1D00-000005000000}">
      <formula1>INDIRECT(J28)</formula1>
    </dataValidation>
    <dataValidation type="list" allowBlank="1" showInputMessage="1" showErrorMessage="1" sqref="L28:L34 L45:L53" xr:uid="{00000000-0002-0000-1D00-000006000000}">
      <formula1>Debt_Type</formula1>
    </dataValidation>
    <dataValidation type="list" allowBlank="1" showInputMessage="1" showErrorMessage="1" sqref="K45:K53" xr:uid="{00000000-0002-0000-1D00-000007000000}">
      <formula1>INDIRECT(#REF!)</formula1>
    </dataValidation>
    <dataValidation type="list" allowBlank="1" showInputMessage="1" showErrorMessage="1" sqref="D45:D52" xr:uid="{00000000-0002-0000-1D00-000008000000}">
      <formula1>NonRes_FundSource</formula1>
    </dataValidation>
  </dataValidations>
  <pageMargins left="1" right="0.25" top="0.75" bottom="0.75" header="0.3" footer="0.3"/>
  <pageSetup paperSize="17" orientation="landscape" r:id="rId1"/>
  <headerFooter>
    <oddFooter>&amp;LForm 7A
Financing Sources&amp;CCFA Forms&amp;REdition: 2017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B10:AB71"/>
  <sheetViews>
    <sheetView showGridLines="0" topLeftCell="A7" zoomScaleNormal="100" zoomScaleSheetLayoutView="100" workbookViewId="0">
      <selection activeCell="M44" sqref="M43:M44"/>
    </sheetView>
  </sheetViews>
  <sheetFormatPr defaultColWidth="9.109375" defaultRowHeight="14.4" x14ac:dyDescent="0.3"/>
  <cols>
    <col min="1" max="2" width="1.6640625" style="399" customWidth="1"/>
    <col min="3" max="3" width="20.33203125" style="399" bestFit="1" customWidth="1"/>
    <col min="4" max="4" width="9.5546875" style="399" customWidth="1"/>
    <col min="5" max="5" width="10.6640625" style="399" customWidth="1"/>
    <col min="6" max="7" width="10.5546875" style="399" customWidth="1"/>
    <col min="8" max="8" width="9.6640625" style="399" customWidth="1"/>
    <col min="9" max="9" width="11.44140625" style="399" customWidth="1"/>
    <col min="10" max="10" width="12.109375" style="399" customWidth="1"/>
    <col min="11" max="11" width="11.44140625" style="399" customWidth="1"/>
    <col min="12" max="12" width="14" style="399" customWidth="1"/>
    <col min="13" max="13" width="13" style="399" customWidth="1"/>
    <col min="14" max="14" width="14" style="399" customWidth="1"/>
    <col min="15" max="15" width="13.6640625" style="399" customWidth="1"/>
    <col min="16" max="16" width="13.33203125" style="399" customWidth="1"/>
    <col min="17" max="17" width="13.5546875" style="399" customWidth="1"/>
    <col min="18" max="18" width="12.44140625" style="399" customWidth="1"/>
    <col min="19" max="21" width="13.6640625" style="399" customWidth="1"/>
    <col min="22" max="22" width="13.5546875" style="399" bestFit="1" customWidth="1"/>
    <col min="23" max="23" width="2.33203125" style="399" customWidth="1"/>
    <col min="24" max="24" width="15.44140625" style="399" customWidth="1"/>
    <col min="25" max="25" width="18" style="399" customWidth="1"/>
    <col min="26" max="16384" width="9.109375" style="399"/>
  </cols>
  <sheetData>
    <row r="10" spans="2:23" ht="9" customHeight="1" thickBot="1" x14ac:dyDescent="0.35"/>
    <row r="11" spans="2:23" ht="9" customHeight="1" x14ac:dyDescent="0.3">
      <c r="B11" s="588"/>
      <c r="C11" s="436"/>
      <c r="D11" s="436"/>
      <c r="E11" s="436"/>
      <c r="F11" s="436"/>
      <c r="G11" s="436"/>
      <c r="H11" s="436"/>
      <c r="I11" s="436"/>
      <c r="J11" s="436"/>
      <c r="K11" s="436"/>
      <c r="L11" s="1480"/>
      <c r="M11" s="1480"/>
      <c r="N11" s="1480"/>
      <c r="O11" s="1480"/>
      <c r="P11" s="1480"/>
      <c r="Q11" s="1480"/>
      <c r="R11" s="1480"/>
      <c r="S11" s="1480"/>
      <c r="T11" s="1480"/>
      <c r="U11" s="1480"/>
      <c r="V11" s="1480"/>
      <c r="W11" s="1481"/>
    </row>
    <row r="12" spans="2:23" ht="18" x14ac:dyDescent="0.35">
      <c r="B12" s="589"/>
      <c r="C12" s="2657" t="s">
        <v>1865</v>
      </c>
      <c r="D12" s="2657"/>
      <c r="E12" s="2657"/>
      <c r="F12" s="2657"/>
      <c r="G12" s="2657"/>
      <c r="H12" s="2657"/>
      <c r="I12" s="2657"/>
      <c r="J12" s="2657"/>
      <c r="K12" s="2657"/>
      <c r="L12" s="2657"/>
      <c r="M12" s="2657"/>
      <c r="N12" s="2657"/>
      <c r="O12" s="2657"/>
      <c r="P12" s="2657"/>
      <c r="Q12" s="2657"/>
      <c r="R12" s="2657"/>
      <c r="S12" s="2657"/>
      <c r="T12" s="2657"/>
      <c r="U12" s="2657"/>
      <c r="V12" s="2657"/>
      <c r="W12" s="1482"/>
    </row>
    <row r="13" spans="2:23" ht="15" customHeight="1" x14ac:dyDescent="0.3">
      <c r="B13" s="589"/>
      <c r="C13" s="411"/>
      <c r="D13" s="411"/>
      <c r="E13" s="411"/>
      <c r="F13" s="411"/>
      <c r="G13" s="411"/>
      <c r="H13" s="411"/>
      <c r="I13" s="411"/>
      <c r="J13" s="411"/>
      <c r="K13" s="411"/>
      <c r="L13" s="1030"/>
      <c r="M13" s="1030"/>
      <c r="N13" s="1030"/>
      <c r="O13" s="1030"/>
      <c r="P13" s="1030"/>
      <c r="Q13" s="1030"/>
      <c r="R13" s="1030"/>
      <c r="S13" s="1030"/>
      <c r="T13" s="1030"/>
      <c r="U13" s="1030"/>
      <c r="V13" s="1030"/>
      <c r="W13" s="1482"/>
    </row>
    <row r="14" spans="2:23" ht="15" thickBot="1" x14ac:dyDescent="0.35">
      <c r="B14" s="590"/>
      <c r="C14" s="2791" t="str">
        <f>IF('1'!G5="","Enter Project Name on Form 1",(CONCATENATE("Project Name: ",'1'!G5)))</f>
        <v>Project Name: 6600 Roosevelt Way NE</v>
      </c>
      <c r="D14" s="2791"/>
      <c r="E14" s="2791"/>
      <c r="F14" s="2791"/>
      <c r="G14" s="2791"/>
      <c r="H14" s="2791"/>
      <c r="I14" s="2791"/>
      <c r="J14" s="2791"/>
      <c r="K14" s="374"/>
      <c r="L14" s="134" t="s">
        <v>310</v>
      </c>
      <c r="M14" s="2455">
        <v>42987</v>
      </c>
      <c r="N14" s="1030"/>
      <c r="O14" s="1030"/>
      <c r="P14" s="1030"/>
      <c r="Q14" s="1030"/>
      <c r="R14" s="1030"/>
      <c r="S14" s="1030"/>
      <c r="T14" s="1030"/>
      <c r="U14" s="1030"/>
      <c r="V14" s="1030"/>
      <c r="W14" s="1482"/>
    </row>
    <row r="15" spans="2:23" ht="7.5" customHeight="1" x14ac:dyDescent="0.3">
      <c r="B15" s="590"/>
      <c r="C15" s="2323"/>
      <c r="D15" s="2323"/>
      <c r="E15" s="2323"/>
      <c r="F15" s="2323"/>
      <c r="G15" s="2323"/>
      <c r="H15" s="2323"/>
      <c r="I15" s="2323"/>
      <c r="J15" s="2323"/>
      <c r="K15" s="374"/>
      <c r="L15" s="134"/>
      <c r="M15" s="2322"/>
      <c r="N15" s="1030"/>
      <c r="O15" s="1030"/>
      <c r="P15" s="1030"/>
      <c r="Q15" s="1030"/>
      <c r="R15" s="1030"/>
      <c r="S15" s="1030"/>
      <c r="T15" s="1030"/>
      <c r="U15" s="1030"/>
      <c r="V15" s="1030"/>
      <c r="W15" s="1482"/>
    </row>
    <row r="16" spans="2:23" ht="15" thickBot="1" x14ac:dyDescent="0.35">
      <c r="B16" s="590"/>
      <c r="C16" s="2791" t="str">
        <f>IF('1'!G55="","Enter Site Name/ID Number on Form 1",(CONCATENATE("Site Name/ID: ",'1'!G55)))</f>
        <v>Site Name/ID: Site B - 9% Building</v>
      </c>
      <c r="D16" s="2791"/>
      <c r="E16" s="2791"/>
      <c r="F16" s="2791"/>
      <c r="G16" s="2791"/>
      <c r="H16" s="2791"/>
      <c r="I16" s="2791"/>
      <c r="J16" s="2791"/>
      <c r="K16" s="374"/>
      <c r="L16" s="134"/>
      <c r="M16" s="2322"/>
      <c r="N16" s="1030"/>
      <c r="O16" s="1030"/>
      <c r="P16" s="1030"/>
      <c r="Q16" s="1030"/>
      <c r="R16" s="1030"/>
      <c r="S16" s="1030"/>
      <c r="T16" s="1030"/>
      <c r="U16" s="1030"/>
      <c r="V16" s="1030"/>
      <c r="W16" s="1482"/>
    </row>
    <row r="17" spans="2:28" s="417" customFormat="1" ht="7.5" customHeight="1" x14ac:dyDescent="0.3">
      <c r="B17" s="590"/>
      <c r="C17" s="2124"/>
      <c r="D17" s="600"/>
      <c r="E17" s="997"/>
      <c r="F17" s="635"/>
      <c r="G17" s="998"/>
      <c r="H17" s="600"/>
      <c r="I17" s="600"/>
      <c r="J17" s="600"/>
      <c r="K17" s="387"/>
      <c r="L17" s="1241"/>
      <c r="M17" s="1241"/>
      <c r="N17" s="1241"/>
      <c r="O17" s="1241"/>
      <c r="P17" s="1241"/>
      <c r="Q17" s="1241"/>
      <c r="R17" s="1241"/>
      <c r="S17" s="1241"/>
      <c r="T17" s="1241"/>
      <c r="U17" s="1241"/>
      <c r="V17" s="1241"/>
      <c r="W17" s="1483"/>
      <c r="Y17" s="399"/>
      <c r="Z17" s="399"/>
      <c r="AA17" s="399"/>
    </row>
    <row r="18" spans="2:28" s="417" customFormat="1" ht="15" customHeight="1" thickBot="1" x14ac:dyDescent="0.35">
      <c r="B18" s="590"/>
      <c r="C18" s="2792" t="s">
        <v>311</v>
      </c>
      <c r="D18" s="2792"/>
      <c r="E18" s="2792"/>
      <c r="F18" s="2792"/>
      <c r="G18" s="2792"/>
      <c r="H18" s="2792"/>
      <c r="I18" s="2792"/>
      <c r="J18" s="2792"/>
      <c r="K18" s="2792"/>
      <c r="L18" s="1241"/>
      <c r="M18" s="1241"/>
      <c r="N18" s="1241"/>
      <c r="O18" s="1241"/>
      <c r="P18" s="1241"/>
      <c r="Q18" s="1241"/>
      <c r="R18" s="1241"/>
      <c r="S18" s="1241"/>
      <c r="T18" s="1241"/>
      <c r="U18" s="1241"/>
      <c r="V18" s="1241"/>
      <c r="W18" s="1483"/>
    </row>
    <row r="19" spans="2:28" s="417" customFormat="1" ht="15" customHeight="1" x14ac:dyDescent="0.3">
      <c r="B19" s="590"/>
      <c r="C19" s="130"/>
      <c r="D19" s="999" t="s">
        <v>640</v>
      </c>
      <c r="E19" s="1000" t="s">
        <v>641</v>
      </c>
      <c r="F19" s="1000" t="s">
        <v>642</v>
      </c>
      <c r="G19" s="1000" t="s">
        <v>643</v>
      </c>
      <c r="H19" s="1000" t="s">
        <v>640</v>
      </c>
      <c r="I19" s="1000" t="s">
        <v>641</v>
      </c>
      <c r="J19" s="1000" t="s">
        <v>642</v>
      </c>
      <c r="K19" s="1000" t="s">
        <v>643</v>
      </c>
      <c r="L19" s="1000" t="s">
        <v>640</v>
      </c>
      <c r="M19" s="1000" t="s">
        <v>641</v>
      </c>
      <c r="N19" s="1000" t="s">
        <v>642</v>
      </c>
      <c r="O19" s="1000" t="s">
        <v>643</v>
      </c>
      <c r="P19" s="1000" t="s">
        <v>640</v>
      </c>
      <c r="Q19" s="1000" t="s">
        <v>641</v>
      </c>
      <c r="R19" s="1000" t="s">
        <v>642</v>
      </c>
      <c r="S19" s="1000" t="s">
        <v>643</v>
      </c>
      <c r="T19" s="1000" t="s">
        <v>640</v>
      </c>
      <c r="U19" s="1000" t="s">
        <v>641</v>
      </c>
      <c r="V19" s="358" t="s">
        <v>322</v>
      </c>
      <c r="W19" s="1483"/>
      <c r="X19" s="2424"/>
      <c r="Y19" s="2424"/>
      <c r="Z19" s="2424"/>
      <c r="AA19" s="2424"/>
      <c r="AB19" s="2424"/>
    </row>
    <row r="20" spans="2:28" s="417" customFormat="1" ht="15" customHeight="1" thickBot="1" x14ac:dyDescent="0.35">
      <c r="B20" s="590"/>
      <c r="C20" s="131" t="s">
        <v>290</v>
      </c>
      <c r="D20" s="1984">
        <v>43009</v>
      </c>
      <c r="E20" s="1984">
        <v>43101</v>
      </c>
      <c r="F20" s="1984">
        <v>43191</v>
      </c>
      <c r="G20" s="1984">
        <v>43282</v>
      </c>
      <c r="H20" s="1984">
        <v>43374</v>
      </c>
      <c r="I20" s="1984">
        <v>43466</v>
      </c>
      <c r="J20" s="1984">
        <v>43556</v>
      </c>
      <c r="K20" s="1984">
        <v>43647</v>
      </c>
      <c r="L20" s="1985">
        <v>43739</v>
      </c>
      <c r="M20" s="1984">
        <v>43831</v>
      </c>
      <c r="N20" s="1984">
        <v>43922</v>
      </c>
      <c r="O20" s="1984">
        <v>44013</v>
      </c>
      <c r="P20" s="1984">
        <v>44105</v>
      </c>
      <c r="Q20" s="1984">
        <v>44197</v>
      </c>
      <c r="R20" s="1984">
        <v>44287</v>
      </c>
      <c r="S20" s="1984">
        <v>44378</v>
      </c>
      <c r="T20" s="1984">
        <v>44470</v>
      </c>
      <c r="U20" s="1984">
        <v>44562</v>
      </c>
      <c r="V20" s="359"/>
      <c r="W20" s="1483"/>
    </row>
    <row r="21" spans="2:28" s="417" customFormat="1" ht="15" customHeight="1" x14ac:dyDescent="0.3">
      <c r="B21" s="590"/>
      <c r="C21" s="592" t="s">
        <v>312</v>
      </c>
      <c r="D21" s="2427"/>
      <c r="E21" s="2428"/>
      <c r="F21" s="2428"/>
      <c r="G21" s="2428"/>
      <c r="H21" s="2428"/>
      <c r="I21" s="2428"/>
      <c r="J21" s="2428"/>
      <c r="K21" s="2428"/>
      <c r="L21" s="2428"/>
      <c r="M21" s="2428">
        <v>0</v>
      </c>
      <c r="N21" s="2428">
        <v>0</v>
      </c>
      <c r="O21" s="2428">
        <v>0</v>
      </c>
      <c r="P21" s="2428">
        <v>0</v>
      </c>
      <c r="Q21" s="2428">
        <v>0</v>
      </c>
      <c r="R21" s="2428">
        <v>0</v>
      </c>
      <c r="S21" s="2428">
        <v>0</v>
      </c>
      <c r="T21" s="2428">
        <v>0</v>
      </c>
      <c r="U21" s="2428">
        <v>0</v>
      </c>
      <c r="V21" s="1484">
        <f>SUM(D21:K21)+SUM(L21:U21)</f>
        <v>0</v>
      </c>
      <c r="W21" s="1483"/>
      <c r="X21" s="2468">
        <f>SUM(V23:V24)</f>
        <v>27946962</v>
      </c>
    </row>
    <row r="22" spans="2:28" s="417" customFormat="1" ht="15" customHeight="1" x14ac:dyDescent="0.3">
      <c r="B22" s="590"/>
      <c r="C22" s="1033" t="str">
        <f>IF('7A - 9%'!C18="","Enter on Form 7A - 9%",'7A - 9%'!C18)</f>
        <v>Bellwether/Mercy Predevelopment Loan</v>
      </c>
      <c r="D22" s="2500">
        <v>20855</v>
      </c>
      <c r="E22" s="2501">
        <v>41370</v>
      </c>
      <c r="F22" s="2501">
        <v>47135</v>
      </c>
      <c r="G22" s="2501">
        <v>70872</v>
      </c>
      <c r="H22" s="2501">
        <v>81045</v>
      </c>
      <c r="I22" s="2501">
        <v>102408</v>
      </c>
      <c r="J22" s="2501">
        <v>143778</v>
      </c>
      <c r="K22" s="2502">
        <v>92913</v>
      </c>
      <c r="L22" s="2499">
        <v>136319</v>
      </c>
      <c r="M22" s="2430">
        <v>0</v>
      </c>
      <c r="N22" s="2430">
        <v>0</v>
      </c>
      <c r="O22" s="2430">
        <v>0</v>
      </c>
      <c r="P22" s="2430">
        <v>0</v>
      </c>
      <c r="Q22" s="2430">
        <v>0</v>
      </c>
      <c r="R22" s="2430">
        <v>0</v>
      </c>
      <c r="S22" s="2430">
        <v>0</v>
      </c>
      <c r="T22" s="2430">
        <v>0</v>
      </c>
      <c r="U22" s="2430">
        <v>0</v>
      </c>
      <c r="V22" s="1485">
        <f>SUM(D22:K22)+SUM(L22:U22)</f>
        <v>736695</v>
      </c>
      <c r="W22" s="1483"/>
    </row>
    <row r="23" spans="2:28" s="417" customFormat="1" ht="15" customHeight="1" x14ac:dyDescent="0.3">
      <c r="B23" s="590"/>
      <c r="C23" s="1033" t="str">
        <f>IF('7A - 9%'!C19="","Enter on Form 7A - 9%",'7A - 9%'!C19)</f>
        <v>Contruction Loan Residential</v>
      </c>
      <c r="D23" s="2429">
        <v>0</v>
      </c>
      <c r="E23" s="2430">
        <v>0</v>
      </c>
      <c r="F23" s="2430">
        <v>0</v>
      </c>
      <c r="G23" s="2430">
        <v>0</v>
      </c>
      <c r="H23" s="2430">
        <v>0</v>
      </c>
      <c r="I23" s="2430">
        <v>0</v>
      </c>
      <c r="J23" s="2430">
        <v>0</v>
      </c>
      <c r="K23" s="2430">
        <v>0</v>
      </c>
      <c r="L23" s="2430">
        <v>0</v>
      </c>
      <c r="M23" s="2430">
        <v>0</v>
      </c>
      <c r="N23" s="2430">
        <v>0</v>
      </c>
      <c r="O23" s="2430">
        <v>883001</v>
      </c>
      <c r="P23" s="2430">
        <v>2003950</v>
      </c>
      <c r="Q23" s="2430">
        <v>4611573</v>
      </c>
      <c r="R23" s="2430">
        <v>3678248</v>
      </c>
      <c r="S23" s="2430">
        <v>3045190</v>
      </c>
      <c r="T23" s="2430"/>
      <c r="U23" s="2430"/>
      <c r="V23" s="1486">
        <f>SUM(D23:K23)+SUM(L23:U23)</f>
        <v>14221962</v>
      </c>
      <c r="W23" s="1483"/>
      <c r="X23" s="417">
        <v>14000000</v>
      </c>
      <c r="Y23" s="2468">
        <f>X23-V23</f>
        <v>-221962</v>
      </c>
    </row>
    <row r="24" spans="2:28" s="417" customFormat="1" ht="15" customHeight="1" thickBot="1" x14ac:dyDescent="0.35">
      <c r="B24" s="590"/>
      <c r="C24" s="1033" t="str">
        <f>IF('7A - 9%'!C20="","Enter on Form 7A - 9%",'7A - 9%'!C20)</f>
        <v>Construction Loan Retail</v>
      </c>
      <c r="D24" s="2431">
        <v>0</v>
      </c>
      <c r="E24" s="2432">
        <v>0</v>
      </c>
      <c r="F24" s="2432">
        <v>0</v>
      </c>
      <c r="G24" s="2432">
        <v>0</v>
      </c>
      <c r="H24" s="2432">
        <v>0</v>
      </c>
      <c r="I24" s="2432">
        <v>0</v>
      </c>
      <c r="J24" s="2432">
        <v>0</v>
      </c>
      <c r="K24" s="2432">
        <v>0</v>
      </c>
      <c r="L24" s="2432">
        <v>0</v>
      </c>
      <c r="M24" s="2432">
        <v>1500000</v>
      </c>
      <c r="N24" s="2432">
        <v>2750000</v>
      </c>
      <c r="O24" s="2432">
        <v>3200000</v>
      </c>
      <c r="P24" s="2432">
        <v>3200000</v>
      </c>
      <c r="Q24" s="2432">
        <v>1150000</v>
      </c>
      <c r="R24" s="2432">
        <v>1125000</v>
      </c>
      <c r="S24" s="2432">
        <v>800000</v>
      </c>
      <c r="T24" s="2432"/>
      <c r="U24" s="2432"/>
      <c r="V24" s="1487">
        <f>SUM(D24:K24)+SUM(L24:U24)</f>
        <v>13725000</v>
      </c>
      <c r="W24" s="1483"/>
      <c r="X24" s="417">
        <f>10472842+2775000</f>
        <v>13247842</v>
      </c>
      <c r="Y24" s="2468">
        <f>X24-V24</f>
        <v>-477158</v>
      </c>
    </row>
    <row r="25" spans="2:28" s="417" customFormat="1" ht="15" customHeight="1" thickBot="1" x14ac:dyDescent="0.35">
      <c r="B25" s="590"/>
      <c r="C25" s="139" t="s">
        <v>313</v>
      </c>
      <c r="D25" s="2433">
        <f>SUM(D21:D24)</f>
        <v>20855</v>
      </c>
      <c r="E25" s="2434">
        <f t="shared" ref="E25:V25" si="0">SUM(E21:E24)</f>
        <v>41370</v>
      </c>
      <c r="F25" s="2434">
        <f t="shared" si="0"/>
        <v>47135</v>
      </c>
      <c r="G25" s="2434">
        <f t="shared" si="0"/>
        <v>70872</v>
      </c>
      <c r="H25" s="2434">
        <f t="shared" si="0"/>
        <v>81045</v>
      </c>
      <c r="I25" s="2434">
        <f t="shared" si="0"/>
        <v>102408</v>
      </c>
      <c r="J25" s="2434">
        <f t="shared" si="0"/>
        <v>143778</v>
      </c>
      <c r="K25" s="2434">
        <f t="shared" si="0"/>
        <v>92913</v>
      </c>
      <c r="L25" s="2434">
        <f t="shared" si="0"/>
        <v>136319</v>
      </c>
      <c r="M25" s="2434">
        <f t="shared" si="0"/>
        <v>1500000</v>
      </c>
      <c r="N25" s="2434">
        <f t="shared" si="0"/>
        <v>2750000</v>
      </c>
      <c r="O25" s="2434">
        <f t="shared" si="0"/>
        <v>4083001</v>
      </c>
      <c r="P25" s="2434">
        <f t="shared" si="0"/>
        <v>5203950</v>
      </c>
      <c r="Q25" s="2434">
        <f t="shared" si="0"/>
        <v>5761573</v>
      </c>
      <c r="R25" s="2434">
        <f t="shared" si="0"/>
        <v>4803248</v>
      </c>
      <c r="S25" s="2434">
        <f t="shared" ref="S25:T25" si="1">SUM(S21:S24)</f>
        <v>3845190</v>
      </c>
      <c r="T25" s="2434">
        <f t="shared" si="1"/>
        <v>0</v>
      </c>
      <c r="U25" s="2434">
        <f t="shared" si="0"/>
        <v>0</v>
      </c>
      <c r="V25" s="1037">
        <f t="shared" si="0"/>
        <v>28683657</v>
      </c>
      <c r="W25" s="1483"/>
    </row>
    <row r="26" spans="2:28" s="417" customFormat="1" ht="3.75" customHeight="1" x14ac:dyDescent="0.3">
      <c r="B26" s="590"/>
      <c r="C26" s="2124"/>
      <c r="D26" s="600"/>
      <c r="E26" s="997"/>
      <c r="F26" s="635"/>
      <c r="G26" s="998"/>
      <c r="H26" s="600"/>
      <c r="I26" s="600"/>
      <c r="J26" s="600"/>
      <c r="K26" s="600"/>
      <c r="L26" s="600"/>
      <c r="M26" s="1241"/>
      <c r="N26" s="1241"/>
      <c r="O26" s="1241"/>
      <c r="P26" s="1241"/>
      <c r="Q26" s="1241"/>
      <c r="R26" s="1241"/>
      <c r="S26" s="1241"/>
      <c r="T26" s="1241"/>
      <c r="U26" s="1241"/>
      <c r="V26" s="1241"/>
      <c r="W26" s="1483"/>
    </row>
    <row r="27" spans="2:28" s="417" customFormat="1" ht="15" customHeight="1" x14ac:dyDescent="0.3">
      <c r="B27" s="590"/>
      <c r="C27" s="131" t="s">
        <v>192</v>
      </c>
      <c r="D27" s="1030"/>
      <c r="E27" s="1030"/>
      <c r="F27" s="1030"/>
      <c r="G27" s="1030"/>
      <c r="H27" s="1030"/>
      <c r="I27" s="1030"/>
      <c r="J27" s="1030"/>
      <c r="K27" s="1030"/>
      <c r="L27" s="1030"/>
      <c r="M27" s="1241"/>
      <c r="N27" s="1241"/>
      <c r="O27" s="1241"/>
      <c r="P27" s="1241"/>
      <c r="Q27" s="1241"/>
      <c r="R27" s="1241"/>
      <c r="S27" s="1241"/>
      <c r="T27" s="1241"/>
      <c r="U27" s="1241"/>
      <c r="V27" s="1241"/>
      <c r="W27" s="1483"/>
    </row>
    <row r="28" spans="2:28" s="417" customFormat="1" ht="15" customHeight="1" thickBot="1" x14ac:dyDescent="0.35">
      <c r="B28" s="590"/>
      <c r="C28" s="2211" t="s">
        <v>569</v>
      </c>
      <c r="D28" s="2212"/>
      <c r="E28" s="2212"/>
      <c r="F28" s="2212"/>
      <c r="G28" s="2212"/>
      <c r="H28" s="2212"/>
      <c r="I28" s="2212"/>
      <c r="J28" s="2212"/>
      <c r="K28" s="2212"/>
      <c r="L28" s="2212"/>
      <c r="M28" s="2212"/>
      <c r="N28" s="2212"/>
      <c r="O28" s="2212"/>
      <c r="P28" s="2212"/>
      <c r="Q28" s="2212"/>
      <c r="R28" s="2212"/>
      <c r="S28" s="2212"/>
      <c r="T28" s="2212"/>
      <c r="U28" s="2212"/>
      <c r="V28" s="2212"/>
      <c r="W28" s="1483"/>
    </row>
    <row r="29" spans="2:28" s="417" customFormat="1" ht="15" customHeight="1" x14ac:dyDescent="0.3">
      <c r="B29" s="590"/>
      <c r="C29" s="1001" t="s">
        <v>644</v>
      </c>
      <c r="D29" s="2427">
        <v>0</v>
      </c>
      <c r="E29" s="2428">
        <v>0</v>
      </c>
      <c r="F29" s="2428">
        <v>0</v>
      </c>
      <c r="G29" s="2428">
        <v>0</v>
      </c>
      <c r="H29" s="2428">
        <v>0</v>
      </c>
      <c r="I29" s="2428">
        <v>0</v>
      </c>
      <c r="J29" s="2428">
        <v>0</v>
      </c>
      <c r="K29" s="2428">
        <v>0</v>
      </c>
      <c r="L29" s="2428">
        <v>0</v>
      </c>
      <c r="M29" s="2428">
        <v>2533072</v>
      </c>
      <c r="N29" s="2428"/>
      <c r="O29" s="2428"/>
      <c r="P29" s="2428"/>
      <c r="Q29" s="2428"/>
      <c r="R29" s="2428"/>
      <c r="S29" s="2428"/>
      <c r="T29" s="2428">
        <v>2533072</v>
      </c>
      <c r="U29" s="2428">
        <v>11821006.6</v>
      </c>
      <c r="V29" s="1488">
        <f t="shared" ref="V29:V35" si="2">SUM(D29:K29)+SUM(L29:U29)</f>
        <v>16887150.600000001</v>
      </c>
      <c r="W29" s="1483"/>
      <c r="X29" s="417">
        <v>16887150.600000001</v>
      </c>
      <c r="Y29" s="417">
        <f t="shared" ref="Y29:Y34" si="3">X29-V29</f>
        <v>0</v>
      </c>
    </row>
    <row r="30" spans="2:28" x14ac:dyDescent="0.3">
      <c r="B30" s="1431"/>
      <c r="C30" s="1489" t="str">
        <f>IF('7A - 9%'!C28="","Enter on Form 7A - 9%",'7A - 9%'!C28)</f>
        <v>Office of Housing</v>
      </c>
      <c r="D30" s="2429">
        <v>0</v>
      </c>
      <c r="E30" s="2430">
        <v>0</v>
      </c>
      <c r="F30" s="2430">
        <v>0</v>
      </c>
      <c r="G30" s="2430">
        <v>0</v>
      </c>
      <c r="H30" s="2430">
        <v>0</v>
      </c>
      <c r="I30" s="2430">
        <v>0</v>
      </c>
      <c r="J30" s="2430">
        <v>0</v>
      </c>
      <c r="K30" s="2430">
        <v>0</v>
      </c>
      <c r="L30" s="2430">
        <v>0</v>
      </c>
      <c r="M30" s="2430">
        <v>1942590</v>
      </c>
      <c r="N30" s="2430">
        <v>158910</v>
      </c>
      <c r="O30" s="2430"/>
      <c r="P30" s="2430"/>
      <c r="Q30" s="2430"/>
      <c r="R30" s="2430"/>
      <c r="S30" s="2430"/>
      <c r="T30" s="2430">
        <v>233500</v>
      </c>
      <c r="U30" s="2430"/>
      <c r="V30" s="1486">
        <f t="shared" si="2"/>
        <v>2335000</v>
      </c>
      <c r="W30" s="1482"/>
      <c r="X30" s="399">
        <v>2335000</v>
      </c>
      <c r="Y30" s="399">
        <f t="shared" si="3"/>
        <v>0</v>
      </c>
    </row>
    <row r="31" spans="2:28" x14ac:dyDescent="0.3">
      <c r="B31" s="1431"/>
      <c r="C31" s="1489" t="str">
        <f>IF('7A - 9%'!C29="","Enter on Form 7A - 9%",'7A - 9%'!C29)</f>
        <v>State Housing Trust Fund</v>
      </c>
      <c r="D31" s="2429">
        <v>0</v>
      </c>
      <c r="E31" s="2430">
        <v>0</v>
      </c>
      <c r="F31" s="2430">
        <v>0</v>
      </c>
      <c r="G31" s="2430">
        <v>0</v>
      </c>
      <c r="H31" s="2430">
        <v>0</v>
      </c>
      <c r="I31" s="2430">
        <v>0</v>
      </c>
      <c r="J31" s="2430">
        <v>0</v>
      </c>
      <c r="K31" s="2430">
        <v>0</v>
      </c>
      <c r="L31" s="2430">
        <v>0</v>
      </c>
      <c r="M31" s="2430">
        <v>1844646</v>
      </c>
      <c r="N31" s="2430">
        <f>8000+105000</f>
        <v>113000</v>
      </c>
      <c r="O31" s="2430">
        <v>105000</v>
      </c>
      <c r="P31" s="2430">
        <f>8000+105000</f>
        <v>113000</v>
      </c>
      <c r="Q31" s="2430">
        <v>105000</v>
      </c>
      <c r="R31" s="2430">
        <f>25000+9000+105000</f>
        <v>139000</v>
      </c>
      <c r="S31" s="2430">
        <f>45790+30520+105000</f>
        <v>181310</v>
      </c>
      <c r="T31" s="2430">
        <f>300000+99044</f>
        <v>399044</v>
      </c>
      <c r="U31" s="2430"/>
      <c r="V31" s="1486">
        <f t="shared" si="2"/>
        <v>3000000</v>
      </c>
      <c r="W31" s="1482"/>
      <c r="X31" s="399">
        <v>3000000</v>
      </c>
      <c r="Y31" s="399">
        <f t="shared" si="3"/>
        <v>0</v>
      </c>
    </row>
    <row r="32" spans="2:28" x14ac:dyDescent="0.3">
      <c r="B32" s="1431"/>
      <c r="C32" s="1489" t="str">
        <f>IF('7A - 9%'!C30="","Enter on Form 7A - 9%",'7A - 9%'!C30)</f>
        <v>Build Smart/Sponsor Loan</v>
      </c>
      <c r="D32" s="2429">
        <v>0</v>
      </c>
      <c r="E32" s="2430">
        <v>0</v>
      </c>
      <c r="F32" s="2430">
        <v>0</v>
      </c>
      <c r="G32" s="2430">
        <v>0</v>
      </c>
      <c r="H32" s="2430">
        <v>0</v>
      </c>
      <c r="I32" s="2430">
        <v>0</v>
      </c>
      <c r="J32" s="2430">
        <v>0</v>
      </c>
      <c r="K32" s="2430">
        <v>0</v>
      </c>
      <c r="L32" s="2430">
        <v>0</v>
      </c>
      <c r="M32" s="2430">
        <v>674168</v>
      </c>
      <c r="N32" s="2430">
        <v>0</v>
      </c>
      <c r="O32" s="2430">
        <v>0</v>
      </c>
      <c r="P32" s="2430">
        <v>0</v>
      </c>
      <c r="Q32" s="2430">
        <v>0</v>
      </c>
      <c r="R32" s="2430">
        <v>0</v>
      </c>
      <c r="S32" s="2430">
        <v>0</v>
      </c>
      <c r="T32" s="2430"/>
      <c r="U32" s="2430"/>
      <c r="V32" s="1486">
        <f t="shared" si="2"/>
        <v>674168</v>
      </c>
      <c r="W32" s="1482"/>
      <c r="X32" s="399">
        <v>674168</v>
      </c>
      <c r="Y32" s="399">
        <f t="shared" si="3"/>
        <v>0</v>
      </c>
    </row>
    <row r="33" spans="2:25" x14ac:dyDescent="0.3">
      <c r="B33" s="1431"/>
      <c r="C33" s="1489" t="str">
        <f>IF('7A - 9%'!C31="","Enter on Form 7A - 9%",'7A - 9%'!C31)</f>
        <v>Perm Loan</v>
      </c>
      <c r="D33" s="2429">
        <v>0</v>
      </c>
      <c r="E33" s="2430">
        <v>0</v>
      </c>
      <c r="F33" s="2430">
        <v>0</v>
      </c>
      <c r="G33" s="2430">
        <v>0</v>
      </c>
      <c r="H33" s="2430">
        <v>0</v>
      </c>
      <c r="I33" s="2430">
        <v>0</v>
      </c>
      <c r="J33" s="2430">
        <v>0</v>
      </c>
      <c r="K33" s="2430">
        <v>0</v>
      </c>
      <c r="L33" s="2430">
        <v>0</v>
      </c>
      <c r="M33" s="2430">
        <v>0</v>
      </c>
      <c r="N33" s="2430">
        <v>2013222</v>
      </c>
      <c r="O33" s="2430">
        <v>938129</v>
      </c>
      <c r="P33" s="2430"/>
      <c r="Q33" s="2430">
        <v>0</v>
      </c>
      <c r="R33" s="2430">
        <v>0</v>
      </c>
      <c r="S33" s="2430">
        <v>0</v>
      </c>
      <c r="T33" s="2430">
        <v>0</v>
      </c>
      <c r="U33" s="2430">
        <v>0</v>
      </c>
      <c r="V33" s="1486">
        <f t="shared" si="2"/>
        <v>2951351</v>
      </c>
      <c r="W33" s="1482"/>
      <c r="X33" s="399">
        <v>2951351</v>
      </c>
      <c r="Y33" s="399">
        <f t="shared" si="3"/>
        <v>0</v>
      </c>
    </row>
    <row r="34" spans="2:25" x14ac:dyDescent="0.3">
      <c r="B34" s="1431"/>
      <c r="C34" s="1489" t="str">
        <f>IF('7A - 9%'!C32="","Enter on Form 7A - 9%",'7A - 9%'!C32)</f>
        <v>Deferred Developer Fee</v>
      </c>
      <c r="D34" s="2429">
        <v>0</v>
      </c>
      <c r="E34" s="2430">
        <v>0</v>
      </c>
      <c r="F34" s="2430">
        <v>0</v>
      </c>
      <c r="G34" s="2430">
        <v>0</v>
      </c>
      <c r="H34" s="2430">
        <v>0</v>
      </c>
      <c r="I34" s="2430">
        <v>0</v>
      </c>
      <c r="J34" s="2430">
        <v>0</v>
      </c>
      <c r="K34" s="2430">
        <v>0</v>
      </c>
      <c r="L34" s="2430">
        <v>0</v>
      </c>
      <c r="M34" s="2430">
        <v>200000</v>
      </c>
      <c r="N34" s="2430"/>
      <c r="O34" s="2430">
        <v>0</v>
      </c>
      <c r="P34" s="2430">
        <v>0</v>
      </c>
      <c r="Q34" s="2430">
        <v>0</v>
      </c>
      <c r="R34" s="2430">
        <v>0</v>
      </c>
      <c r="S34" s="2430">
        <v>0</v>
      </c>
      <c r="T34" s="2430">
        <v>0</v>
      </c>
      <c r="U34" s="2430">
        <v>0</v>
      </c>
      <c r="V34" s="1486">
        <f t="shared" si="2"/>
        <v>200000</v>
      </c>
      <c r="W34" s="1482"/>
      <c r="X34" s="399">
        <v>200000</v>
      </c>
      <c r="Y34" s="399">
        <f t="shared" si="3"/>
        <v>0</v>
      </c>
    </row>
    <row r="35" spans="2:25" ht="15" thickBot="1" x14ac:dyDescent="0.35">
      <c r="B35" s="1431"/>
      <c r="C35" s="1489" t="str">
        <f>IF('7A - 9%'!C33="","Enter on Form 7A - 9%",'7A - 9%'!C33)</f>
        <v>Enter on Form 7A - 9%</v>
      </c>
      <c r="D35" s="2429">
        <v>0</v>
      </c>
      <c r="E35" s="2430">
        <v>0</v>
      </c>
      <c r="F35" s="2430">
        <v>0</v>
      </c>
      <c r="G35" s="2430">
        <v>0</v>
      </c>
      <c r="H35" s="2430">
        <v>0</v>
      </c>
      <c r="I35" s="2430">
        <v>0</v>
      </c>
      <c r="J35" s="2430">
        <v>0</v>
      </c>
      <c r="K35" s="2430">
        <v>0</v>
      </c>
      <c r="L35" s="2430">
        <v>0</v>
      </c>
      <c r="M35" s="2430">
        <v>0</v>
      </c>
      <c r="N35" s="2430">
        <v>0</v>
      </c>
      <c r="O35" s="2430">
        <v>0</v>
      </c>
      <c r="P35" s="2430">
        <v>0</v>
      </c>
      <c r="Q35" s="2430">
        <v>0</v>
      </c>
      <c r="R35" s="2430">
        <v>0</v>
      </c>
      <c r="S35" s="2430">
        <v>0</v>
      </c>
      <c r="T35" s="2430">
        <v>0</v>
      </c>
      <c r="U35" s="2430">
        <v>0</v>
      </c>
      <c r="V35" s="2207">
        <f t="shared" si="2"/>
        <v>0</v>
      </c>
      <c r="W35" s="1482"/>
    </row>
    <row r="36" spans="2:25" ht="15" thickBot="1" x14ac:dyDescent="0.35">
      <c r="B36" s="1431"/>
      <c r="C36" s="2213" t="s">
        <v>570</v>
      </c>
      <c r="D36" s="2214"/>
      <c r="E36" s="2214"/>
      <c r="F36" s="2214"/>
      <c r="G36" s="2214"/>
      <c r="H36" s="2214"/>
      <c r="I36" s="2214"/>
      <c r="J36" s="2214"/>
      <c r="K36" s="2214"/>
      <c r="L36" s="2214"/>
      <c r="M36" s="2214"/>
      <c r="N36" s="2214"/>
      <c r="O36" s="2214"/>
      <c r="P36" s="2214"/>
      <c r="Q36" s="2214"/>
      <c r="R36" s="2214"/>
      <c r="S36" s="2214"/>
      <c r="T36" s="2214"/>
      <c r="U36" s="2214"/>
      <c r="V36" s="2215"/>
      <c r="W36" s="1482"/>
    </row>
    <row r="37" spans="2:25" x14ac:dyDescent="0.3">
      <c r="B37" s="1431"/>
      <c r="C37" s="1489" t="str">
        <f>IF('7A - 9%'!C45="","Enter on Form 7A - 9%",'7A - 9%'!C45)</f>
        <v>Retail Partner Equity</v>
      </c>
      <c r="D37" s="2453">
        <v>0</v>
      </c>
      <c r="E37" s="2454">
        <v>0</v>
      </c>
      <c r="F37" s="2454">
        <v>0</v>
      </c>
      <c r="G37" s="2454">
        <v>0</v>
      </c>
      <c r="H37" s="2454">
        <v>0</v>
      </c>
      <c r="I37" s="2454">
        <v>0</v>
      </c>
      <c r="J37" s="2454">
        <v>0</v>
      </c>
      <c r="K37" s="2454">
        <v>0</v>
      </c>
      <c r="L37" s="2454">
        <v>0</v>
      </c>
      <c r="M37" s="2454">
        <v>2247759</v>
      </c>
      <c r="N37" s="2454"/>
      <c r="O37" s="2454"/>
      <c r="P37" s="2454"/>
      <c r="Q37" s="2454"/>
      <c r="R37" s="2454"/>
      <c r="S37" s="2454"/>
      <c r="T37" s="2454">
        <v>3302241</v>
      </c>
      <c r="U37" s="2454"/>
      <c r="V37" s="2210">
        <f t="shared" ref="V37:V44" si="4">SUM(D37:K37)+SUM(L37:U37)</f>
        <v>5550000</v>
      </c>
      <c r="W37" s="1482"/>
      <c r="Y37" s="485"/>
    </row>
    <row r="38" spans="2:25" x14ac:dyDescent="0.3">
      <c r="B38" s="1431"/>
      <c r="C38" s="1489" t="str">
        <f>IF('7A - 9%'!C46="","Enter on Form 7A - 9%",'7A - 9%'!C46)</f>
        <v>Retail Partner Loan</v>
      </c>
      <c r="D38" s="2429">
        <v>0</v>
      </c>
      <c r="E38" s="2430">
        <v>0</v>
      </c>
      <c r="F38" s="2430">
        <v>0</v>
      </c>
      <c r="G38" s="2430">
        <v>0</v>
      </c>
      <c r="H38" s="2430">
        <v>0</v>
      </c>
      <c r="I38" s="2430">
        <v>0</v>
      </c>
      <c r="J38" s="2430">
        <v>0</v>
      </c>
      <c r="K38" s="2430">
        <v>0</v>
      </c>
      <c r="L38" s="2430">
        <v>0</v>
      </c>
      <c r="M38" s="2430"/>
      <c r="N38" s="2430">
        <v>0</v>
      </c>
      <c r="O38" s="2430">
        <v>0</v>
      </c>
      <c r="P38" s="2430">
        <v>0</v>
      </c>
      <c r="Q38" s="2430">
        <v>0</v>
      </c>
      <c r="R38" s="2430">
        <v>0</v>
      </c>
      <c r="S38" s="2430">
        <v>0</v>
      </c>
      <c r="T38" s="2430">
        <v>10472842</v>
      </c>
      <c r="U38" s="2430">
        <v>0</v>
      </c>
      <c r="V38" s="2207">
        <f t="shared" si="4"/>
        <v>10472842</v>
      </c>
      <c r="W38" s="1482"/>
    </row>
    <row r="39" spans="2:25" x14ac:dyDescent="0.3">
      <c r="B39" s="1431"/>
      <c r="C39" s="1489" t="str">
        <f>IF('7A - 9%'!C47="","Enter on Form 7A - 9%",'7A - 9%'!C47)</f>
        <v>Enter on Form 7A - 9%</v>
      </c>
      <c r="D39" s="2429">
        <v>0</v>
      </c>
      <c r="E39" s="2430">
        <v>0</v>
      </c>
      <c r="F39" s="2430">
        <v>0</v>
      </c>
      <c r="G39" s="2430">
        <v>0</v>
      </c>
      <c r="H39" s="2430">
        <v>0</v>
      </c>
      <c r="I39" s="2430">
        <v>0</v>
      </c>
      <c r="J39" s="2430">
        <v>0</v>
      </c>
      <c r="K39" s="2430">
        <v>0</v>
      </c>
      <c r="L39" s="2430">
        <v>0</v>
      </c>
      <c r="M39" s="2430">
        <v>0</v>
      </c>
      <c r="N39" s="2430">
        <v>0</v>
      </c>
      <c r="O39" s="2430">
        <v>0</v>
      </c>
      <c r="P39" s="2430">
        <v>0</v>
      </c>
      <c r="Q39" s="2430">
        <v>0</v>
      </c>
      <c r="R39" s="2430">
        <v>0</v>
      </c>
      <c r="S39" s="2430">
        <v>0</v>
      </c>
      <c r="T39" s="2430">
        <v>0</v>
      </c>
      <c r="U39" s="2430">
        <v>0</v>
      </c>
      <c r="V39" s="2207">
        <f t="shared" si="4"/>
        <v>0</v>
      </c>
      <c r="W39" s="1482"/>
    </row>
    <row r="40" spans="2:25" x14ac:dyDescent="0.3">
      <c r="B40" s="1431"/>
      <c r="C40" s="1489" t="str">
        <f>IF('7A - 9%'!C48="","Enter on Form 7A - 9%",'7A - 9%'!C48)</f>
        <v>Enter on Form 7A - 9%</v>
      </c>
      <c r="D40" s="2429">
        <v>0</v>
      </c>
      <c r="E40" s="2430">
        <v>0</v>
      </c>
      <c r="F40" s="2430">
        <v>0</v>
      </c>
      <c r="G40" s="2430">
        <v>0</v>
      </c>
      <c r="H40" s="2430">
        <v>0</v>
      </c>
      <c r="I40" s="2430">
        <v>0</v>
      </c>
      <c r="J40" s="2430">
        <v>0</v>
      </c>
      <c r="K40" s="2430">
        <v>0</v>
      </c>
      <c r="L40" s="2430">
        <v>0</v>
      </c>
      <c r="M40" s="2430">
        <v>0</v>
      </c>
      <c r="N40" s="2430">
        <v>0</v>
      </c>
      <c r="O40" s="2430">
        <v>0</v>
      </c>
      <c r="P40" s="2430">
        <v>0</v>
      </c>
      <c r="Q40" s="2430">
        <v>0</v>
      </c>
      <c r="R40" s="2430">
        <v>0</v>
      </c>
      <c r="S40" s="2430">
        <v>0</v>
      </c>
      <c r="T40" s="2430">
        <v>0</v>
      </c>
      <c r="U40" s="2430">
        <v>0</v>
      </c>
      <c r="V40" s="2207">
        <f t="shared" si="4"/>
        <v>0</v>
      </c>
      <c r="W40" s="1482"/>
    </row>
    <row r="41" spans="2:25" x14ac:dyDescent="0.3">
      <c r="B41" s="1431"/>
      <c r="C41" s="1489" t="str">
        <f>IF('7A - 9%'!C49="","Enter on Form 7A - 9%",'7A - 9%'!C49)</f>
        <v>Enter on Form 7A - 9%</v>
      </c>
      <c r="D41" s="2429">
        <v>0</v>
      </c>
      <c r="E41" s="2430">
        <v>0</v>
      </c>
      <c r="F41" s="2430">
        <v>0</v>
      </c>
      <c r="G41" s="2430">
        <v>0</v>
      </c>
      <c r="H41" s="2430">
        <v>0</v>
      </c>
      <c r="I41" s="2430">
        <v>0</v>
      </c>
      <c r="J41" s="2430">
        <v>0</v>
      </c>
      <c r="K41" s="2430">
        <v>0</v>
      </c>
      <c r="L41" s="2430">
        <v>0</v>
      </c>
      <c r="M41" s="2430">
        <v>0</v>
      </c>
      <c r="N41" s="2430">
        <v>0</v>
      </c>
      <c r="O41" s="2430">
        <v>0</v>
      </c>
      <c r="P41" s="2430">
        <v>0</v>
      </c>
      <c r="Q41" s="2430">
        <v>0</v>
      </c>
      <c r="R41" s="2430">
        <v>0</v>
      </c>
      <c r="S41" s="2430">
        <v>0</v>
      </c>
      <c r="T41" s="2430">
        <v>0</v>
      </c>
      <c r="U41" s="2430">
        <v>0</v>
      </c>
      <c r="V41" s="2207">
        <f t="shared" si="4"/>
        <v>0</v>
      </c>
      <c r="W41" s="1482"/>
    </row>
    <row r="42" spans="2:25" x14ac:dyDescent="0.3">
      <c r="B42" s="1431"/>
      <c r="C42" s="1489" t="str">
        <f>IF('7A - 9%'!C50="","Enter on Form 7A - 9%",'7A - 9%'!C50)</f>
        <v>Enter on Form 7A - 9%</v>
      </c>
      <c r="D42" s="2429">
        <v>0</v>
      </c>
      <c r="E42" s="2430">
        <v>0</v>
      </c>
      <c r="F42" s="2430">
        <v>0</v>
      </c>
      <c r="G42" s="2430">
        <v>0</v>
      </c>
      <c r="H42" s="2430">
        <v>0</v>
      </c>
      <c r="I42" s="2430">
        <v>0</v>
      </c>
      <c r="J42" s="2430">
        <v>0</v>
      </c>
      <c r="K42" s="2430">
        <v>0</v>
      </c>
      <c r="L42" s="2430">
        <v>0</v>
      </c>
      <c r="M42" s="2430">
        <v>0</v>
      </c>
      <c r="N42" s="2430">
        <v>0</v>
      </c>
      <c r="O42" s="2430">
        <v>0</v>
      </c>
      <c r="P42" s="2430">
        <v>0</v>
      </c>
      <c r="Q42" s="2430">
        <v>0</v>
      </c>
      <c r="R42" s="2430">
        <v>0</v>
      </c>
      <c r="S42" s="2430">
        <v>0</v>
      </c>
      <c r="T42" s="2430">
        <v>0</v>
      </c>
      <c r="U42" s="2430">
        <v>0</v>
      </c>
      <c r="V42" s="2207">
        <f t="shared" si="4"/>
        <v>0</v>
      </c>
      <c r="W42" s="1482"/>
    </row>
    <row r="43" spans="2:25" x14ac:dyDescent="0.3">
      <c r="B43" s="1431"/>
      <c r="C43" s="1489" t="str">
        <f>IF('7A - 9%'!C51="","Enter on Form 7A - 9%",'7A - 9%'!C51)</f>
        <v>Enter on Form 7A - 9%</v>
      </c>
      <c r="D43" s="2429">
        <v>0</v>
      </c>
      <c r="E43" s="2430">
        <v>0</v>
      </c>
      <c r="F43" s="2430">
        <v>0</v>
      </c>
      <c r="G43" s="2430">
        <v>0</v>
      </c>
      <c r="H43" s="2430">
        <v>0</v>
      </c>
      <c r="I43" s="2430">
        <v>0</v>
      </c>
      <c r="J43" s="2430">
        <v>0</v>
      </c>
      <c r="K43" s="2430">
        <v>0</v>
      </c>
      <c r="L43" s="2430">
        <v>0</v>
      </c>
      <c r="M43" s="2430">
        <v>0</v>
      </c>
      <c r="N43" s="2430">
        <v>0</v>
      </c>
      <c r="O43" s="2430">
        <v>0</v>
      </c>
      <c r="P43" s="2430">
        <v>0</v>
      </c>
      <c r="Q43" s="2430">
        <v>0</v>
      </c>
      <c r="R43" s="2430">
        <v>0</v>
      </c>
      <c r="S43" s="2430">
        <v>0</v>
      </c>
      <c r="T43" s="2430">
        <v>0</v>
      </c>
      <c r="U43" s="2430">
        <v>0</v>
      </c>
      <c r="V43" s="2207">
        <f t="shared" si="4"/>
        <v>0</v>
      </c>
      <c r="W43" s="1482"/>
    </row>
    <row r="44" spans="2:25" ht="15" thickBot="1" x14ac:dyDescent="0.35">
      <c r="B44" s="1431"/>
      <c r="C44" s="1489" t="str">
        <f>IF('7A - 9%'!C52="","Enter on Form 7A - 9%",'7A - 9%'!C52)</f>
        <v>Enter on Form 7A - 9%</v>
      </c>
      <c r="D44" s="2431">
        <v>0</v>
      </c>
      <c r="E44" s="2432">
        <v>0</v>
      </c>
      <c r="F44" s="2432">
        <v>0</v>
      </c>
      <c r="G44" s="2432">
        <v>0</v>
      </c>
      <c r="H44" s="2432">
        <v>0</v>
      </c>
      <c r="I44" s="2432">
        <v>0</v>
      </c>
      <c r="J44" s="2432">
        <v>0</v>
      </c>
      <c r="K44" s="2432">
        <v>0</v>
      </c>
      <c r="L44" s="2432">
        <v>0</v>
      </c>
      <c r="M44" s="2432">
        <v>0</v>
      </c>
      <c r="N44" s="2432">
        <v>0</v>
      </c>
      <c r="O44" s="2432">
        <v>0</v>
      </c>
      <c r="P44" s="2432">
        <v>0</v>
      </c>
      <c r="Q44" s="2432">
        <v>0</v>
      </c>
      <c r="R44" s="2432">
        <v>0</v>
      </c>
      <c r="S44" s="2432">
        <v>0</v>
      </c>
      <c r="T44" s="2432">
        <v>0</v>
      </c>
      <c r="U44" s="2432">
        <v>0</v>
      </c>
      <c r="V44" s="1487">
        <f t="shared" si="4"/>
        <v>0</v>
      </c>
      <c r="W44" s="1482"/>
    </row>
    <row r="45" spans="2:25" ht="15" thickBot="1" x14ac:dyDescent="0.35">
      <c r="B45" s="593"/>
      <c r="C45" s="132" t="s">
        <v>313</v>
      </c>
      <c r="D45" s="1034">
        <f>SUM(D29:D35)+SUM(D37:D44)</f>
        <v>0</v>
      </c>
      <c r="E45" s="2449">
        <f t="shared" ref="E45:U45" si="5">SUM(E29:E35)+SUM(E37:E44)</f>
        <v>0</v>
      </c>
      <c r="F45" s="2449">
        <f t="shared" si="5"/>
        <v>0</v>
      </c>
      <c r="G45" s="2449">
        <f t="shared" si="5"/>
        <v>0</v>
      </c>
      <c r="H45" s="2449">
        <f t="shared" si="5"/>
        <v>0</v>
      </c>
      <c r="I45" s="2449">
        <f t="shared" si="5"/>
        <v>0</v>
      </c>
      <c r="J45" s="2449">
        <f t="shared" si="5"/>
        <v>0</v>
      </c>
      <c r="K45" s="2449">
        <f t="shared" si="5"/>
        <v>0</v>
      </c>
      <c r="L45" s="2449">
        <f t="shared" si="5"/>
        <v>0</v>
      </c>
      <c r="M45" s="2449">
        <f t="shared" si="5"/>
        <v>9442235</v>
      </c>
      <c r="N45" s="2449">
        <f t="shared" si="5"/>
        <v>2285132</v>
      </c>
      <c r="O45" s="2449">
        <f t="shared" si="5"/>
        <v>1043129</v>
      </c>
      <c r="P45" s="2449">
        <f t="shared" si="5"/>
        <v>113000</v>
      </c>
      <c r="Q45" s="2449">
        <f t="shared" si="5"/>
        <v>105000</v>
      </c>
      <c r="R45" s="2449">
        <f t="shared" si="5"/>
        <v>139000</v>
      </c>
      <c r="S45" s="2449">
        <f t="shared" ref="S45:T45" si="6">SUM(S29:S35)+SUM(S37:S44)</f>
        <v>181310</v>
      </c>
      <c r="T45" s="2449">
        <f t="shared" si="6"/>
        <v>16940699</v>
      </c>
      <c r="U45" s="2449">
        <f t="shared" si="5"/>
        <v>11821006.6</v>
      </c>
      <c r="V45" s="1036">
        <f>SUM(V29:V35)+SUM(V37:V44)</f>
        <v>42070511.600000001</v>
      </c>
      <c r="W45" s="1482"/>
    </row>
    <row r="46" spans="2:25" ht="3.75" customHeight="1" thickBot="1" x14ac:dyDescent="0.35">
      <c r="B46" s="593"/>
      <c r="C46" s="133"/>
      <c r="D46" s="136"/>
      <c r="E46" s="2450"/>
      <c r="F46" s="2450"/>
      <c r="G46" s="2450"/>
      <c r="H46" s="2450"/>
      <c r="I46" s="2450"/>
      <c r="J46" s="2450"/>
      <c r="K46" s="2450"/>
      <c r="L46" s="2450"/>
      <c r="M46" s="2450"/>
      <c r="N46" s="2450"/>
      <c r="O46" s="2450"/>
      <c r="P46" s="2450"/>
      <c r="Q46" s="2450"/>
      <c r="R46" s="2450"/>
      <c r="S46" s="2450"/>
      <c r="T46" s="2450"/>
      <c r="U46" s="2450"/>
      <c r="V46" s="137"/>
      <c r="W46" s="1482"/>
    </row>
    <row r="47" spans="2:25" ht="15" thickBot="1" x14ac:dyDescent="0.35">
      <c r="B47" s="590"/>
      <c r="C47" s="131" t="s">
        <v>314</v>
      </c>
      <c r="D47" s="1034">
        <f t="shared" ref="D47:V47" si="7">D25+D45</f>
        <v>20855</v>
      </c>
      <c r="E47" s="2449">
        <f t="shared" si="7"/>
        <v>41370</v>
      </c>
      <c r="F47" s="2449">
        <f t="shared" si="7"/>
        <v>47135</v>
      </c>
      <c r="G47" s="2449">
        <f t="shared" si="7"/>
        <v>70872</v>
      </c>
      <c r="H47" s="2449">
        <f t="shared" si="7"/>
        <v>81045</v>
      </c>
      <c r="I47" s="2449">
        <f t="shared" si="7"/>
        <v>102408</v>
      </c>
      <c r="J47" s="2449">
        <f t="shared" si="7"/>
        <v>143778</v>
      </c>
      <c r="K47" s="2449">
        <f t="shared" si="7"/>
        <v>92913</v>
      </c>
      <c r="L47" s="2449">
        <f t="shared" si="7"/>
        <v>136319</v>
      </c>
      <c r="M47" s="2449">
        <f t="shared" si="7"/>
        <v>10942235</v>
      </c>
      <c r="N47" s="2449">
        <f t="shared" si="7"/>
        <v>5035132</v>
      </c>
      <c r="O47" s="2449">
        <f t="shared" si="7"/>
        <v>5126130</v>
      </c>
      <c r="P47" s="2449">
        <f t="shared" si="7"/>
        <v>5316950</v>
      </c>
      <c r="Q47" s="2449">
        <f t="shared" si="7"/>
        <v>5866573</v>
      </c>
      <c r="R47" s="2449">
        <f t="shared" si="7"/>
        <v>4942248</v>
      </c>
      <c r="S47" s="2449">
        <f t="shared" ref="S47:T47" si="8">S25+S45</f>
        <v>4026500</v>
      </c>
      <c r="T47" s="2449">
        <f t="shared" si="8"/>
        <v>16940699</v>
      </c>
      <c r="U47" s="2449">
        <f t="shared" si="7"/>
        <v>11821006.6</v>
      </c>
      <c r="V47" s="1038">
        <f t="shared" si="7"/>
        <v>70754168.599999994</v>
      </c>
      <c r="W47" s="1482"/>
    </row>
    <row r="48" spans="2:25" x14ac:dyDescent="0.3">
      <c r="B48" s="590"/>
      <c r="C48" s="130"/>
      <c r="D48" s="130"/>
      <c r="E48" s="130"/>
      <c r="F48" s="130"/>
      <c r="G48" s="130"/>
      <c r="H48" s="130"/>
      <c r="I48" s="591"/>
      <c r="J48" s="130"/>
      <c r="K48" s="1029"/>
      <c r="L48" s="1030"/>
      <c r="M48" s="1030"/>
      <c r="N48" s="1030"/>
      <c r="O48" s="1030"/>
      <c r="P48" s="1030"/>
      <c r="Q48" s="1030"/>
      <c r="R48" s="1030"/>
      <c r="S48" s="1030"/>
      <c r="T48" s="1030"/>
      <c r="U48" s="1030"/>
      <c r="V48" s="1030"/>
      <c r="W48" s="1482"/>
    </row>
    <row r="49" spans="2:25" ht="15" thickBot="1" x14ac:dyDescent="0.35">
      <c r="B49" s="590"/>
      <c r="C49" s="2793" t="s">
        <v>315</v>
      </c>
      <c r="D49" s="2793"/>
      <c r="E49" s="2793"/>
      <c r="F49" s="2793"/>
      <c r="G49" s="2793"/>
      <c r="H49" s="2793"/>
      <c r="I49" s="2793"/>
      <c r="J49" s="2793"/>
      <c r="K49" s="2793"/>
      <c r="L49" s="1030"/>
      <c r="M49" s="1030"/>
      <c r="N49" s="1030"/>
      <c r="O49" s="1030"/>
      <c r="P49" s="1030"/>
      <c r="Q49" s="1030"/>
      <c r="R49" s="1030"/>
      <c r="S49" s="1030"/>
      <c r="T49" s="1030"/>
      <c r="U49" s="1030"/>
      <c r="V49" s="1030"/>
      <c r="W49" s="1482"/>
    </row>
    <row r="50" spans="2:25" x14ac:dyDescent="0.3">
      <c r="B50" s="590"/>
      <c r="C50" s="140" t="s">
        <v>21</v>
      </c>
      <c r="D50" s="2443">
        <v>0</v>
      </c>
      <c r="E50" s="2444">
        <v>0</v>
      </c>
      <c r="F50" s="2444">
        <v>0</v>
      </c>
      <c r="G50" s="2444">
        <v>0</v>
      </c>
      <c r="H50" s="2444">
        <v>0</v>
      </c>
      <c r="I50" s="2444">
        <v>0</v>
      </c>
      <c r="J50" s="2444">
        <v>0</v>
      </c>
      <c r="K50" s="2444">
        <v>0</v>
      </c>
      <c r="L50" s="2444">
        <v>0</v>
      </c>
      <c r="M50" s="2444">
        <v>3691380</v>
      </c>
      <c r="N50" s="2444">
        <v>0</v>
      </c>
      <c r="O50" s="2444">
        <v>0</v>
      </c>
      <c r="P50" s="2444">
        <v>0</v>
      </c>
      <c r="Q50" s="2444">
        <v>0</v>
      </c>
      <c r="R50" s="2444">
        <v>0</v>
      </c>
      <c r="S50" s="2444">
        <v>0</v>
      </c>
      <c r="T50" s="2444"/>
      <c r="U50" s="2444"/>
      <c r="V50" s="1488">
        <f t="shared" ref="V50:V58" si="9">SUM(D50:K50)+SUM(L50:U50)</f>
        <v>3691380</v>
      </c>
      <c r="W50" s="1482"/>
      <c r="X50" s="1666">
        <v>3691380</v>
      </c>
      <c r="Y50" s="485">
        <f>X50-V50</f>
        <v>0</v>
      </c>
    </row>
    <row r="51" spans="2:25" x14ac:dyDescent="0.3">
      <c r="B51" s="590"/>
      <c r="C51" s="141" t="s">
        <v>316</v>
      </c>
      <c r="D51" s="2445">
        <v>0</v>
      </c>
      <c r="E51" s="2446">
        <v>0</v>
      </c>
      <c r="F51" s="2446">
        <v>0</v>
      </c>
      <c r="G51" s="2446">
        <v>0</v>
      </c>
      <c r="H51" s="2446">
        <v>0</v>
      </c>
      <c r="I51" s="2446">
        <v>0</v>
      </c>
      <c r="J51" s="2446">
        <v>0</v>
      </c>
      <c r="K51" s="2446">
        <v>0</v>
      </c>
      <c r="L51" s="2446">
        <v>0</v>
      </c>
      <c r="M51" s="2446">
        <f>1817310+3000000</f>
        <v>4817310</v>
      </c>
      <c r="N51" s="2446">
        <f>1958132-190000+2750000+500000-200000</f>
        <v>4818132</v>
      </c>
      <c r="O51" s="2446">
        <f>3323130+2100000-500000</f>
        <v>4923130</v>
      </c>
      <c r="P51" s="2446">
        <f>6054950-500000-500000</f>
        <v>5054950</v>
      </c>
      <c r="Q51" s="2446">
        <f>3477133+2050000-500000</f>
        <v>5027133</v>
      </c>
      <c r="R51" s="2446">
        <v>4589500</v>
      </c>
      <c r="S51" s="2446">
        <v>3600000</v>
      </c>
      <c r="T51" s="2446">
        <v>191811</v>
      </c>
      <c r="U51" s="2446"/>
      <c r="V51" s="1486">
        <f t="shared" si="9"/>
        <v>33021966</v>
      </c>
      <c r="W51" s="1482"/>
      <c r="X51" s="1666">
        <v>33021966</v>
      </c>
      <c r="Y51" s="485">
        <f t="shared" ref="Y51:Y57" si="10">X51-V51</f>
        <v>0</v>
      </c>
    </row>
    <row r="52" spans="2:25" x14ac:dyDescent="0.3">
      <c r="B52" s="590"/>
      <c r="C52" s="141" t="s">
        <v>1527</v>
      </c>
      <c r="D52" s="2445">
        <v>0</v>
      </c>
      <c r="E52" s="2446">
        <v>0</v>
      </c>
      <c r="F52" s="2446">
        <v>0</v>
      </c>
      <c r="G52" s="2446">
        <v>0</v>
      </c>
      <c r="H52" s="2446">
        <v>0</v>
      </c>
      <c r="I52" s="2446">
        <v>0</v>
      </c>
      <c r="J52" s="2446">
        <v>0</v>
      </c>
      <c r="K52" s="2446">
        <v>0</v>
      </c>
      <c r="L52" s="2446">
        <v>0</v>
      </c>
      <c r="M52" s="2446">
        <v>1440553</v>
      </c>
      <c r="N52" s="2446">
        <v>200000</v>
      </c>
      <c r="O52" s="2446">
        <f>N52</f>
        <v>200000</v>
      </c>
      <c r="P52" s="2446">
        <f>O52</f>
        <v>200000</v>
      </c>
      <c r="Q52" s="2446">
        <f>P52</f>
        <v>200000</v>
      </c>
      <c r="R52" s="2446">
        <f>Q52</f>
        <v>200000</v>
      </c>
      <c r="S52" s="2446">
        <v>175000</v>
      </c>
      <c r="T52" s="2446">
        <v>96262</v>
      </c>
      <c r="U52" s="2446"/>
      <c r="V52" s="1486">
        <f t="shared" si="9"/>
        <v>2711815</v>
      </c>
      <c r="W52" s="1482"/>
      <c r="X52" s="1666">
        <v>2711815</v>
      </c>
      <c r="Y52" s="485">
        <f t="shared" si="10"/>
        <v>0</v>
      </c>
    </row>
    <row r="53" spans="2:25" x14ac:dyDescent="0.3">
      <c r="B53" s="590"/>
      <c r="C53" s="141" t="s">
        <v>317</v>
      </c>
      <c r="D53" s="2445"/>
      <c r="E53" s="2446"/>
      <c r="F53" s="2446"/>
      <c r="G53" s="2446"/>
      <c r="H53" s="2446"/>
      <c r="I53" s="2446"/>
      <c r="J53" s="2446"/>
      <c r="K53" s="2446"/>
      <c r="L53" s="2446"/>
      <c r="M53" s="2446">
        <v>58633</v>
      </c>
      <c r="N53" s="2446">
        <v>0</v>
      </c>
      <c r="O53" s="2446">
        <v>0</v>
      </c>
      <c r="P53" s="2446">
        <v>0</v>
      </c>
      <c r="Q53" s="2446">
        <v>0</v>
      </c>
      <c r="R53" s="2446">
        <v>0</v>
      </c>
      <c r="S53" s="2446">
        <v>0</v>
      </c>
      <c r="T53" s="2446"/>
      <c r="U53" s="2446"/>
      <c r="V53" s="1486">
        <f t="shared" si="9"/>
        <v>58633</v>
      </c>
      <c r="W53" s="1482"/>
      <c r="X53" s="1666">
        <v>58633</v>
      </c>
      <c r="Y53" s="485">
        <f t="shared" si="10"/>
        <v>0</v>
      </c>
    </row>
    <row r="54" spans="2:25" x14ac:dyDescent="0.3">
      <c r="B54" s="590"/>
      <c r="C54" s="142" t="s">
        <v>186</v>
      </c>
      <c r="D54" s="2445">
        <v>0</v>
      </c>
      <c r="E54" s="2446">
        <v>0</v>
      </c>
      <c r="F54" s="2446">
        <v>0</v>
      </c>
      <c r="G54" s="2446">
        <v>0</v>
      </c>
      <c r="H54" s="2446">
        <v>0</v>
      </c>
      <c r="I54" s="2446">
        <v>0</v>
      </c>
      <c r="J54" s="2446">
        <v>0</v>
      </c>
      <c r="K54" s="2446">
        <v>0</v>
      </c>
      <c r="L54" s="2446">
        <v>0</v>
      </c>
      <c r="M54" s="2446">
        <v>95000</v>
      </c>
      <c r="N54" s="2446">
        <v>0</v>
      </c>
      <c r="O54" s="2446"/>
      <c r="P54" s="2446">
        <v>45000</v>
      </c>
      <c r="Q54" s="2446">
        <v>90000</v>
      </c>
      <c r="R54" s="2446">
        <v>135000</v>
      </c>
      <c r="S54" s="2446">
        <f>50000+160000</f>
        <v>210000</v>
      </c>
      <c r="T54" s="2446">
        <f>100000+55000</f>
        <v>155000</v>
      </c>
      <c r="U54" s="2446"/>
      <c r="V54" s="1486">
        <f t="shared" si="9"/>
        <v>730000</v>
      </c>
      <c r="W54" s="1482"/>
      <c r="X54" s="1666">
        <v>730000</v>
      </c>
      <c r="Y54" s="485">
        <f t="shared" si="10"/>
        <v>0</v>
      </c>
    </row>
    <row r="55" spans="2:25" x14ac:dyDescent="0.3">
      <c r="B55" s="590"/>
      <c r="C55" s="142" t="s">
        <v>192</v>
      </c>
      <c r="D55" s="2445">
        <v>0</v>
      </c>
      <c r="E55" s="2446">
        <v>0</v>
      </c>
      <c r="F55" s="2446">
        <v>0</v>
      </c>
      <c r="G55" s="2446">
        <v>0</v>
      </c>
      <c r="H55" s="2446">
        <v>0</v>
      </c>
      <c r="I55" s="2446">
        <v>0</v>
      </c>
      <c r="J55" s="2446">
        <v>0</v>
      </c>
      <c r="K55" s="2446">
        <v>0</v>
      </c>
      <c r="L55" s="2446">
        <v>0</v>
      </c>
      <c r="M55" s="2446">
        <f>50000+100000+(0.5*130000)+36059</f>
        <v>251059</v>
      </c>
      <c r="N55" s="2446">
        <v>3000</v>
      </c>
      <c r="O55" s="2446">
        <v>3000</v>
      </c>
      <c r="P55" s="2446">
        <v>3000</v>
      </c>
      <c r="Q55" s="2446">
        <v>65000</v>
      </c>
      <c r="R55" s="2446">
        <v>3000</v>
      </c>
      <c r="S55" s="2446">
        <f>25000+3000</f>
        <v>28000</v>
      </c>
      <c r="T55" s="2446">
        <v>0</v>
      </c>
      <c r="U55" s="2446">
        <v>0</v>
      </c>
      <c r="V55" s="1486">
        <f t="shared" si="9"/>
        <v>356059</v>
      </c>
      <c r="W55" s="1482"/>
      <c r="X55" s="1666">
        <v>356059</v>
      </c>
      <c r="Y55" s="485">
        <f t="shared" si="10"/>
        <v>0</v>
      </c>
    </row>
    <row r="56" spans="2:25" x14ac:dyDescent="0.3">
      <c r="B56" s="590"/>
      <c r="C56" s="142" t="s">
        <v>200</v>
      </c>
      <c r="D56" s="2445">
        <v>0</v>
      </c>
      <c r="E56" s="2446">
        <v>0</v>
      </c>
      <c r="F56" s="2446">
        <v>0</v>
      </c>
      <c r="G56" s="2446">
        <v>0</v>
      </c>
      <c r="H56" s="2446">
        <v>0</v>
      </c>
      <c r="I56" s="2446">
        <v>0</v>
      </c>
      <c r="J56" s="2446">
        <v>0</v>
      </c>
      <c r="K56" s="2446">
        <v>0</v>
      </c>
      <c r="L56" s="2446">
        <v>0</v>
      </c>
      <c r="M56" s="2446">
        <v>0</v>
      </c>
      <c r="N56" s="2446">
        <v>0</v>
      </c>
      <c r="O56" s="2446">
        <v>0</v>
      </c>
      <c r="P56" s="2446">
        <v>0</v>
      </c>
      <c r="Q56" s="2446">
        <v>0</v>
      </c>
      <c r="R56" s="2446">
        <v>0</v>
      </c>
      <c r="S56" s="2446">
        <v>0</v>
      </c>
      <c r="T56" s="2446">
        <v>275000</v>
      </c>
      <c r="U56" s="2446">
        <v>0</v>
      </c>
      <c r="V56" s="1486">
        <f t="shared" si="9"/>
        <v>275000</v>
      </c>
      <c r="W56" s="1482"/>
      <c r="X56" s="1666">
        <v>275000</v>
      </c>
      <c r="Y56" s="485">
        <f t="shared" si="10"/>
        <v>0</v>
      </c>
    </row>
    <row r="57" spans="2:25" x14ac:dyDescent="0.3">
      <c r="B57" s="590"/>
      <c r="C57" s="142" t="s">
        <v>203</v>
      </c>
      <c r="D57" s="2445">
        <v>0</v>
      </c>
      <c r="E57" s="2446">
        <v>0</v>
      </c>
      <c r="F57" s="2446">
        <v>0</v>
      </c>
      <c r="G57" s="2446">
        <v>0</v>
      </c>
      <c r="H57" s="2446">
        <v>0</v>
      </c>
      <c r="I57" s="2446">
        <v>0</v>
      </c>
      <c r="J57" s="2446">
        <v>0</v>
      </c>
      <c r="K57" s="2446">
        <v>0</v>
      </c>
      <c r="L57" s="2446">
        <v>0</v>
      </c>
      <c r="M57" s="2446">
        <f>388300+200000</f>
        <v>588300</v>
      </c>
      <c r="N57" s="2446">
        <v>14000</v>
      </c>
      <c r="O57" s="2446">
        <v>0</v>
      </c>
      <c r="P57" s="2446">
        <v>14000</v>
      </c>
      <c r="Q57" s="2446">
        <f>459440+25000</f>
        <v>484440</v>
      </c>
      <c r="R57" s="2446">
        <v>14748</v>
      </c>
      <c r="S57" s="2446">
        <v>13500</v>
      </c>
      <c r="T57" s="2446">
        <f>45790+30520-13500+14748+19113</f>
        <v>96671</v>
      </c>
      <c r="U57" s="2446">
        <v>0</v>
      </c>
      <c r="V57" s="1486">
        <f t="shared" si="9"/>
        <v>1225659</v>
      </c>
      <c r="W57" s="1482"/>
      <c r="X57" s="1666">
        <v>1225659</v>
      </c>
      <c r="Y57" s="485">
        <f t="shared" si="10"/>
        <v>0</v>
      </c>
    </row>
    <row r="58" spans="2:25" ht="15" thickBot="1" x14ac:dyDescent="0.35">
      <c r="B58" s="590"/>
      <c r="C58" s="142" t="s">
        <v>318</v>
      </c>
      <c r="D58" s="2447">
        <v>0</v>
      </c>
      <c r="E58" s="2448">
        <v>0</v>
      </c>
      <c r="F58" s="2448">
        <v>0</v>
      </c>
      <c r="G58" s="2448">
        <v>0</v>
      </c>
      <c r="H58" s="2448">
        <v>0</v>
      </c>
      <c r="I58" s="2448">
        <v>0</v>
      </c>
      <c r="J58" s="2448">
        <v>0</v>
      </c>
      <c r="K58" s="2448">
        <v>0</v>
      </c>
      <c r="L58" s="2448">
        <v>0</v>
      </c>
      <c r="M58" s="2448">
        <v>0</v>
      </c>
      <c r="N58" s="2448">
        <v>0</v>
      </c>
      <c r="O58" s="2448">
        <v>0</v>
      </c>
      <c r="P58" s="2448">
        <v>0</v>
      </c>
      <c r="Q58" s="2448">
        <v>0</v>
      </c>
      <c r="R58" s="2448">
        <v>0</v>
      </c>
      <c r="S58" s="2448">
        <v>0</v>
      </c>
      <c r="T58" s="2448">
        <v>0</v>
      </c>
      <c r="U58" s="2448">
        <v>0</v>
      </c>
      <c r="V58" s="1487">
        <f t="shared" si="9"/>
        <v>0</v>
      </c>
      <c r="W58" s="1482"/>
    </row>
    <row r="59" spans="2:25" ht="3.75" customHeight="1" thickBot="1" x14ac:dyDescent="0.35">
      <c r="B59" s="590"/>
      <c r="C59" s="138"/>
      <c r="D59" s="130"/>
      <c r="E59" s="130"/>
      <c r="F59" s="130"/>
      <c r="G59" s="130"/>
      <c r="H59" s="130"/>
      <c r="I59" s="591"/>
      <c r="J59" s="130"/>
      <c r="K59" s="591"/>
      <c r="L59" s="130"/>
      <c r="M59" s="136"/>
      <c r="N59" s="136"/>
      <c r="O59" s="136"/>
      <c r="P59" s="136"/>
      <c r="Q59" s="136"/>
      <c r="R59" s="136"/>
      <c r="S59" s="136"/>
      <c r="T59" s="136"/>
      <c r="U59" s="136"/>
      <c r="V59" s="137"/>
      <c r="W59" s="1482"/>
    </row>
    <row r="60" spans="2:25" ht="15" thickBot="1" x14ac:dyDescent="0.35">
      <c r="B60" s="590"/>
      <c r="C60" s="131" t="s">
        <v>319</v>
      </c>
      <c r="D60" s="1034">
        <f>SUM(D50:D58)</f>
        <v>0</v>
      </c>
      <c r="E60" s="1035">
        <f t="shared" ref="E60:J60" si="11">SUM(E50:E58)</f>
        <v>0</v>
      </c>
      <c r="F60" s="1035">
        <f t="shared" si="11"/>
        <v>0</v>
      </c>
      <c r="G60" s="1035">
        <f t="shared" si="11"/>
        <v>0</v>
      </c>
      <c r="H60" s="1035">
        <f t="shared" si="11"/>
        <v>0</v>
      </c>
      <c r="I60" s="1035">
        <f t="shared" si="11"/>
        <v>0</v>
      </c>
      <c r="J60" s="1035">
        <f t="shared" si="11"/>
        <v>0</v>
      </c>
      <c r="K60" s="1035">
        <f>SUM(K50:K58)</f>
        <v>0</v>
      </c>
      <c r="L60" s="1035">
        <f>SUM(L50:L58)</f>
        <v>0</v>
      </c>
      <c r="M60" s="1035">
        <f t="shared" ref="M60:U60" si="12">SUM(M50:M58)</f>
        <v>10942235</v>
      </c>
      <c r="N60" s="1035">
        <f t="shared" si="12"/>
        <v>5035132</v>
      </c>
      <c r="O60" s="1035">
        <f t="shared" si="12"/>
        <v>5126130</v>
      </c>
      <c r="P60" s="1035">
        <f t="shared" si="12"/>
        <v>5316950</v>
      </c>
      <c r="Q60" s="1035">
        <f t="shared" si="12"/>
        <v>5866573</v>
      </c>
      <c r="R60" s="1035">
        <f t="shared" si="12"/>
        <v>4942248</v>
      </c>
      <c r="S60" s="1035">
        <f t="shared" ref="S60:T60" si="13">SUM(S50:S58)</f>
        <v>4026500</v>
      </c>
      <c r="T60" s="1035">
        <f t="shared" si="13"/>
        <v>814744</v>
      </c>
      <c r="U60" s="1035">
        <f t="shared" si="12"/>
        <v>0</v>
      </c>
      <c r="V60" s="1978">
        <f>SUM(V50:V58)</f>
        <v>42070512</v>
      </c>
      <c r="W60" s="1482"/>
    </row>
    <row r="61" spans="2:25" ht="3.75" customHeight="1" thickBot="1" x14ac:dyDescent="0.35">
      <c r="B61" s="590"/>
      <c r="C61" s="130"/>
      <c r="D61" s="136"/>
      <c r="E61" s="136"/>
      <c r="F61" s="136"/>
      <c r="G61" s="136"/>
      <c r="H61" s="136"/>
      <c r="I61" s="594"/>
      <c r="J61" s="130"/>
      <c r="K61" s="594"/>
      <c r="L61" s="130"/>
      <c r="M61" s="136"/>
      <c r="N61" s="136"/>
      <c r="O61" s="136"/>
      <c r="P61" s="136"/>
      <c r="Q61" s="136"/>
      <c r="R61" s="136"/>
      <c r="S61" s="136"/>
      <c r="T61" s="136"/>
      <c r="U61" s="136"/>
      <c r="V61" s="138"/>
      <c r="W61" s="1482"/>
    </row>
    <row r="62" spans="2:25" ht="15" thickBot="1" x14ac:dyDescent="0.35">
      <c r="B62" s="590"/>
      <c r="C62" s="134" t="s">
        <v>320</v>
      </c>
      <c r="D62" s="1034">
        <f>D47-D60</f>
        <v>20855</v>
      </c>
      <c r="E62" s="1035">
        <f t="shared" ref="E62:V62" si="14">E47-E60</f>
        <v>41370</v>
      </c>
      <c r="F62" s="1035">
        <f t="shared" si="14"/>
        <v>47135</v>
      </c>
      <c r="G62" s="1035">
        <f t="shared" si="14"/>
        <v>70872</v>
      </c>
      <c r="H62" s="1035">
        <f t="shared" si="14"/>
        <v>81045</v>
      </c>
      <c r="I62" s="1035">
        <f t="shared" si="14"/>
        <v>102408</v>
      </c>
      <c r="J62" s="1035">
        <f t="shared" si="14"/>
        <v>143778</v>
      </c>
      <c r="K62" s="1035">
        <f t="shared" si="14"/>
        <v>92913</v>
      </c>
      <c r="L62" s="1035">
        <f t="shared" si="14"/>
        <v>136319</v>
      </c>
      <c r="M62" s="1035">
        <f t="shared" si="14"/>
        <v>0</v>
      </c>
      <c r="N62" s="1035">
        <f t="shared" si="14"/>
        <v>0</v>
      </c>
      <c r="O62" s="1035">
        <f t="shared" si="14"/>
        <v>0</v>
      </c>
      <c r="P62" s="1035">
        <f t="shared" si="14"/>
        <v>0</v>
      </c>
      <c r="Q62" s="1035">
        <f t="shared" si="14"/>
        <v>0</v>
      </c>
      <c r="R62" s="1035">
        <f t="shared" si="14"/>
        <v>0</v>
      </c>
      <c r="S62" s="1035">
        <f t="shared" ref="S62:T62" si="15">S47-S60</f>
        <v>0</v>
      </c>
      <c r="T62" s="1035">
        <f t="shared" si="15"/>
        <v>16125955</v>
      </c>
      <c r="U62" s="1035">
        <f t="shared" si="14"/>
        <v>11821006.6</v>
      </c>
      <c r="V62" s="1037">
        <f t="shared" si="14"/>
        <v>28683656.599999994</v>
      </c>
      <c r="W62" s="1482"/>
      <c r="X62" s="485">
        <f>SUM(T62:U62)</f>
        <v>27946961.600000001</v>
      </c>
    </row>
    <row r="63" spans="2:25" ht="7.5" customHeight="1" x14ac:dyDescent="0.3">
      <c r="B63" s="590"/>
      <c r="C63" s="130"/>
      <c r="D63" s="130"/>
      <c r="E63" s="136"/>
      <c r="F63" s="136"/>
      <c r="G63" s="136"/>
      <c r="H63" s="136"/>
      <c r="I63" s="136"/>
      <c r="J63" s="136"/>
      <c r="K63" s="136"/>
      <c r="L63" s="1030"/>
      <c r="M63" s="1030"/>
      <c r="N63" s="1030"/>
      <c r="O63" s="1030"/>
      <c r="P63" s="1030"/>
      <c r="Q63" s="1030"/>
      <c r="R63" s="1030"/>
      <c r="S63" s="1030"/>
      <c r="T63" s="1030"/>
      <c r="U63" s="1030"/>
      <c r="V63" s="1030"/>
      <c r="W63" s="1482"/>
    </row>
    <row r="64" spans="2:25" x14ac:dyDescent="0.3">
      <c r="B64" s="590"/>
      <c r="C64" s="135" t="s">
        <v>321</v>
      </c>
      <c r="D64" s="1030"/>
      <c r="E64" s="136"/>
      <c r="F64" s="136"/>
      <c r="G64" s="136"/>
      <c r="H64" s="136"/>
      <c r="I64" s="136"/>
      <c r="J64" s="136"/>
      <c r="K64" s="136"/>
      <c r="L64" s="1030"/>
      <c r="M64" s="1030"/>
      <c r="N64" s="1030"/>
      <c r="O64" s="1030"/>
      <c r="P64" s="1030"/>
      <c r="Q64" s="1030"/>
      <c r="R64" s="1030"/>
      <c r="S64" s="1030"/>
      <c r="T64" s="1030"/>
      <c r="U64" s="1030"/>
      <c r="V64" s="1030"/>
      <c r="W64" s="1482"/>
    </row>
    <row r="65" spans="2:23" ht="15" customHeight="1" x14ac:dyDescent="0.3">
      <c r="B65" s="590"/>
      <c r="C65" s="2782"/>
      <c r="D65" s="2783"/>
      <c r="E65" s="2783"/>
      <c r="F65" s="2783"/>
      <c r="G65" s="2783"/>
      <c r="H65" s="2783"/>
      <c r="I65" s="2783"/>
      <c r="J65" s="2783"/>
      <c r="K65" s="2784"/>
      <c r="L65" s="1030"/>
      <c r="M65" s="1030"/>
      <c r="N65" s="1030"/>
      <c r="O65" s="1030"/>
      <c r="P65" s="1030"/>
      <c r="Q65" s="1030"/>
      <c r="R65" s="1030"/>
      <c r="S65" s="1030"/>
      <c r="T65" s="1030"/>
      <c r="U65" s="1030"/>
      <c r="V65" s="1030"/>
      <c r="W65" s="1482"/>
    </row>
    <row r="66" spans="2:23" ht="15" customHeight="1" x14ac:dyDescent="0.3">
      <c r="B66" s="590"/>
      <c r="C66" s="2785"/>
      <c r="D66" s="2786"/>
      <c r="E66" s="2786"/>
      <c r="F66" s="2786"/>
      <c r="G66" s="2786"/>
      <c r="H66" s="2786"/>
      <c r="I66" s="2786"/>
      <c r="J66" s="2786"/>
      <c r="K66" s="2787"/>
      <c r="L66" s="1030"/>
      <c r="M66" s="1030"/>
      <c r="N66" s="1030"/>
      <c r="O66" s="1030"/>
      <c r="P66" s="1030"/>
      <c r="Q66" s="1030"/>
      <c r="R66" s="1030"/>
      <c r="S66" s="1030"/>
      <c r="T66" s="1030"/>
      <c r="U66" s="1030"/>
      <c r="V66" s="1030"/>
      <c r="W66" s="1482"/>
    </row>
    <row r="67" spans="2:23" ht="15" customHeight="1" x14ac:dyDescent="0.3">
      <c r="B67" s="590"/>
      <c r="C67" s="2785"/>
      <c r="D67" s="2786"/>
      <c r="E67" s="2786"/>
      <c r="F67" s="2786"/>
      <c r="G67" s="2786"/>
      <c r="H67" s="2786"/>
      <c r="I67" s="2786"/>
      <c r="J67" s="2786"/>
      <c r="K67" s="2787"/>
      <c r="L67" s="1030"/>
      <c r="M67" s="1030"/>
      <c r="N67" s="1030"/>
      <c r="O67" s="1030"/>
      <c r="P67" s="1030"/>
      <c r="Q67" s="1030"/>
      <c r="R67" s="1030"/>
      <c r="S67" s="1030"/>
      <c r="T67" s="1030"/>
      <c r="U67" s="1030"/>
      <c r="V67" s="1030"/>
      <c r="W67" s="1482"/>
    </row>
    <row r="68" spans="2:23" ht="15" customHeight="1" x14ac:dyDescent="0.3">
      <c r="B68" s="590"/>
      <c r="C68" s="2788"/>
      <c r="D68" s="2789"/>
      <c r="E68" s="2789"/>
      <c r="F68" s="2789"/>
      <c r="G68" s="2789"/>
      <c r="H68" s="2789"/>
      <c r="I68" s="2789"/>
      <c r="J68" s="2789"/>
      <c r="K68" s="2790"/>
      <c r="L68" s="1030"/>
      <c r="M68" s="1030"/>
      <c r="N68" s="1030"/>
      <c r="O68" s="1030"/>
      <c r="P68" s="1030"/>
      <c r="Q68" s="1030"/>
      <c r="R68" s="1030"/>
      <c r="S68" s="1030"/>
      <c r="T68" s="1030"/>
      <c r="U68" s="1030"/>
      <c r="V68" s="1030"/>
      <c r="W68" s="1482"/>
    </row>
    <row r="69" spans="2:23" ht="9" customHeight="1" thickBot="1" x14ac:dyDescent="0.35">
      <c r="B69" s="595"/>
      <c r="C69" s="1032"/>
      <c r="D69" s="1031"/>
      <c r="E69" s="1031"/>
      <c r="F69" s="1031"/>
      <c r="G69" s="1031"/>
      <c r="H69" s="1031"/>
      <c r="I69" s="1031"/>
      <c r="J69" s="1031"/>
      <c r="K69" s="1031"/>
      <c r="L69" s="1490"/>
      <c r="M69" s="1490"/>
      <c r="N69" s="1490"/>
      <c r="O69" s="1490"/>
      <c r="P69" s="1490"/>
      <c r="Q69" s="1490"/>
      <c r="R69" s="1490"/>
      <c r="S69" s="1490"/>
      <c r="T69" s="1490"/>
      <c r="U69" s="1490"/>
      <c r="V69" s="1490"/>
      <c r="W69" s="1439"/>
    </row>
    <row r="70" spans="2:23" ht="3.75" customHeight="1" x14ac:dyDescent="0.3"/>
    <row r="71" spans="2:23" ht="3.75" customHeight="1" x14ac:dyDescent="0.3"/>
  </sheetData>
  <sheetProtection algorithmName="SHA-512" hashValue="VodPheRns0+7Iwjb48bfguPY1xFyCn65x1fCjyKkJR8SFyEw/F6aABE5GhE9Lf6XxPyM6gnoEu/EGPIJecaLfQ==" saltValue="L6V/YbTtSEFB/tohJTAROA==" spinCount="100000" sheet="1" formatCells="0" formatColumns="0" formatRows="0" insertRows="0"/>
  <mergeCells count="6">
    <mergeCell ref="C12:V12"/>
    <mergeCell ref="C14:J14"/>
    <mergeCell ref="C18:K18"/>
    <mergeCell ref="C49:K49"/>
    <mergeCell ref="C65:K68"/>
    <mergeCell ref="C16:J16"/>
  </mergeCells>
  <pageMargins left="0.75" right="0.25" top="0.75" bottom="0.75" header="0.3" footer="0.3"/>
  <pageSetup scale="49" orientation="landscape" r:id="rId1"/>
  <headerFooter>
    <oddFooter>&amp;LForm 7B
Estimate of Cash Flow During Development&amp;CCFA Forms&amp;REdition: 2017
Version: 1.0</oddFooter>
  </headerFooter>
  <rowBreaks count="1" manualBreakCount="1">
    <brk id="70" min="1" max="12"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7:P68"/>
  <sheetViews>
    <sheetView showGridLines="0" topLeftCell="A3" zoomScaleNormal="100" zoomScaleSheetLayoutView="100" workbookViewId="0">
      <selection activeCell="Q51" sqref="Q51"/>
    </sheetView>
  </sheetViews>
  <sheetFormatPr defaultColWidth="9.109375" defaultRowHeight="14.4" x14ac:dyDescent="0.3"/>
  <cols>
    <col min="1" max="2" width="1.6640625" style="417" customWidth="1"/>
    <col min="3" max="3" width="14.33203125" style="417" customWidth="1"/>
    <col min="4" max="4" width="5.33203125" style="417" bestFit="1" customWidth="1"/>
    <col min="5" max="5" width="8.44140625" style="417" bestFit="1" customWidth="1"/>
    <col min="6" max="7" width="10" style="417" bestFit="1" customWidth="1"/>
    <col min="8" max="8" width="11" style="417" customWidth="1"/>
    <col min="9" max="9" width="11.109375" style="417" customWidth="1"/>
    <col min="10" max="10" width="12.33203125" style="417" customWidth="1"/>
    <col min="11" max="12" width="11.109375" style="417" customWidth="1"/>
    <col min="13" max="13" width="11.6640625" style="417" bestFit="1" customWidth="1"/>
    <col min="14" max="15" width="12.5546875" style="417" bestFit="1" customWidth="1"/>
    <col min="16" max="16" width="1.6640625" style="417" customWidth="1"/>
    <col min="17" max="16384" width="9.109375" style="417"/>
  </cols>
  <sheetData>
    <row r="7" spans="2:16" ht="9" customHeight="1" thickBot="1" x14ac:dyDescent="0.35"/>
    <row r="8" spans="2:16" ht="9" customHeight="1" x14ac:dyDescent="0.3">
      <c r="B8" s="200"/>
      <c r="C8" s="657"/>
      <c r="D8" s="657"/>
      <c r="E8" s="658"/>
      <c r="F8" s="658"/>
      <c r="G8" s="658"/>
      <c r="H8" s="657"/>
      <c r="I8" s="657"/>
      <c r="J8" s="657"/>
      <c r="K8" s="657"/>
      <c r="L8" s="657"/>
      <c r="M8" s="657"/>
      <c r="N8" s="657"/>
      <c r="O8" s="657"/>
      <c r="P8" s="659"/>
    </row>
    <row r="9" spans="2:16" ht="18" x14ac:dyDescent="0.3">
      <c r="B9" s="4"/>
      <c r="C9" s="2554" t="s">
        <v>538</v>
      </c>
      <c r="D9" s="2554"/>
      <c r="E9" s="2554"/>
      <c r="F9" s="2554"/>
      <c r="G9" s="2554"/>
      <c r="H9" s="2554"/>
      <c r="I9" s="2554"/>
      <c r="J9" s="2554"/>
      <c r="K9" s="2554"/>
      <c r="L9" s="2554"/>
      <c r="M9" s="2554"/>
      <c r="N9" s="2554"/>
      <c r="O9" s="2554"/>
      <c r="P9" s="660"/>
    </row>
    <row r="10" spans="2:16" x14ac:dyDescent="0.3">
      <c r="B10" s="4"/>
      <c r="C10" s="1"/>
      <c r="D10" s="1"/>
      <c r="E10" s="144"/>
      <c r="F10" s="144"/>
      <c r="G10" s="144"/>
      <c r="H10" s="1"/>
      <c r="I10" s="1"/>
      <c r="J10" s="1"/>
      <c r="K10" s="1"/>
      <c r="L10" s="1"/>
      <c r="M10" s="1"/>
      <c r="N10" s="1"/>
      <c r="O10" s="1"/>
      <c r="P10" s="660"/>
    </row>
    <row r="11" spans="2:16" ht="15" thickBot="1" x14ac:dyDescent="0.35">
      <c r="B11" s="494"/>
      <c r="C11" s="2646" t="str">
        <f>IF('1'!G5="","Enter Project Name on Form 1",(CONCATENATE("Project Name: ",'1'!G5)))</f>
        <v>Project Name: 6600 Roosevelt Way NE</v>
      </c>
      <c r="D11" s="2646"/>
      <c r="E11" s="2646"/>
      <c r="F11" s="2646"/>
      <c r="G11" s="2646"/>
      <c r="H11" s="2646"/>
      <c r="I11" s="2646"/>
      <c r="J11" s="2646"/>
      <c r="K11" s="2646"/>
      <c r="L11" s="2646"/>
      <c r="M11" s="2646"/>
      <c r="N11" s="2646"/>
      <c r="O11" s="493"/>
      <c r="P11" s="561"/>
    </row>
    <row r="12" spans="2:16" ht="22.5" customHeight="1" thickBot="1" x14ac:dyDescent="0.35">
      <c r="B12" s="4"/>
      <c r="C12" s="1"/>
      <c r="D12" s="1"/>
      <c r="E12" s="144"/>
      <c r="F12" s="144"/>
      <c r="G12" s="144"/>
      <c r="H12" s="1"/>
      <c r="I12" s="1"/>
      <c r="J12" s="1"/>
      <c r="K12" s="1"/>
      <c r="L12" s="1"/>
      <c r="M12" s="1"/>
      <c r="N12" s="1"/>
      <c r="O12" s="1"/>
      <c r="P12" s="660"/>
    </row>
    <row r="13" spans="2:16" ht="48.6" thickBot="1" x14ac:dyDescent="0.35">
      <c r="B13" s="4"/>
      <c r="C13" s="661" t="s">
        <v>323</v>
      </c>
      <c r="D13" s="662" t="s">
        <v>585</v>
      </c>
      <c r="E13" s="662" t="s">
        <v>1122</v>
      </c>
      <c r="F13" s="662" t="s">
        <v>586</v>
      </c>
      <c r="G13" s="663" t="s">
        <v>528</v>
      </c>
      <c r="H13" s="664" t="s">
        <v>324</v>
      </c>
      <c r="I13" s="662" t="s">
        <v>1615</v>
      </c>
      <c r="J13" s="664" t="s">
        <v>325</v>
      </c>
      <c r="K13" s="664" t="s">
        <v>326</v>
      </c>
      <c r="L13" s="662" t="s">
        <v>327</v>
      </c>
      <c r="M13" s="664" t="s">
        <v>328</v>
      </c>
      <c r="N13" s="664" t="s">
        <v>329</v>
      </c>
      <c r="O13" s="665" t="s">
        <v>330</v>
      </c>
      <c r="P13" s="145"/>
    </row>
    <row r="14" spans="2:16" ht="15" thickBot="1" x14ac:dyDescent="0.35">
      <c r="B14" s="4"/>
      <c r="C14" s="2794" t="str">
        <f>IF('1'!G29="","Enter Site Name/ID Number on Form 1",(CONCATENATE("Site Name/ID: ",'1'!G29)))</f>
        <v>Site Name/ID: Site A - 4% Building</v>
      </c>
      <c r="D14" s="2795"/>
      <c r="E14" s="2795"/>
      <c r="F14" s="2795"/>
      <c r="G14" s="2795"/>
      <c r="H14" s="2795"/>
      <c r="I14" s="2795"/>
      <c r="J14" s="2795"/>
      <c r="K14" s="2795"/>
      <c r="L14" s="2795"/>
      <c r="M14" s="2795"/>
      <c r="N14" s="2795"/>
      <c r="O14" s="2796"/>
      <c r="P14" s="145"/>
    </row>
    <row r="15" spans="2:16" x14ac:dyDescent="0.3">
      <c r="B15" s="4"/>
      <c r="C15" s="2096">
        <v>0.3</v>
      </c>
      <c r="D15" s="2097">
        <v>6</v>
      </c>
      <c r="E15" s="2097" t="s">
        <v>36</v>
      </c>
      <c r="F15" s="2097">
        <v>2</v>
      </c>
      <c r="G15" s="2097">
        <v>425</v>
      </c>
      <c r="H15" s="2098">
        <v>475</v>
      </c>
      <c r="I15" s="2098">
        <v>30</v>
      </c>
      <c r="J15" s="2099">
        <f t="shared" ref="J15:J39" si="0">H15+I15</f>
        <v>505</v>
      </c>
      <c r="K15" s="2098">
        <v>0</v>
      </c>
      <c r="L15" s="2099">
        <f t="shared" ref="L15:L39" si="1">J15+K15</f>
        <v>505</v>
      </c>
      <c r="M15" s="2099">
        <f t="shared" ref="M15:M39" si="2">D15*H15*12</f>
        <v>34200</v>
      </c>
      <c r="N15" s="2099">
        <f t="shared" ref="N15:N39" si="3">D15*K15*12</f>
        <v>0</v>
      </c>
      <c r="O15" s="2100">
        <f t="shared" ref="O15:O39" si="4">M15+N15</f>
        <v>34200</v>
      </c>
      <c r="P15" s="145"/>
    </row>
    <row r="16" spans="2:16" x14ac:dyDescent="0.3">
      <c r="B16" s="4"/>
      <c r="C16" s="1043">
        <v>0.6</v>
      </c>
      <c r="D16" s="1044">
        <v>48</v>
      </c>
      <c r="E16" s="1044" t="s">
        <v>36</v>
      </c>
      <c r="F16" s="1044">
        <v>1</v>
      </c>
      <c r="G16" s="1044">
        <v>425</v>
      </c>
      <c r="H16" s="1045">
        <v>978</v>
      </c>
      <c r="I16" s="1045">
        <v>30</v>
      </c>
      <c r="J16" s="1892">
        <f t="shared" si="0"/>
        <v>1008</v>
      </c>
      <c r="K16" s="1045">
        <v>0</v>
      </c>
      <c r="L16" s="1892">
        <f t="shared" si="1"/>
        <v>1008</v>
      </c>
      <c r="M16" s="1892">
        <f t="shared" si="2"/>
        <v>563328</v>
      </c>
      <c r="N16" s="1892">
        <f t="shared" si="3"/>
        <v>0</v>
      </c>
      <c r="O16" s="1893">
        <f t="shared" si="4"/>
        <v>563328</v>
      </c>
      <c r="P16" s="660"/>
    </row>
    <row r="17" spans="2:16" x14ac:dyDescent="0.3">
      <c r="B17" s="4"/>
      <c r="C17" s="1043">
        <v>0.3</v>
      </c>
      <c r="D17" s="1044">
        <v>6</v>
      </c>
      <c r="E17" s="1044" t="s">
        <v>562</v>
      </c>
      <c r="F17" s="1044">
        <v>1</v>
      </c>
      <c r="G17" s="1044">
        <v>550</v>
      </c>
      <c r="H17" s="1045">
        <v>510</v>
      </c>
      <c r="I17" s="1045">
        <v>30</v>
      </c>
      <c r="J17" s="1892">
        <f>H17+I17</f>
        <v>540</v>
      </c>
      <c r="K17" s="1045">
        <v>0</v>
      </c>
      <c r="L17" s="1892">
        <f t="shared" si="1"/>
        <v>540</v>
      </c>
      <c r="M17" s="1892">
        <f t="shared" si="2"/>
        <v>36720</v>
      </c>
      <c r="N17" s="1892">
        <f t="shared" si="3"/>
        <v>0</v>
      </c>
      <c r="O17" s="1893">
        <f t="shared" si="4"/>
        <v>36720</v>
      </c>
      <c r="P17" s="660"/>
    </row>
    <row r="18" spans="2:16" x14ac:dyDescent="0.3">
      <c r="B18" s="4"/>
      <c r="C18" s="1043">
        <v>0.6</v>
      </c>
      <c r="D18" s="1044">
        <v>47</v>
      </c>
      <c r="E18" s="1044" t="s">
        <v>562</v>
      </c>
      <c r="F18" s="1044">
        <v>1</v>
      </c>
      <c r="G18" s="1044">
        <v>550</v>
      </c>
      <c r="H18" s="1045">
        <v>1050</v>
      </c>
      <c r="I18" s="1045">
        <v>30</v>
      </c>
      <c r="J18" s="1892">
        <f t="shared" si="0"/>
        <v>1080</v>
      </c>
      <c r="K18" s="1045">
        <v>0</v>
      </c>
      <c r="L18" s="1892">
        <f t="shared" si="1"/>
        <v>1080</v>
      </c>
      <c r="M18" s="1892">
        <f t="shared" si="2"/>
        <v>592200</v>
      </c>
      <c r="N18" s="1892">
        <f t="shared" si="3"/>
        <v>0</v>
      </c>
      <c r="O18" s="1893">
        <f t="shared" si="4"/>
        <v>592200</v>
      </c>
      <c r="P18" s="660"/>
    </row>
    <row r="19" spans="2:16" x14ac:dyDescent="0.3">
      <c r="B19" s="4"/>
      <c r="C19" s="1043">
        <v>0.3</v>
      </c>
      <c r="D19" s="1044">
        <v>5</v>
      </c>
      <c r="E19" s="1044" t="s">
        <v>563</v>
      </c>
      <c r="F19" s="1044">
        <v>2</v>
      </c>
      <c r="G19" s="1044">
        <v>800</v>
      </c>
      <c r="H19" s="1045">
        <v>599</v>
      </c>
      <c r="I19" s="1045">
        <v>49</v>
      </c>
      <c r="J19" s="1892">
        <f t="shared" ref="J19:J22" si="5">H19+I19</f>
        <v>648</v>
      </c>
      <c r="K19" s="1045">
        <v>0</v>
      </c>
      <c r="L19" s="1892">
        <f t="shared" ref="L19:L22" si="6">J19+K19</f>
        <v>648</v>
      </c>
      <c r="M19" s="1892">
        <f t="shared" ref="M19:M22" si="7">D19*H19*12</f>
        <v>35940</v>
      </c>
      <c r="N19" s="1892">
        <f t="shared" ref="N19:N22" si="8">D19*K19*12</f>
        <v>0</v>
      </c>
      <c r="O19" s="1893">
        <f t="shared" ref="O19:O22" si="9">M19+N19</f>
        <v>35940</v>
      </c>
      <c r="P19" s="660"/>
    </row>
    <row r="20" spans="2:16" x14ac:dyDescent="0.3">
      <c r="B20" s="4"/>
      <c r="C20" s="1043">
        <v>0.6</v>
      </c>
      <c r="D20" s="1044">
        <v>36</v>
      </c>
      <c r="E20" s="1044" t="s">
        <v>563</v>
      </c>
      <c r="F20" s="1044">
        <v>1</v>
      </c>
      <c r="G20" s="1044">
        <v>800</v>
      </c>
      <c r="H20" s="1045">
        <v>1247</v>
      </c>
      <c r="I20" s="1045">
        <v>49</v>
      </c>
      <c r="J20" s="1892">
        <f t="shared" si="5"/>
        <v>1296</v>
      </c>
      <c r="K20" s="1045">
        <v>0</v>
      </c>
      <c r="L20" s="1892">
        <f t="shared" si="6"/>
        <v>1296</v>
      </c>
      <c r="M20" s="1892">
        <f t="shared" si="7"/>
        <v>538704</v>
      </c>
      <c r="N20" s="1892">
        <f t="shared" si="8"/>
        <v>0</v>
      </c>
      <c r="O20" s="1893">
        <f t="shared" si="9"/>
        <v>538704</v>
      </c>
      <c r="P20" s="660"/>
    </row>
    <row r="21" spans="2:16" x14ac:dyDescent="0.3">
      <c r="B21" s="4"/>
      <c r="C21" s="1043">
        <v>0.3</v>
      </c>
      <c r="D21" s="1044">
        <v>4</v>
      </c>
      <c r="E21" s="1044" t="s">
        <v>564</v>
      </c>
      <c r="F21" s="1044">
        <v>1</v>
      </c>
      <c r="G21" s="1044">
        <v>1100</v>
      </c>
      <c r="H21" s="1045">
        <v>670</v>
      </c>
      <c r="I21" s="1045">
        <v>79</v>
      </c>
      <c r="J21" s="1892">
        <f t="shared" si="5"/>
        <v>749</v>
      </c>
      <c r="K21" s="1045">
        <v>0</v>
      </c>
      <c r="L21" s="1892">
        <f t="shared" si="6"/>
        <v>749</v>
      </c>
      <c r="M21" s="1892">
        <f t="shared" si="7"/>
        <v>32160</v>
      </c>
      <c r="N21" s="1892">
        <f t="shared" si="8"/>
        <v>0</v>
      </c>
      <c r="O21" s="1893">
        <f t="shared" si="9"/>
        <v>32160</v>
      </c>
      <c r="P21" s="660"/>
    </row>
    <row r="22" spans="2:16" x14ac:dyDescent="0.3">
      <c r="B22" s="4"/>
      <c r="C22" s="1043">
        <v>0.6</v>
      </c>
      <c r="D22" s="1044">
        <v>14</v>
      </c>
      <c r="E22" s="1044" t="s">
        <v>564</v>
      </c>
      <c r="F22" s="1044">
        <v>1</v>
      </c>
      <c r="G22" s="1044">
        <v>1100</v>
      </c>
      <c r="H22" s="1045">
        <v>1418</v>
      </c>
      <c r="I22" s="1045">
        <v>79</v>
      </c>
      <c r="J22" s="1892">
        <f t="shared" si="5"/>
        <v>1497</v>
      </c>
      <c r="K22" s="1045">
        <v>0</v>
      </c>
      <c r="L22" s="1892">
        <f t="shared" si="6"/>
        <v>1497</v>
      </c>
      <c r="M22" s="1892">
        <f t="shared" si="7"/>
        <v>238224</v>
      </c>
      <c r="N22" s="1892">
        <f t="shared" si="8"/>
        <v>0</v>
      </c>
      <c r="O22" s="1893">
        <f t="shared" si="9"/>
        <v>238224</v>
      </c>
      <c r="P22" s="660"/>
    </row>
    <row r="23" spans="2:16" x14ac:dyDescent="0.3">
      <c r="B23" s="4"/>
      <c r="C23" s="1043"/>
      <c r="D23" s="1044"/>
      <c r="E23" s="1044"/>
      <c r="F23" s="1044"/>
      <c r="G23" s="1044"/>
      <c r="H23" s="1045"/>
      <c r="I23" s="1045"/>
      <c r="J23" s="1892">
        <f>H23+I23</f>
        <v>0</v>
      </c>
      <c r="K23" s="1045">
        <v>0</v>
      </c>
      <c r="L23" s="1892">
        <f t="shared" si="1"/>
        <v>0</v>
      </c>
      <c r="M23" s="1892">
        <f t="shared" si="2"/>
        <v>0</v>
      </c>
      <c r="N23" s="1892">
        <f t="shared" si="3"/>
        <v>0</v>
      </c>
      <c r="O23" s="1893">
        <f t="shared" si="4"/>
        <v>0</v>
      </c>
      <c r="P23" s="660"/>
    </row>
    <row r="24" spans="2:16" x14ac:dyDescent="0.3">
      <c r="B24" s="4"/>
      <c r="C24" s="1043"/>
      <c r="D24" s="1044"/>
      <c r="E24" s="1044"/>
      <c r="F24" s="1044"/>
      <c r="G24" s="1044"/>
      <c r="H24" s="1045"/>
      <c r="I24" s="1045"/>
      <c r="J24" s="1892">
        <f t="shared" si="0"/>
        <v>0</v>
      </c>
      <c r="K24" s="1045">
        <v>0</v>
      </c>
      <c r="L24" s="1892">
        <f t="shared" si="1"/>
        <v>0</v>
      </c>
      <c r="M24" s="1892">
        <f t="shared" si="2"/>
        <v>0</v>
      </c>
      <c r="N24" s="1892">
        <f t="shared" si="3"/>
        <v>0</v>
      </c>
      <c r="O24" s="1893">
        <f t="shared" si="4"/>
        <v>0</v>
      </c>
      <c r="P24" s="660"/>
    </row>
    <row r="25" spans="2:16" s="2085" customFormat="1" ht="19.5" customHeight="1" x14ac:dyDescent="0.3">
      <c r="B25" s="2086"/>
      <c r="C25" s="2325"/>
      <c r="D25" s="2326"/>
      <c r="E25" s="2326"/>
      <c r="F25" s="2326"/>
      <c r="G25" s="2326"/>
      <c r="H25" s="2327"/>
      <c r="I25" s="2327"/>
      <c r="J25" s="2089"/>
      <c r="K25" s="2327"/>
      <c r="L25" s="2089"/>
      <c r="M25" s="2089"/>
      <c r="N25" s="2089"/>
      <c r="O25" s="2090"/>
      <c r="P25" s="2088"/>
    </row>
    <row r="26" spans="2:16" s="2085" customFormat="1" x14ac:dyDescent="0.3">
      <c r="B26" s="2086"/>
      <c r="C26" s="1896" t="s">
        <v>331</v>
      </c>
      <c r="D26" s="2087"/>
      <c r="E26" s="2087"/>
      <c r="F26" s="2087"/>
      <c r="G26" s="2087"/>
      <c r="H26" s="2324"/>
      <c r="I26" s="2324"/>
      <c r="J26" s="1496"/>
      <c r="K26" s="2324"/>
      <c r="L26" s="1496"/>
      <c r="M26" s="1496"/>
      <c r="N26" s="1496"/>
      <c r="O26" s="1497"/>
      <c r="P26" s="2088"/>
    </row>
    <row r="27" spans="2:16" s="2085" customFormat="1" ht="15" thickBot="1" x14ac:dyDescent="0.35">
      <c r="B27" s="2086"/>
      <c r="C27" s="2095" t="s">
        <v>590</v>
      </c>
      <c r="D27" s="2091"/>
      <c r="E27" s="2091"/>
      <c r="F27" s="2091"/>
      <c r="G27" s="2091"/>
      <c r="H27" s="2092">
        <v>0</v>
      </c>
      <c r="I27" s="2092">
        <v>0</v>
      </c>
      <c r="J27" s="2093">
        <f>H27+I27</f>
        <v>0</v>
      </c>
      <c r="K27" s="2092">
        <v>0</v>
      </c>
      <c r="L27" s="2093">
        <f>J27+K27</f>
        <v>0</v>
      </c>
      <c r="M27" s="2093">
        <f>D27*H27*12</f>
        <v>0</v>
      </c>
      <c r="N27" s="2093">
        <f>D27*K27*12</f>
        <v>0</v>
      </c>
      <c r="O27" s="2094">
        <f>M27+N27</f>
        <v>0</v>
      </c>
      <c r="P27" s="2088"/>
    </row>
    <row r="28" spans="2:16" s="2085" customFormat="1" ht="15" thickBot="1" x14ac:dyDescent="0.35">
      <c r="B28" s="2086"/>
      <c r="C28" s="2328" t="s">
        <v>1882</v>
      </c>
      <c r="D28" s="2331">
        <f>SUM(D15:D24)+SUM(D26:D27)</f>
        <v>166</v>
      </c>
      <c r="E28" s="668"/>
      <c r="F28" s="668"/>
      <c r="G28" s="668"/>
      <c r="H28" s="668"/>
      <c r="I28" s="668"/>
      <c r="J28" s="668"/>
      <c r="K28" s="668"/>
      <c r="L28" s="668"/>
      <c r="M28" s="2182">
        <f>SUM(M15:M24)+(SUMIF(C26:C27,"Market Rate",M26:M27))</f>
        <v>2071476</v>
      </c>
      <c r="N28" s="2182">
        <f>SUM(N15:N24)+(SUMIF(C26:C27,"Market Rate",N26:N27))</f>
        <v>0</v>
      </c>
      <c r="O28" s="2183">
        <f>SUM(O15:O24)+(SUMIF(C26:C27,"Market Rate",O26:O27))</f>
        <v>2071476</v>
      </c>
      <c r="P28" s="2088"/>
    </row>
    <row r="29" spans="2:16" s="2085" customFormat="1" ht="15" thickBot="1" x14ac:dyDescent="0.35">
      <c r="B29" s="2086"/>
      <c r="C29" s="2794" t="str">
        <f>IF('1'!G55="","Enter Site Name/ID Number on Form 1",(CONCATENATE("Site Name/ID: ",'1'!G55)))</f>
        <v>Site Name/ID: Site B - 9% Building</v>
      </c>
      <c r="D29" s="2795"/>
      <c r="E29" s="2795"/>
      <c r="F29" s="2795"/>
      <c r="G29" s="2795"/>
      <c r="H29" s="2795"/>
      <c r="I29" s="2795"/>
      <c r="J29" s="2795"/>
      <c r="K29" s="2795"/>
      <c r="L29" s="2795"/>
      <c r="M29" s="2795"/>
      <c r="N29" s="2795"/>
      <c r="O29" s="2796"/>
      <c r="P29" s="2088"/>
    </row>
    <row r="30" spans="2:16" x14ac:dyDescent="0.3">
      <c r="B30" s="4"/>
      <c r="C30" s="2096">
        <v>0.3</v>
      </c>
      <c r="D30" s="2097">
        <v>6</v>
      </c>
      <c r="E30" s="2097" t="s">
        <v>36</v>
      </c>
      <c r="F30" s="2097">
        <v>1</v>
      </c>
      <c r="G30" s="2097">
        <v>425</v>
      </c>
      <c r="H30" s="2098">
        <v>475</v>
      </c>
      <c r="I30" s="2098">
        <v>30</v>
      </c>
      <c r="J30" s="2099">
        <f t="shared" si="0"/>
        <v>505</v>
      </c>
      <c r="K30" s="2098">
        <v>0</v>
      </c>
      <c r="L30" s="2099">
        <f t="shared" si="1"/>
        <v>505</v>
      </c>
      <c r="M30" s="2099">
        <f t="shared" si="2"/>
        <v>34200</v>
      </c>
      <c r="N30" s="2099">
        <f t="shared" si="3"/>
        <v>0</v>
      </c>
      <c r="O30" s="2100">
        <f t="shared" si="4"/>
        <v>34200</v>
      </c>
      <c r="P30" s="660"/>
    </row>
    <row r="31" spans="2:16" x14ac:dyDescent="0.3">
      <c r="B31" s="4"/>
      <c r="C31" s="1043">
        <v>0.5</v>
      </c>
      <c r="D31" s="1044">
        <v>4</v>
      </c>
      <c r="E31" s="1044" t="s">
        <v>36</v>
      </c>
      <c r="F31" s="1044">
        <v>1</v>
      </c>
      <c r="G31" s="1044">
        <v>425</v>
      </c>
      <c r="H31" s="1045">
        <v>810</v>
      </c>
      <c r="I31" s="1045">
        <v>30</v>
      </c>
      <c r="J31" s="1892">
        <f t="shared" si="0"/>
        <v>840</v>
      </c>
      <c r="K31" s="1045">
        <v>0</v>
      </c>
      <c r="L31" s="1892">
        <f t="shared" si="1"/>
        <v>840</v>
      </c>
      <c r="M31" s="1892">
        <f t="shared" si="2"/>
        <v>38880</v>
      </c>
      <c r="N31" s="1892">
        <f t="shared" si="3"/>
        <v>0</v>
      </c>
      <c r="O31" s="1893">
        <f t="shared" si="4"/>
        <v>38880</v>
      </c>
      <c r="P31" s="145"/>
    </row>
    <row r="32" spans="2:16" x14ac:dyDescent="0.3">
      <c r="B32" s="4"/>
      <c r="C32" s="1043">
        <v>0.3</v>
      </c>
      <c r="D32" s="1044">
        <v>13</v>
      </c>
      <c r="E32" s="1044" t="s">
        <v>562</v>
      </c>
      <c r="F32" s="1044">
        <v>1</v>
      </c>
      <c r="G32" s="1044">
        <v>550</v>
      </c>
      <c r="H32" s="1045">
        <v>510</v>
      </c>
      <c r="I32" s="1045">
        <v>30</v>
      </c>
      <c r="J32" s="1892">
        <f t="shared" ref="J32:J35" si="10">H32+I32</f>
        <v>540</v>
      </c>
      <c r="K32" s="1045">
        <v>0</v>
      </c>
      <c r="L32" s="1892">
        <f t="shared" ref="L32:L35" si="11">J32+K32</f>
        <v>540</v>
      </c>
      <c r="M32" s="1892">
        <f t="shared" ref="M32:M35" si="12">D32*H32*12</f>
        <v>79560</v>
      </c>
      <c r="N32" s="1892">
        <f t="shared" ref="N32:N35" si="13">D32*K32*12</f>
        <v>0</v>
      </c>
      <c r="O32" s="1893">
        <f t="shared" ref="O32:O35" si="14">M32+N32</f>
        <v>79560</v>
      </c>
      <c r="P32" s="145"/>
    </row>
    <row r="33" spans="2:16" x14ac:dyDescent="0.3">
      <c r="B33" s="4"/>
      <c r="C33" s="1043">
        <v>0.5</v>
      </c>
      <c r="D33" s="1044">
        <v>12</v>
      </c>
      <c r="E33" s="1044" t="s">
        <v>562</v>
      </c>
      <c r="F33" s="1044">
        <v>1</v>
      </c>
      <c r="G33" s="1044">
        <v>550</v>
      </c>
      <c r="H33" s="1045">
        <v>870</v>
      </c>
      <c r="I33" s="1045">
        <v>30</v>
      </c>
      <c r="J33" s="1892">
        <f t="shared" si="10"/>
        <v>900</v>
      </c>
      <c r="K33" s="1045">
        <v>0</v>
      </c>
      <c r="L33" s="1892">
        <f t="shared" si="11"/>
        <v>900</v>
      </c>
      <c r="M33" s="1892">
        <f t="shared" si="12"/>
        <v>125280</v>
      </c>
      <c r="N33" s="1892">
        <f t="shared" si="13"/>
        <v>0</v>
      </c>
      <c r="O33" s="1893">
        <f t="shared" si="14"/>
        <v>125280</v>
      </c>
      <c r="P33" s="145"/>
    </row>
    <row r="34" spans="2:16" x14ac:dyDescent="0.3">
      <c r="B34" s="4"/>
      <c r="C34" s="1043">
        <v>0.3</v>
      </c>
      <c r="D34" s="1044">
        <v>12</v>
      </c>
      <c r="E34" s="1044" t="s">
        <v>563</v>
      </c>
      <c r="F34" s="1044">
        <v>1</v>
      </c>
      <c r="G34" s="1044">
        <v>800</v>
      </c>
      <c r="H34" s="1045">
        <v>599</v>
      </c>
      <c r="I34" s="1045">
        <v>49</v>
      </c>
      <c r="J34" s="1892">
        <f t="shared" si="10"/>
        <v>648</v>
      </c>
      <c r="K34" s="1045">
        <v>0</v>
      </c>
      <c r="L34" s="1892">
        <f t="shared" si="11"/>
        <v>648</v>
      </c>
      <c r="M34" s="1892">
        <f t="shared" si="12"/>
        <v>86256</v>
      </c>
      <c r="N34" s="1892">
        <f t="shared" si="13"/>
        <v>0</v>
      </c>
      <c r="O34" s="1893">
        <f t="shared" si="14"/>
        <v>86256</v>
      </c>
      <c r="P34" s="145"/>
    </row>
    <row r="35" spans="2:16" x14ac:dyDescent="0.3">
      <c r="B35" s="4"/>
      <c r="C35" s="1043">
        <v>0.5</v>
      </c>
      <c r="D35" s="1044">
        <v>13</v>
      </c>
      <c r="E35" s="1044" t="s">
        <v>563</v>
      </c>
      <c r="F35" s="1044">
        <v>1</v>
      </c>
      <c r="G35" s="1044">
        <v>800</v>
      </c>
      <c r="H35" s="1045">
        <v>1031</v>
      </c>
      <c r="I35" s="1045">
        <v>49</v>
      </c>
      <c r="J35" s="1892">
        <f t="shared" si="10"/>
        <v>1080</v>
      </c>
      <c r="K35" s="1045">
        <v>0</v>
      </c>
      <c r="L35" s="1892">
        <f t="shared" si="11"/>
        <v>1080</v>
      </c>
      <c r="M35" s="1892">
        <f t="shared" si="12"/>
        <v>160836</v>
      </c>
      <c r="N35" s="1892">
        <f t="shared" si="13"/>
        <v>0</v>
      </c>
      <c r="O35" s="1893">
        <f t="shared" si="14"/>
        <v>160836</v>
      </c>
      <c r="P35" s="145"/>
    </row>
    <row r="36" spans="2:16" x14ac:dyDescent="0.3">
      <c r="B36" s="4"/>
      <c r="C36" s="1043">
        <v>0.3</v>
      </c>
      <c r="D36" s="1044">
        <v>9</v>
      </c>
      <c r="E36" s="1044" t="s">
        <v>564</v>
      </c>
      <c r="F36" s="1044">
        <v>1</v>
      </c>
      <c r="G36" s="1044">
        <v>1100</v>
      </c>
      <c r="H36" s="1045">
        <v>670</v>
      </c>
      <c r="I36" s="1045">
        <v>79</v>
      </c>
      <c r="J36" s="1892">
        <f t="shared" si="0"/>
        <v>749</v>
      </c>
      <c r="K36" s="1045">
        <v>0</v>
      </c>
      <c r="L36" s="1892">
        <f t="shared" si="1"/>
        <v>749</v>
      </c>
      <c r="M36" s="1892">
        <f t="shared" si="2"/>
        <v>72360</v>
      </c>
      <c r="N36" s="1892">
        <f t="shared" si="3"/>
        <v>0</v>
      </c>
      <c r="O36" s="1893">
        <f t="shared" si="4"/>
        <v>72360</v>
      </c>
      <c r="P36" s="145"/>
    </row>
    <row r="37" spans="2:16" x14ac:dyDescent="0.3">
      <c r="B37" s="4"/>
      <c r="C37" s="1043">
        <v>0.5</v>
      </c>
      <c r="D37" s="1044">
        <v>10</v>
      </c>
      <c r="E37" s="1044" t="s">
        <v>564</v>
      </c>
      <c r="F37" s="1044">
        <v>1</v>
      </c>
      <c r="G37" s="1044">
        <v>1100</v>
      </c>
      <c r="H37" s="1045">
        <v>1169</v>
      </c>
      <c r="I37" s="1045">
        <v>79</v>
      </c>
      <c r="J37" s="1892">
        <f t="shared" si="0"/>
        <v>1248</v>
      </c>
      <c r="K37" s="1045">
        <v>0</v>
      </c>
      <c r="L37" s="1892">
        <f t="shared" si="1"/>
        <v>1248</v>
      </c>
      <c r="M37" s="1892">
        <f t="shared" si="2"/>
        <v>140280</v>
      </c>
      <c r="N37" s="1892">
        <f t="shared" si="3"/>
        <v>0</v>
      </c>
      <c r="O37" s="1893">
        <f t="shared" si="4"/>
        <v>140280</v>
      </c>
      <c r="P37" s="145"/>
    </row>
    <row r="38" spans="2:16" x14ac:dyDescent="0.3">
      <c r="B38" s="4"/>
      <c r="C38" s="1043"/>
      <c r="D38" s="1044"/>
      <c r="E38" s="1044"/>
      <c r="F38" s="1044"/>
      <c r="G38" s="1044"/>
      <c r="H38" s="1045">
        <v>0</v>
      </c>
      <c r="I38" s="1045">
        <v>0</v>
      </c>
      <c r="J38" s="1892">
        <f t="shared" si="0"/>
        <v>0</v>
      </c>
      <c r="K38" s="1045">
        <v>0</v>
      </c>
      <c r="L38" s="1892">
        <f t="shared" si="1"/>
        <v>0</v>
      </c>
      <c r="M38" s="1892">
        <f t="shared" si="2"/>
        <v>0</v>
      </c>
      <c r="N38" s="1892">
        <f t="shared" si="3"/>
        <v>0</v>
      </c>
      <c r="O38" s="1893">
        <f t="shared" si="4"/>
        <v>0</v>
      </c>
      <c r="P38" s="145"/>
    </row>
    <row r="39" spans="2:16" x14ac:dyDescent="0.3">
      <c r="B39" s="4"/>
      <c r="C39" s="1046"/>
      <c r="D39" s="1047"/>
      <c r="E39" s="1047"/>
      <c r="F39" s="1047"/>
      <c r="G39" s="1047"/>
      <c r="H39" s="1048">
        <v>0</v>
      </c>
      <c r="I39" s="1048">
        <v>0</v>
      </c>
      <c r="J39" s="1894">
        <f t="shared" si="0"/>
        <v>0</v>
      </c>
      <c r="K39" s="1048">
        <v>0</v>
      </c>
      <c r="L39" s="1894">
        <f t="shared" si="1"/>
        <v>0</v>
      </c>
      <c r="M39" s="1894">
        <f t="shared" si="2"/>
        <v>0</v>
      </c>
      <c r="N39" s="1894">
        <f t="shared" si="3"/>
        <v>0</v>
      </c>
      <c r="O39" s="1895">
        <f t="shared" si="4"/>
        <v>0</v>
      </c>
      <c r="P39" s="145"/>
    </row>
    <row r="40" spans="2:16" ht="3.75" customHeight="1" x14ac:dyDescent="0.3">
      <c r="B40" s="4"/>
      <c r="C40" s="1491"/>
      <c r="D40" s="1492"/>
      <c r="E40" s="1492"/>
      <c r="F40" s="1492"/>
      <c r="G40" s="1492"/>
      <c r="H40" s="1493"/>
      <c r="I40" s="1493"/>
      <c r="J40" s="1494"/>
      <c r="K40" s="1493"/>
      <c r="L40" s="1494"/>
      <c r="M40" s="1494"/>
      <c r="N40" s="1494"/>
      <c r="O40" s="1495"/>
      <c r="P40" s="145"/>
    </row>
    <row r="41" spans="2:16" x14ac:dyDescent="0.3">
      <c r="B41" s="4"/>
      <c r="C41" s="1896" t="s">
        <v>331</v>
      </c>
      <c r="D41" s="780">
        <v>0</v>
      </c>
      <c r="E41" s="780" t="s">
        <v>533</v>
      </c>
      <c r="F41" s="780"/>
      <c r="G41" s="780"/>
      <c r="H41" s="1897"/>
      <c r="I41" s="1897"/>
      <c r="J41" s="1496"/>
      <c r="K41" s="1897"/>
      <c r="L41" s="1496"/>
      <c r="M41" s="1496"/>
      <c r="N41" s="1496"/>
      <c r="O41" s="1497"/>
      <c r="P41" s="145"/>
    </row>
    <row r="42" spans="2:16" ht="15" thickBot="1" x14ac:dyDescent="0.35">
      <c r="B42" s="4"/>
      <c r="C42" s="2184" t="s">
        <v>590</v>
      </c>
      <c r="D42" s="2185"/>
      <c r="E42" s="2329"/>
      <c r="F42" s="2329"/>
      <c r="G42" s="2329"/>
      <c r="H42" s="2191">
        <v>0</v>
      </c>
      <c r="I42" s="2330">
        <v>0</v>
      </c>
      <c r="J42" s="2093">
        <f>H42+I42</f>
        <v>0</v>
      </c>
      <c r="K42" s="2191">
        <v>0</v>
      </c>
      <c r="L42" s="2192">
        <f>J42+K42</f>
        <v>0</v>
      </c>
      <c r="M42" s="1892">
        <f>D42*H42*12</f>
        <v>0</v>
      </c>
      <c r="N42" s="1892">
        <f>D42*K42*12</f>
        <v>0</v>
      </c>
      <c r="O42" s="1893">
        <f>M42+N42</f>
        <v>0</v>
      </c>
      <c r="P42" s="145"/>
    </row>
    <row r="43" spans="2:16" s="2085" customFormat="1" ht="15" thickBot="1" x14ac:dyDescent="0.35">
      <c r="B43" s="2086"/>
      <c r="C43" s="2328" t="s">
        <v>1882</v>
      </c>
      <c r="D43" s="2332">
        <f>SUM(D30:D39)+SUM(D41:D42)</f>
        <v>79</v>
      </c>
      <c r="E43" s="668"/>
      <c r="F43" s="668"/>
      <c r="G43" s="668"/>
      <c r="H43" s="668"/>
      <c r="I43" s="668"/>
      <c r="J43" s="668"/>
      <c r="K43" s="668"/>
      <c r="L43" s="668"/>
      <c r="M43" s="2186">
        <f>SUM(M30:M39)+(SUMIF(C41:C42,"Market Rate",M41:M42))</f>
        <v>737652</v>
      </c>
      <c r="N43" s="2186">
        <f>SUM(N30:N39)+(SUMIF(C41:C42,"Market Rate",N41:N42))</f>
        <v>0</v>
      </c>
      <c r="O43" s="2187">
        <f>SUM(O30:O39)+(SUMIF(C41:C42,"Market Rate",O41:O42))</f>
        <v>737652</v>
      </c>
      <c r="P43" s="2088"/>
    </row>
    <row r="44" spans="2:16" ht="15.6" thickTop="1" thickBot="1" x14ac:dyDescent="0.35">
      <c r="B44" s="1498"/>
      <c r="C44" s="666" t="s">
        <v>82</v>
      </c>
      <c r="D44" s="2333">
        <f>D28+D43</f>
        <v>245</v>
      </c>
      <c r="E44" s="667"/>
      <c r="F44" s="668"/>
      <c r="G44" s="668"/>
      <c r="H44" s="668"/>
      <c r="I44" s="668"/>
      <c r="J44" s="668"/>
      <c r="K44" s="668"/>
      <c r="L44" s="668"/>
      <c r="M44" s="2188">
        <f>M28+M43</f>
        <v>2809128</v>
      </c>
      <c r="N44" s="2189">
        <f>N28+N43</f>
        <v>0</v>
      </c>
      <c r="O44" s="2190">
        <f>O28+O43</f>
        <v>2809128</v>
      </c>
      <c r="P44" s="1483"/>
    </row>
    <row r="45" spans="2:16" x14ac:dyDescent="0.3">
      <c r="B45" s="4"/>
      <c r="C45" s="669"/>
      <c r="D45" s="670"/>
      <c r="E45" s="671"/>
      <c r="F45" s="671"/>
      <c r="G45" s="671" t="str">
        <f>IF((IF((SUM(G14:G39))&lt;&gt;0,(SUMPRODUCT(D14:D39,G14:G39)),0))&lt;&gt;'2B'!E34,"CAUTION - LIH Square footage does not match Form 2B","")</f>
        <v>CAUTION - LIH Square footage does not match Form 2B</v>
      </c>
      <c r="H45" s="1980"/>
      <c r="I45" s="671"/>
      <c r="J45" s="671"/>
      <c r="K45" s="671"/>
      <c r="L45" s="1315"/>
      <c r="M45" s="672"/>
      <c r="N45" s="673"/>
      <c r="O45" s="672"/>
      <c r="P45" s="145"/>
    </row>
    <row r="46" spans="2:16" x14ac:dyDescent="0.3">
      <c r="B46" s="4"/>
      <c r="C46" s="421" t="s">
        <v>587</v>
      </c>
      <c r="D46" s="1241"/>
      <c r="E46" s="1241"/>
      <c r="F46" s="1241"/>
      <c r="G46" s="1241"/>
      <c r="H46" s="1241"/>
      <c r="I46" s="1241"/>
      <c r="J46" s="1241"/>
      <c r="K46" s="1241"/>
      <c r="L46" s="1241"/>
      <c r="M46" s="1241"/>
      <c r="N46" s="2135"/>
      <c r="O46" s="1241"/>
      <c r="P46" s="1483"/>
    </row>
    <row r="47" spans="2:16" ht="7.5" customHeight="1" thickBot="1" x14ac:dyDescent="0.35">
      <c r="B47" s="4"/>
      <c r="C47" s="1898"/>
      <c r="D47" s="134"/>
      <c r="E47" s="130"/>
      <c r="F47" s="130"/>
      <c r="G47" s="130"/>
      <c r="H47" s="130"/>
      <c r="I47" s="130"/>
      <c r="J47" s="130"/>
      <c r="K47" s="130"/>
      <c r="L47" s="130"/>
      <c r="M47" s="130"/>
      <c r="N47" s="130"/>
      <c r="O47" s="1315"/>
      <c r="P47" s="1899"/>
    </row>
    <row r="48" spans="2:16" ht="29.4" thickBot="1" x14ac:dyDescent="0.35">
      <c r="B48" s="4"/>
      <c r="C48" s="1900" t="s">
        <v>33</v>
      </c>
      <c r="D48" s="1901" t="s">
        <v>34</v>
      </c>
      <c r="E48" s="1902" t="s">
        <v>35</v>
      </c>
      <c r="F48" s="1902" t="s">
        <v>36</v>
      </c>
      <c r="G48" s="1902" t="s">
        <v>562</v>
      </c>
      <c r="H48" s="1902" t="s">
        <v>563</v>
      </c>
      <c r="I48" s="1903" t="s">
        <v>564</v>
      </c>
      <c r="J48" s="1903" t="s">
        <v>565</v>
      </c>
      <c r="K48" s="1904" t="s">
        <v>566</v>
      </c>
      <c r="L48" s="1905" t="s">
        <v>591</v>
      </c>
      <c r="M48" s="1315"/>
      <c r="N48" s="1315"/>
      <c r="O48" s="1315"/>
      <c r="P48" s="1906"/>
    </row>
    <row r="49" spans="2:16" x14ac:dyDescent="0.3">
      <c r="B49" s="4"/>
      <c r="C49" s="1907">
        <v>0.25</v>
      </c>
      <c r="D49" s="1908">
        <f t="shared" ref="D49:K58" si="15">SUMIFS($D$13:$D$44,$C$13:$C$44,$C49,$E$13:$E$44,D$48)</f>
        <v>0</v>
      </c>
      <c r="E49" s="1909">
        <f t="shared" si="15"/>
        <v>0</v>
      </c>
      <c r="F49" s="1909">
        <f t="shared" si="15"/>
        <v>0</v>
      </c>
      <c r="G49" s="1909">
        <f t="shared" si="15"/>
        <v>0</v>
      </c>
      <c r="H49" s="1909">
        <f t="shared" si="15"/>
        <v>0</v>
      </c>
      <c r="I49" s="1909">
        <f t="shared" si="15"/>
        <v>0</v>
      </c>
      <c r="J49" s="1909">
        <f t="shared" si="15"/>
        <v>0</v>
      </c>
      <c r="K49" s="1910">
        <f t="shared" si="15"/>
        <v>0</v>
      </c>
      <c r="L49" s="1911">
        <f t="shared" ref="L49:L58" si="16">SUM(D49:K49)</f>
        <v>0</v>
      </c>
      <c r="M49" s="1315"/>
      <c r="N49" s="1315"/>
      <c r="O49" s="1315"/>
      <c r="P49" s="1906"/>
    </row>
    <row r="50" spans="2:16" x14ac:dyDescent="0.3">
      <c r="B50" s="4"/>
      <c r="C50" s="1912">
        <v>0.3</v>
      </c>
      <c r="D50" s="1913">
        <f t="shared" si="15"/>
        <v>0</v>
      </c>
      <c r="E50" s="1914">
        <f t="shared" si="15"/>
        <v>0</v>
      </c>
      <c r="F50" s="1914">
        <f t="shared" si="15"/>
        <v>12</v>
      </c>
      <c r="G50" s="1914">
        <f t="shared" si="15"/>
        <v>19</v>
      </c>
      <c r="H50" s="1914">
        <f t="shared" si="15"/>
        <v>17</v>
      </c>
      <c r="I50" s="1914">
        <f t="shared" si="15"/>
        <v>13</v>
      </c>
      <c r="J50" s="1914">
        <f t="shared" si="15"/>
        <v>0</v>
      </c>
      <c r="K50" s="1915">
        <f t="shared" si="15"/>
        <v>0</v>
      </c>
      <c r="L50" s="1916">
        <f t="shared" si="16"/>
        <v>61</v>
      </c>
      <c r="M50" s="1315"/>
      <c r="N50" s="1315"/>
      <c r="O50" s="1315"/>
      <c r="P50" s="1906"/>
    </row>
    <row r="51" spans="2:16" x14ac:dyDescent="0.3">
      <c r="B51" s="4"/>
      <c r="C51" s="1912">
        <v>0.35</v>
      </c>
      <c r="D51" s="1913">
        <f t="shared" si="15"/>
        <v>0</v>
      </c>
      <c r="E51" s="1914">
        <f t="shared" si="15"/>
        <v>0</v>
      </c>
      <c r="F51" s="1914">
        <f t="shared" si="15"/>
        <v>0</v>
      </c>
      <c r="G51" s="1914">
        <f t="shared" si="15"/>
        <v>0</v>
      </c>
      <c r="H51" s="1914">
        <f t="shared" si="15"/>
        <v>0</v>
      </c>
      <c r="I51" s="1914">
        <f t="shared" si="15"/>
        <v>0</v>
      </c>
      <c r="J51" s="1914">
        <f t="shared" si="15"/>
        <v>0</v>
      </c>
      <c r="K51" s="1915">
        <f t="shared" si="15"/>
        <v>0</v>
      </c>
      <c r="L51" s="1916">
        <f t="shared" si="16"/>
        <v>0</v>
      </c>
      <c r="M51" s="1315"/>
      <c r="N51" s="1315"/>
      <c r="O51" s="1315"/>
      <c r="P51" s="1906"/>
    </row>
    <row r="52" spans="2:16" x14ac:dyDescent="0.3">
      <c r="B52" s="4"/>
      <c r="C52" s="1912">
        <v>0.4</v>
      </c>
      <c r="D52" s="1913">
        <f t="shared" si="15"/>
        <v>0</v>
      </c>
      <c r="E52" s="1914">
        <f t="shared" si="15"/>
        <v>0</v>
      </c>
      <c r="F52" s="1914">
        <f t="shared" si="15"/>
        <v>0</v>
      </c>
      <c r="G52" s="1914">
        <f t="shared" si="15"/>
        <v>0</v>
      </c>
      <c r="H52" s="1914">
        <f t="shared" si="15"/>
        <v>0</v>
      </c>
      <c r="I52" s="1914">
        <f t="shared" si="15"/>
        <v>0</v>
      </c>
      <c r="J52" s="1914">
        <f t="shared" si="15"/>
        <v>0</v>
      </c>
      <c r="K52" s="1915">
        <f t="shared" si="15"/>
        <v>0</v>
      </c>
      <c r="L52" s="1916">
        <f t="shared" si="16"/>
        <v>0</v>
      </c>
      <c r="M52" s="1315"/>
      <c r="N52" s="1315"/>
      <c r="O52" s="1315"/>
      <c r="P52" s="1906"/>
    </row>
    <row r="53" spans="2:16" x14ac:dyDescent="0.3">
      <c r="B53" s="4"/>
      <c r="C53" s="1912">
        <v>0.45</v>
      </c>
      <c r="D53" s="1913">
        <f t="shared" si="15"/>
        <v>0</v>
      </c>
      <c r="E53" s="1914">
        <f t="shared" si="15"/>
        <v>0</v>
      </c>
      <c r="F53" s="1914">
        <f t="shared" si="15"/>
        <v>0</v>
      </c>
      <c r="G53" s="1914">
        <f t="shared" si="15"/>
        <v>0</v>
      </c>
      <c r="H53" s="1914">
        <f t="shared" si="15"/>
        <v>0</v>
      </c>
      <c r="I53" s="1914">
        <f t="shared" si="15"/>
        <v>0</v>
      </c>
      <c r="J53" s="1914">
        <f t="shared" si="15"/>
        <v>0</v>
      </c>
      <c r="K53" s="1915">
        <f t="shared" si="15"/>
        <v>0</v>
      </c>
      <c r="L53" s="1916">
        <f t="shared" si="16"/>
        <v>0</v>
      </c>
      <c r="M53" s="1315"/>
      <c r="N53" s="1315"/>
      <c r="O53" s="1315"/>
      <c r="P53" s="1906"/>
    </row>
    <row r="54" spans="2:16" x14ac:dyDescent="0.3">
      <c r="B54" s="4"/>
      <c r="C54" s="1912">
        <v>0.5</v>
      </c>
      <c r="D54" s="1913">
        <f t="shared" si="15"/>
        <v>0</v>
      </c>
      <c r="E54" s="1914">
        <f t="shared" si="15"/>
        <v>0</v>
      </c>
      <c r="F54" s="1914">
        <f t="shared" si="15"/>
        <v>4</v>
      </c>
      <c r="G54" s="1914">
        <f t="shared" si="15"/>
        <v>12</v>
      </c>
      <c r="H54" s="1914">
        <f t="shared" si="15"/>
        <v>13</v>
      </c>
      <c r="I54" s="1914">
        <f t="shared" si="15"/>
        <v>10</v>
      </c>
      <c r="J54" s="1914">
        <f t="shared" si="15"/>
        <v>0</v>
      </c>
      <c r="K54" s="1915">
        <f t="shared" si="15"/>
        <v>0</v>
      </c>
      <c r="L54" s="1916">
        <f t="shared" si="16"/>
        <v>39</v>
      </c>
      <c r="M54" s="1315"/>
      <c r="N54" s="1315"/>
      <c r="O54" s="1315"/>
      <c r="P54" s="1906"/>
    </row>
    <row r="55" spans="2:16" x14ac:dyDescent="0.3">
      <c r="B55" s="4"/>
      <c r="C55" s="1912">
        <v>0.55000000000000004</v>
      </c>
      <c r="D55" s="1913">
        <f t="shared" si="15"/>
        <v>0</v>
      </c>
      <c r="E55" s="1914">
        <f t="shared" si="15"/>
        <v>0</v>
      </c>
      <c r="F55" s="1914">
        <f t="shared" si="15"/>
        <v>0</v>
      </c>
      <c r="G55" s="1914">
        <f t="shared" si="15"/>
        <v>0</v>
      </c>
      <c r="H55" s="1914">
        <f t="shared" si="15"/>
        <v>0</v>
      </c>
      <c r="I55" s="1914">
        <f t="shared" si="15"/>
        <v>0</v>
      </c>
      <c r="J55" s="1914">
        <f t="shared" si="15"/>
        <v>0</v>
      </c>
      <c r="K55" s="1915">
        <f t="shared" si="15"/>
        <v>0</v>
      </c>
      <c r="L55" s="1916">
        <f t="shared" si="16"/>
        <v>0</v>
      </c>
      <c r="M55" s="1315"/>
      <c r="N55" s="1315"/>
      <c r="O55" s="1315"/>
      <c r="P55" s="1906"/>
    </row>
    <row r="56" spans="2:16" x14ac:dyDescent="0.3">
      <c r="B56" s="4"/>
      <c r="C56" s="1912">
        <v>0.6</v>
      </c>
      <c r="D56" s="1913">
        <f t="shared" si="15"/>
        <v>0</v>
      </c>
      <c r="E56" s="1914">
        <f t="shared" si="15"/>
        <v>0</v>
      </c>
      <c r="F56" s="1914">
        <f t="shared" si="15"/>
        <v>48</v>
      </c>
      <c r="G56" s="1914">
        <f t="shared" si="15"/>
        <v>47</v>
      </c>
      <c r="H56" s="1914">
        <f t="shared" si="15"/>
        <v>36</v>
      </c>
      <c r="I56" s="1914">
        <f t="shared" si="15"/>
        <v>14</v>
      </c>
      <c r="J56" s="1914">
        <f t="shared" si="15"/>
        <v>0</v>
      </c>
      <c r="K56" s="1915">
        <f t="shared" si="15"/>
        <v>0</v>
      </c>
      <c r="L56" s="1916">
        <f t="shared" si="16"/>
        <v>145</v>
      </c>
      <c r="M56" s="1315"/>
      <c r="N56" s="1315"/>
      <c r="O56" s="1315"/>
      <c r="P56" s="1906"/>
    </row>
    <row r="57" spans="2:16" x14ac:dyDescent="0.3">
      <c r="B57" s="4"/>
      <c r="C57" s="1912">
        <v>0.65</v>
      </c>
      <c r="D57" s="1913">
        <f t="shared" si="15"/>
        <v>0</v>
      </c>
      <c r="E57" s="1914">
        <f t="shared" si="15"/>
        <v>0</v>
      </c>
      <c r="F57" s="1914">
        <f t="shared" si="15"/>
        <v>0</v>
      </c>
      <c r="G57" s="1914">
        <f t="shared" si="15"/>
        <v>0</v>
      </c>
      <c r="H57" s="1914">
        <f t="shared" si="15"/>
        <v>0</v>
      </c>
      <c r="I57" s="1914">
        <f t="shared" si="15"/>
        <v>0</v>
      </c>
      <c r="J57" s="1914">
        <f t="shared" si="15"/>
        <v>0</v>
      </c>
      <c r="K57" s="1915">
        <f t="shared" si="15"/>
        <v>0</v>
      </c>
      <c r="L57" s="1916">
        <f t="shared" si="16"/>
        <v>0</v>
      </c>
      <c r="M57" s="1315"/>
      <c r="N57" s="1315"/>
      <c r="O57" s="1315"/>
      <c r="P57" s="1906"/>
    </row>
    <row r="58" spans="2:16" x14ac:dyDescent="0.3">
      <c r="B58" s="4"/>
      <c r="C58" s="1917">
        <v>0.8</v>
      </c>
      <c r="D58" s="1918">
        <f t="shared" si="15"/>
        <v>0</v>
      </c>
      <c r="E58" s="1919">
        <f t="shared" si="15"/>
        <v>0</v>
      </c>
      <c r="F58" s="1919">
        <f t="shared" si="15"/>
        <v>0</v>
      </c>
      <c r="G58" s="1919">
        <f t="shared" si="15"/>
        <v>0</v>
      </c>
      <c r="H58" s="1919">
        <f t="shared" si="15"/>
        <v>0</v>
      </c>
      <c r="I58" s="1919">
        <f t="shared" si="15"/>
        <v>0</v>
      </c>
      <c r="J58" s="1919">
        <f t="shared" si="15"/>
        <v>0</v>
      </c>
      <c r="K58" s="1920">
        <f t="shared" si="15"/>
        <v>0</v>
      </c>
      <c r="L58" s="1921">
        <f t="shared" si="16"/>
        <v>0</v>
      </c>
      <c r="M58" s="1315"/>
      <c r="N58" s="1315"/>
      <c r="O58" s="1315"/>
      <c r="P58" s="1906"/>
    </row>
    <row r="59" spans="2:16" ht="27.6" x14ac:dyDescent="0.3">
      <c r="B59" s="4"/>
      <c r="C59" s="1922" t="s">
        <v>38</v>
      </c>
      <c r="D59" s="1923">
        <f>SUM(D49:D58)</f>
        <v>0</v>
      </c>
      <c r="E59" s="1923">
        <f>SUM(E49:E58)</f>
        <v>0</v>
      </c>
      <c r="F59" s="1923">
        <f t="shared" ref="F59:L59" si="17">SUM(F49:F58)</f>
        <v>64</v>
      </c>
      <c r="G59" s="1923">
        <f t="shared" si="17"/>
        <v>78</v>
      </c>
      <c r="H59" s="1923">
        <f t="shared" si="17"/>
        <v>66</v>
      </c>
      <c r="I59" s="1923">
        <f t="shared" si="17"/>
        <v>37</v>
      </c>
      <c r="J59" s="1924">
        <f t="shared" si="17"/>
        <v>0</v>
      </c>
      <c r="K59" s="1924">
        <f t="shared" si="17"/>
        <v>0</v>
      </c>
      <c r="L59" s="1925">
        <f t="shared" si="17"/>
        <v>245</v>
      </c>
      <c r="M59" s="1315"/>
      <c r="N59" s="1315"/>
      <c r="O59" s="1315"/>
      <c r="P59" s="1906"/>
    </row>
    <row r="60" spans="2:16" x14ac:dyDescent="0.3">
      <c r="B60" s="4"/>
      <c r="C60" s="1926" t="s">
        <v>590</v>
      </c>
      <c r="D60" s="1927">
        <f t="shared" ref="D60:K61" si="18">SUMIFS($D$13:$D$44,$C$13:$C$44,$C60,$E$13:$E$44,D$48)</f>
        <v>0</v>
      </c>
      <c r="E60" s="1928">
        <f t="shared" si="18"/>
        <v>0</v>
      </c>
      <c r="F60" s="1928">
        <f t="shared" si="18"/>
        <v>0</v>
      </c>
      <c r="G60" s="1928">
        <f t="shared" si="18"/>
        <v>0</v>
      </c>
      <c r="H60" s="1928">
        <f t="shared" si="18"/>
        <v>0</v>
      </c>
      <c r="I60" s="1928">
        <f t="shared" si="18"/>
        <v>0</v>
      </c>
      <c r="J60" s="1928">
        <f t="shared" si="18"/>
        <v>0</v>
      </c>
      <c r="K60" s="1929">
        <f t="shared" si="18"/>
        <v>0</v>
      </c>
      <c r="L60" s="1930">
        <f>SUM(D60:K60)</f>
        <v>0</v>
      </c>
      <c r="M60" s="1315"/>
      <c r="N60" s="1315"/>
      <c r="O60" s="1315"/>
      <c r="P60" s="1906"/>
    </row>
    <row r="61" spans="2:16" ht="15" thickBot="1" x14ac:dyDescent="0.35">
      <c r="B61" s="4"/>
      <c r="C61" s="1931" t="s">
        <v>331</v>
      </c>
      <c r="D61" s="1932">
        <f t="shared" si="18"/>
        <v>0</v>
      </c>
      <c r="E61" s="1933">
        <f t="shared" si="18"/>
        <v>0</v>
      </c>
      <c r="F61" s="1933">
        <f t="shared" si="18"/>
        <v>0</v>
      </c>
      <c r="G61" s="1933">
        <f t="shared" si="18"/>
        <v>0</v>
      </c>
      <c r="H61" s="1933">
        <f t="shared" si="18"/>
        <v>0</v>
      </c>
      <c r="I61" s="1933">
        <f t="shared" si="18"/>
        <v>0</v>
      </c>
      <c r="J61" s="1933">
        <f t="shared" si="18"/>
        <v>0</v>
      </c>
      <c r="K61" s="1934">
        <f t="shared" si="18"/>
        <v>0</v>
      </c>
      <c r="L61" s="1935">
        <f>SUM(D61:K61)</f>
        <v>0</v>
      </c>
      <c r="M61" s="1315"/>
      <c r="N61" s="1315"/>
      <c r="O61" s="1315"/>
      <c r="P61" s="1906"/>
    </row>
    <row r="62" spans="2:16" ht="15.6" thickTop="1" thickBot="1" x14ac:dyDescent="0.35">
      <c r="B62" s="4"/>
      <c r="C62" s="1936" t="s">
        <v>39</v>
      </c>
      <c r="D62" s="1937">
        <f t="shared" ref="D62:K62" si="19">D59+D60+D61</f>
        <v>0</v>
      </c>
      <c r="E62" s="1938">
        <f t="shared" si="19"/>
        <v>0</v>
      </c>
      <c r="F62" s="1939">
        <f t="shared" si="19"/>
        <v>64</v>
      </c>
      <c r="G62" s="1939">
        <f t="shared" si="19"/>
        <v>78</v>
      </c>
      <c r="H62" s="1939">
        <f t="shared" si="19"/>
        <v>66</v>
      </c>
      <c r="I62" s="1939">
        <f t="shared" si="19"/>
        <v>37</v>
      </c>
      <c r="J62" s="1940">
        <f t="shared" si="19"/>
        <v>0</v>
      </c>
      <c r="K62" s="1940">
        <f t="shared" si="19"/>
        <v>0</v>
      </c>
      <c r="L62" s="1941">
        <f>SUM(L59:L61)</f>
        <v>245</v>
      </c>
      <c r="M62" s="1315"/>
      <c r="N62" s="1315"/>
      <c r="O62" s="1315"/>
      <c r="P62" s="1906"/>
    </row>
    <row r="63" spans="2:16" ht="7.5" customHeight="1" thickTop="1" thickBot="1" x14ac:dyDescent="0.35">
      <c r="B63" s="4"/>
      <c r="C63" s="1942"/>
      <c r="D63" s="1943"/>
      <c r="E63" s="1944"/>
      <c r="F63" s="1943"/>
      <c r="G63" s="1943"/>
      <c r="H63" s="1943"/>
      <c r="I63" s="1943"/>
      <c r="J63" s="1945"/>
      <c r="K63" s="1945"/>
      <c r="L63" s="1946"/>
      <c r="M63" s="1315"/>
      <c r="N63" s="1315"/>
      <c r="O63" s="1315"/>
      <c r="P63" s="1906"/>
    </row>
    <row r="64" spans="2:16" ht="27.6" x14ac:dyDescent="0.3">
      <c r="B64" s="4"/>
      <c r="C64" s="1947" t="s">
        <v>40</v>
      </c>
      <c r="D64" s="1948">
        <f>SUMIF('8A'!$E13:$E44,D48,'8A'!$F13:$F44)</f>
        <v>0</v>
      </c>
      <c r="E64" s="1949">
        <f>SUMIF('8A'!$E13:$E44,E48,'8A'!$F13:$F44)</f>
        <v>0</v>
      </c>
      <c r="F64" s="1949">
        <f>SUMIF('8A'!$E13:$E44,F48,'8A'!$F13:$F44)</f>
        <v>5</v>
      </c>
      <c r="G64" s="1949">
        <f>SUMIF('8A'!$E13:$E44,G48,'8A'!$F13:$F44)</f>
        <v>4</v>
      </c>
      <c r="H64" s="1949">
        <f>SUMIF('8A'!$E13:$E44,H48,'8A'!$F13:$F44)</f>
        <v>5</v>
      </c>
      <c r="I64" s="1949">
        <f>SUMIF('8A'!$E13:$E44,I48,'8A'!$F13:$F44)</f>
        <v>4</v>
      </c>
      <c r="J64" s="1949">
        <f>SUMIF('8A'!$E13:$E44,J48,'8A'!$F13:$F44)</f>
        <v>0</v>
      </c>
      <c r="K64" s="1950">
        <f>SUMIF('8A'!$E13:$E44,K48,'8A'!$F13:$F44)</f>
        <v>0</v>
      </c>
      <c r="L64" s="1951">
        <f>SUM(D64:K64)</f>
        <v>18</v>
      </c>
      <c r="M64" s="1315"/>
      <c r="N64" s="1315"/>
      <c r="O64" s="1315"/>
      <c r="P64" s="1906"/>
    </row>
    <row r="65" spans="2:16" ht="15" thickBot="1" x14ac:dyDescent="0.35">
      <c r="B65" s="4"/>
      <c r="C65" s="1952" t="s">
        <v>493</v>
      </c>
      <c r="D65" s="1953">
        <f>IFERROR(AVERAGEIF('8A'!$E13:$E44,D48,'8A'!$G13:$G44),0)</f>
        <v>0</v>
      </c>
      <c r="E65" s="1954">
        <f>IFERROR(AVERAGEIF('8A'!$E13:$E44,E48,'8A'!$G13:$G44),0)</f>
        <v>0</v>
      </c>
      <c r="F65" s="1954">
        <f>IFERROR(AVERAGEIF('8A'!$E13:$E44,F48,'8A'!$G13:$G44),0)</f>
        <v>425</v>
      </c>
      <c r="G65" s="1954">
        <f>IFERROR(AVERAGEIF('8A'!$E13:$E44,G48,'8A'!$G13:$G44),0)</f>
        <v>550</v>
      </c>
      <c r="H65" s="1954">
        <f>IFERROR(AVERAGEIF('8A'!$E13:$E44,H48,'8A'!$G13:$G44),0)</f>
        <v>800</v>
      </c>
      <c r="I65" s="1954">
        <f>IFERROR(AVERAGEIF('8A'!$E13:$E44,I48,'8A'!$G13:$G44),0)</f>
        <v>1100</v>
      </c>
      <c r="J65" s="1954">
        <f>IFERROR(AVERAGEIF('8A'!$E13:$E44,J48,'8A'!$G13:$G44),0)</f>
        <v>0</v>
      </c>
      <c r="K65" s="1955">
        <f>IFERROR(AVERAGEIF('8A'!$E13:$E44,K48,'8A'!$G13:$G44),0)</f>
        <v>0</v>
      </c>
      <c r="L65" s="1956"/>
      <c r="M65" s="1315"/>
      <c r="N65" s="1315"/>
      <c r="O65" s="1315"/>
      <c r="P65" s="1906"/>
    </row>
    <row r="66" spans="2:16" ht="7.5" customHeight="1" thickBot="1" x14ac:dyDescent="0.35">
      <c r="B66" s="4"/>
      <c r="C66" s="130"/>
      <c r="D66" s="130"/>
      <c r="E66" s="130"/>
      <c r="F66" s="130"/>
      <c r="G66" s="130"/>
      <c r="H66" s="130"/>
      <c r="I66" s="130"/>
      <c r="J66" s="130"/>
      <c r="K66" s="130"/>
      <c r="L66" s="130"/>
      <c r="M66" s="130"/>
      <c r="N66" s="130"/>
      <c r="O66" s="144"/>
      <c r="P66" s="1906"/>
    </row>
    <row r="67" spans="2:16" x14ac:dyDescent="0.3">
      <c r="B67" s="1668"/>
      <c r="C67" s="1668"/>
      <c r="D67" s="1668"/>
      <c r="E67" s="1668"/>
      <c r="F67" s="1668"/>
      <c r="G67" s="1668"/>
      <c r="H67" s="1668"/>
      <c r="I67" s="1668"/>
      <c r="J67" s="1668"/>
      <c r="K67" s="1668"/>
      <c r="L67" s="1668"/>
      <c r="M67" s="1668"/>
      <c r="N67" s="1668"/>
      <c r="O67" s="1668"/>
      <c r="P67" s="1668"/>
    </row>
    <row r="68" spans="2:16" x14ac:dyDescent="0.3">
      <c r="B68" s="1648"/>
      <c r="C68" s="1648"/>
      <c r="D68" s="1648"/>
      <c r="E68" s="1648"/>
      <c r="F68" s="1648"/>
      <c r="G68" s="1648"/>
      <c r="H68" s="1648"/>
      <c r="I68" s="1648"/>
      <c r="J68" s="1648"/>
      <c r="K68" s="1648"/>
      <c r="L68" s="1648"/>
      <c r="M68" s="1648"/>
      <c r="N68" s="1648"/>
      <c r="O68" s="1648"/>
      <c r="P68" s="1648"/>
    </row>
  </sheetData>
  <sheetProtection algorithmName="SHA-512" hashValue="Ylf+j2SJ7bbyP8JC9/6E/Gqd+QFsHauRamiy+FxVkBOJ1XUg8Fj03U9I1VOGc6S3VWy277t3CrOfxmH5pjrBoQ==" saltValue="J6pw3D36oUFA8wphbO4Ejg==" spinCount="100000" sheet="1" formatCells="0" formatColumns="0" formatRows="0" insertRows="0"/>
  <mergeCells count="4">
    <mergeCell ref="C9:O9"/>
    <mergeCell ref="C11:N11"/>
    <mergeCell ref="C14:O14"/>
    <mergeCell ref="C29:O29"/>
  </mergeCells>
  <conditionalFormatting sqref="H41:O42">
    <cfRule type="expression" dxfId="54" priority="6">
      <formula>$C41="CAUs / Managers"</formula>
    </cfRule>
  </conditionalFormatting>
  <conditionalFormatting sqref="G45:K45">
    <cfRule type="expression" dxfId="53" priority="4">
      <formula>$G$45="CAUTION - LIH Square footage does not match Form 2B"</formula>
    </cfRule>
  </conditionalFormatting>
  <dataValidations count="3">
    <dataValidation type="list" allowBlank="1" showInputMessage="1" showErrorMessage="1" sqref="C26:C27 C41:C42" xr:uid="{00000000-0002-0000-1F00-000000000000}">
      <formula1>Non_LIH_Units</formula1>
    </dataValidation>
    <dataValidation type="list" allowBlank="1" showInputMessage="1" showErrorMessage="1" sqref="E26:E27 E30:E39 E15:E24 E41:E42" xr:uid="{00000000-0002-0000-1F00-000001000000}">
      <formula1>Units_and_Beds</formula1>
    </dataValidation>
    <dataValidation type="list" allowBlank="1" showInputMessage="1" showErrorMessage="1" sqref="C30:C39 C15:C24" xr:uid="{00000000-0002-0000-1F00-000002000000}">
      <formula1>AMIs</formula1>
    </dataValidation>
  </dataValidations>
  <pageMargins left="1" right="1" top="1" bottom="1" header="0.3" footer="0.3"/>
  <pageSetup scale="75" fitToHeight="2" orientation="landscape" r:id="rId1"/>
  <headerFooter>
    <oddFooter>&amp;LForm 8A
Proposed Rents and AMIs Served&amp;CCFA Forms&amp;REdition: 2017
Version: 1.0</oddFooter>
  </headerFooter>
  <rowBreaks count="1" manualBreakCount="1">
    <brk id="45" min="1" max="1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9:H42"/>
  <sheetViews>
    <sheetView showGridLines="0" topLeftCell="A20" zoomScaleNormal="100" workbookViewId="0">
      <selection activeCell="F41" sqref="F41"/>
    </sheetView>
  </sheetViews>
  <sheetFormatPr defaultColWidth="9.109375" defaultRowHeight="14.4" x14ac:dyDescent="0.3"/>
  <cols>
    <col min="1" max="2" width="1.6640625" style="400" customWidth="1"/>
    <col min="3" max="3" width="52" style="400" customWidth="1"/>
    <col min="4" max="6" width="17.109375" style="400" customWidth="1"/>
    <col min="7" max="7" width="20" style="400" customWidth="1"/>
    <col min="8" max="8" width="1.6640625" style="400" customWidth="1"/>
    <col min="9" max="16384" width="9.109375" style="400"/>
  </cols>
  <sheetData>
    <row r="9" spans="2:8" ht="9" customHeight="1" thickBot="1" x14ac:dyDescent="0.35"/>
    <row r="10" spans="2:8" ht="9" customHeight="1" x14ac:dyDescent="0.35">
      <c r="B10" s="596"/>
      <c r="C10" s="597"/>
      <c r="D10" s="597"/>
      <c r="E10" s="597"/>
      <c r="F10" s="597"/>
      <c r="G10" s="597"/>
      <c r="H10" s="598"/>
    </row>
    <row r="11" spans="2:8" ht="18" x14ac:dyDescent="0.35">
      <c r="B11" s="599"/>
      <c r="C11" s="2657" t="s">
        <v>534</v>
      </c>
      <c r="D11" s="2657"/>
      <c r="E11" s="2657"/>
      <c r="F11" s="2657"/>
      <c r="G11" s="2657"/>
      <c r="H11" s="560"/>
    </row>
    <row r="12" spans="2:8" ht="18" x14ac:dyDescent="0.35">
      <c r="B12" s="599"/>
      <c r="C12" s="2124"/>
      <c r="D12" s="2124"/>
      <c r="E12" s="2124"/>
      <c r="F12" s="2124"/>
      <c r="G12" s="2124"/>
      <c r="H12" s="560"/>
    </row>
    <row r="13" spans="2:8" ht="15" thickBot="1" x14ac:dyDescent="0.35">
      <c r="B13" s="202"/>
      <c r="C13" s="2802" t="str">
        <f>IF('1'!G5="","Enter Project Name on Form 1",(CONCATENATE("Project Name: ",'1'!G5)))</f>
        <v>Project Name: 6600 Roosevelt Way NE</v>
      </c>
      <c r="D13" s="2802"/>
      <c r="E13" s="2802"/>
      <c r="F13" s="2802"/>
      <c r="G13" s="424"/>
      <c r="H13" s="201"/>
    </row>
    <row r="14" spans="2:8" ht="7.5" customHeight="1" x14ac:dyDescent="0.3">
      <c r="B14" s="202"/>
      <c r="C14" s="2123"/>
      <c r="D14" s="2123"/>
      <c r="E14" s="2123"/>
      <c r="F14" s="2123"/>
      <c r="G14" s="424"/>
      <c r="H14" s="201"/>
    </row>
    <row r="15" spans="2:8" ht="15" thickBot="1" x14ac:dyDescent="0.35">
      <c r="B15" s="202"/>
      <c r="C15" s="2804" t="str">
        <f>IF('1'!G29="","Enter Site Name/ID Number on Form 1",(CONCATENATE("Site Name/ID: ",'1'!G29)))</f>
        <v>Site Name/ID: Site A - 4% Building</v>
      </c>
      <c r="D15" s="2804"/>
      <c r="E15" s="2804"/>
      <c r="F15" s="2804"/>
      <c r="G15" s="424"/>
      <c r="H15" s="201"/>
    </row>
    <row r="16" spans="2:8" ht="7.5" customHeight="1" x14ac:dyDescent="0.3">
      <c r="B16" s="202"/>
      <c r="C16" s="385"/>
      <c r="D16" s="424"/>
      <c r="E16" s="424"/>
      <c r="F16" s="424"/>
      <c r="G16" s="424"/>
      <c r="H16" s="201"/>
    </row>
    <row r="17" spans="2:8" ht="15" thickBot="1" x14ac:dyDescent="0.35">
      <c r="B17" s="202"/>
      <c r="C17" s="600" t="s">
        <v>1511</v>
      </c>
      <c r="D17" s="424"/>
      <c r="E17" s="424"/>
      <c r="F17" s="424"/>
      <c r="G17" s="424"/>
      <c r="H17" s="201"/>
    </row>
    <row r="18" spans="2:8" ht="28.2" thickBot="1" x14ac:dyDescent="0.35">
      <c r="B18" s="202"/>
      <c r="C18" s="1499" t="s">
        <v>291</v>
      </c>
      <c r="D18" s="1050" t="s">
        <v>332</v>
      </c>
      <c r="E18" s="1050" t="s">
        <v>333</v>
      </c>
      <c r="F18" s="1050" t="s">
        <v>334</v>
      </c>
      <c r="G18" s="1500" t="s">
        <v>335</v>
      </c>
      <c r="H18" s="201"/>
    </row>
    <row r="19" spans="2:8" x14ac:dyDescent="0.3">
      <c r="B19" s="202"/>
      <c r="C19" s="1049"/>
      <c r="D19" s="1159">
        <v>0</v>
      </c>
      <c r="E19" s="1159">
        <v>0</v>
      </c>
      <c r="F19" s="1501">
        <f>SUM(D19:E19)</f>
        <v>0</v>
      </c>
      <c r="G19" s="1638"/>
      <c r="H19" s="201"/>
    </row>
    <row r="20" spans="2:8" x14ac:dyDescent="0.3">
      <c r="B20" s="202"/>
      <c r="C20" s="1002"/>
      <c r="D20" s="1160">
        <v>0</v>
      </c>
      <c r="E20" s="1160">
        <v>0</v>
      </c>
      <c r="F20" s="1502">
        <f>SUM(D20:E20)</f>
        <v>0</v>
      </c>
      <c r="G20" s="1639"/>
      <c r="H20" s="201"/>
    </row>
    <row r="21" spans="2:8" x14ac:dyDescent="0.3">
      <c r="B21" s="202"/>
      <c r="C21" s="1002"/>
      <c r="D21" s="1160">
        <v>0</v>
      </c>
      <c r="E21" s="1160">
        <v>0</v>
      </c>
      <c r="F21" s="1502">
        <f>SUM(D21:E21)</f>
        <v>0</v>
      </c>
      <c r="G21" s="1639"/>
      <c r="H21" s="201"/>
    </row>
    <row r="22" spans="2:8" ht="15" thickBot="1" x14ac:dyDescent="0.35">
      <c r="B22" s="202"/>
      <c r="C22" s="1002"/>
      <c r="D22" s="1160">
        <v>0</v>
      </c>
      <c r="E22" s="1160">
        <v>0</v>
      </c>
      <c r="F22" s="1502">
        <f>SUM(D22:E22)</f>
        <v>0</v>
      </c>
      <c r="G22" s="1639"/>
      <c r="H22" s="201"/>
    </row>
    <row r="23" spans="2:8" ht="15.6" thickTop="1" thickBot="1" x14ac:dyDescent="0.35">
      <c r="B23" s="202"/>
      <c r="C23" s="1004" t="s">
        <v>1517</v>
      </c>
      <c r="D23" s="1165">
        <f>SUM(D19:D22)</f>
        <v>0</v>
      </c>
      <c r="E23" s="1165">
        <f>SUM(E19:E22)</f>
        <v>0</v>
      </c>
      <c r="F23" s="1166">
        <f>SUM(D23:E23)</f>
        <v>0</v>
      </c>
      <c r="G23" s="1005"/>
      <c r="H23" s="201"/>
    </row>
    <row r="24" spans="2:8" x14ac:dyDescent="0.3">
      <c r="B24" s="202"/>
      <c r="C24" s="385"/>
      <c r="D24" s="424"/>
      <c r="E24" s="424"/>
      <c r="F24" s="203" t="s">
        <v>31</v>
      </c>
      <c r="G24" s="424"/>
      <c r="H24" s="201"/>
    </row>
    <row r="25" spans="2:8" ht="15" thickBot="1" x14ac:dyDescent="0.35">
      <c r="B25" s="202"/>
      <c r="C25" s="600" t="s">
        <v>336</v>
      </c>
      <c r="D25" s="424"/>
      <c r="E25" s="424"/>
      <c r="F25" s="424"/>
      <c r="G25" s="424"/>
      <c r="H25" s="201"/>
    </row>
    <row r="26" spans="2:8" ht="15" customHeight="1" x14ac:dyDescent="0.3">
      <c r="B26" s="202"/>
      <c r="C26" s="2799" t="s">
        <v>291</v>
      </c>
      <c r="D26" s="2797" t="s">
        <v>332</v>
      </c>
      <c r="E26" s="2797" t="s">
        <v>333</v>
      </c>
      <c r="F26" s="2797" t="s">
        <v>334</v>
      </c>
      <c r="G26" s="2797" t="s">
        <v>335</v>
      </c>
      <c r="H26" s="201"/>
    </row>
    <row r="27" spans="2:8" ht="15" thickBot="1" x14ac:dyDescent="0.35">
      <c r="B27" s="202"/>
      <c r="C27" s="2803"/>
      <c r="D27" s="2801"/>
      <c r="E27" s="2801"/>
      <c r="F27" s="2801"/>
      <c r="G27" s="2801"/>
      <c r="H27" s="201"/>
    </row>
    <row r="28" spans="2:8" x14ac:dyDescent="0.3">
      <c r="B28" s="202"/>
      <c r="C28" s="1051"/>
      <c r="D28" s="1161">
        <v>0</v>
      </c>
      <c r="E28" s="1161">
        <v>0</v>
      </c>
      <c r="F28" s="1503">
        <f>SUM(D28+E28)</f>
        <v>0</v>
      </c>
      <c r="G28" s="1640"/>
      <c r="H28" s="201"/>
    </row>
    <row r="29" spans="2:8" x14ac:dyDescent="0.3">
      <c r="B29" s="202"/>
      <c r="C29" s="1052"/>
      <c r="D29" s="1160">
        <v>0</v>
      </c>
      <c r="E29" s="1160">
        <v>0</v>
      </c>
      <c r="F29" s="1502">
        <f>SUM(D29+E29)</f>
        <v>0</v>
      </c>
      <c r="G29" s="1641"/>
      <c r="H29" s="201"/>
    </row>
    <row r="30" spans="2:8" x14ac:dyDescent="0.3">
      <c r="B30" s="202"/>
      <c r="C30" s="1053"/>
      <c r="D30" s="1162">
        <v>0</v>
      </c>
      <c r="E30" s="1162">
        <v>0</v>
      </c>
      <c r="F30" s="1502">
        <f>SUM(D30+E30)</f>
        <v>0</v>
      </c>
      <c r="G30" s="1642"/>
      <c r="H30" s="201"/>
    </row>
    <row r="31" spans="2:8" ht="15" thickBot="1" x14ac:dyDescent="0.35">
      <c r="B31" s="202"/>
      <c r="C31" s="1053"/>
      <c r="D31" s="1162">
        <v>0</v>
      </c>
      <c r="E31" s="1162">
        <v>0</v>
      </c>
      <c r="F31" s="1504">
        <f>SUM(D31+E31)</f>
        <v>0</v>
      </c>
      <c r="G31" s="1642"/>
      <c r="H31" s="201"/>
    </row>
    <row r="32" spans="2:8" ht="15.6" thickTop="1" thickBot="1" x14ac:dyDescent="0.35">
      <c r="B32" s="202"/>
      <c r="C32" s="723" t="s">
        <v>1515</v>
      </c>
      <c r="D32" s="1163">
        <f>SUM(D28:D31)</f>
        <v>0</v>
      </c>
      <c r="E32" s="1163">
        <f>SUM(E28:E31)</f>
        <v>0</v>
      </c>
      <c r="F32" s="1164">
        <f>SUM(D32:E32)</f>
        <v>0</v>
      </c>
      <c r="G32" s="1505"/>
      <c r="H32" s="201"/>
    </row>
    <row r="33" spans="2:8" x14ac:dyDescent="0.3">
      <c r="B33" s="202"/>
      <c r="C33" s="385"/>
      <c r="D33" s="424"/>
      <c r="E33" s="424"/>
      <c r="F33" s="203"/>
      <c r="G33" s="424"/>
      <c r="H33" s="201"/>
    </row>
    <row r="34" spans="2:8" ht="15" thickBot="1" x14ac:dyDescent="0.35">
      <c r="B34" s="202"/>
      <c r="C34" s="600" t="s">
        <v>337</v>
      </c>
      <c r="D34" s="424"/>
      <c r="E34" s="424"/>
      <c r="F34" s="424"/>
      <c r="G34" s="424"/>
      <c r="H34" s="201"/>
    </row>
    <row r="35" spans="2:8" ht="15" customHeight="1" x14ac:dyDescent="0.3">
      <c r="B35" s="202"/>
      <c r="C35" s="2799" t="s">
        <v>291</v>
      </c>
      <c r="D35" s="2797" t="s">
        <v>332</v>
      </c>
      <c r="E35" s="2797" t="s">
        <v>333</v>
      </c>
      <c r="F35" s="2797" t="s">
        <v>334</v>
      </c>
      <c r="G35" s="2797" t="s">
        <v>335</v>
      </c>
      <c r="H35" s="201"/>
    </row>
    <row r="36" spans="2:8" ht="15" thickBot="1" x14ac:dyDescent="0.35">
      <c r="B36" s="202"/>
      <c r="C36" s="2800"/>
      <c r="D36" s="2798"/>
      <c r="E36" s="2798"/>
      <c r="F36" s="2801"/>
      <c r="G36" s="2798"/>
      <c r="H36" s="201"/>
    </row>
    <row r="37" spans="2:8" x14ac:dyDescent="0.3">
      <c r="B37" s="202"/>
      <c r="C37" s="1049"/>
      <c r="D37" s="1159">
        <v>0</v>
      </c>
      <c r="E37" s="1159">
        <v>0</v>
      </c>
      <c r="F37" s="1501">
        <f>SUM(D37:E37)</f>
        <v>0</v>
      </c>
      <c r="G37" s="1638"/>
      <c r="H37" s="201"/>
    </row>
    <row r="38" spans="2:8" x14ac:dyDescent="0.3">
      <c r="B38" s="202"/>
      <c r="C38" s="1634"/>
      <c r="D38" s="1161">
        <v>0</v>
      </c>
      <c r="E38" s="1161">
        <v>0</v>
      </c>
      <c r="F38" s="1502">
        <f>SUM(D38:E38)</f>
        <v>0</v>
      </c>
      <c r="G38" s="1643"/>
      <c r="H38" s="201"/>
    </row>
    <row r="39" spans="2:8" x14ac:dyDescent="0.3">
      <c r="B39" s="202"/>
      <c r="C39" s="1002"/>
      <c r="D39" s="1160">
        <v>0</v>
      </c>
      <c r="E39" s="1160">
        <v>0</v>
      </c>
      <c r="F39" s="1502">
        <f>SUM(D39:E39)</f>
        <v>0</v>
      </c>
      <c r="G39" s="1639"/>
      <c r="H39" s="201"/>
    </row>
    <row r="40" spans="2:8" ht="15" thickBot="1" x14ac:dyDescent="0.35">
      <c r="B40" s="1506"/>
      <c r="C40" s="1003"/>
      <c r="D40" s="1162">
        <v>0</v>
      </c>
      <c r="E40" s="1162">
        <v>0</v>
      </c>
      <c r="F40" s="1504">
        <f>SUM(D40:E40)</f>
        <v>0</v>
      </c>
      <c r="G40" s="1644"/>
      <c r="H40" s="1507"/>
    </row>
    <row r="41" spans="2:8" ht="15.6" thickTop="1" thickBot="1" x14ac:dyDescent="0.35">
      <c r="B41" s="1506"/>
      <c r="C41" s="723" t="s">
        <v>1516</v>
      </c>
      <c r="D41" s="1163">
        <f>SUM(D37:D40)</f>
        <v>0</v>
      </c>
      <c r="E41" s="1163">
        <f>SUM(E37:E40)</f>
        <v>0</v>
      </c>
      <c r="F41" s="1166">
        <f>SUM(D41:E41)</f>
        <v>0</v>
      </c>
      <c r="G41" s="1508"/>
      <c r="H41" s="1507"/>
    </row>
    <row r="42" spans="2:8" ht="15" thickBot="1" x14ac:dyDescent="0.35">
      <c r="B42" s="204"/>
      <c r="C42" s="205"/>
      <c r="D42" s="206"/>
      <c r="E42" s="206"/>
      <c r="F42" s="206"/>
      <c r="G42" s="206"/>
      <c r="H42" s="207"/>
    </row>
  </sheetData>
  <sheetProtection algorithmName="SHA-512" hashValue="rNPxPwZZLCttTVlFRmT1drnQdpCbOiKkbWWtyKasA7oKeg9vg15AE/ZPVeTd+FADRqJ9KsLHyll5E1x6ulRleg==" saltValue="nNiQCtZo+6i2DRcLAJzF7Q==" spinCount="100000" sheet="1" formatCells="0" formatColumns="0" formatRows="0" insertRows="0"/>
  <mergeCells count="13">
    <mergeCell ref="C13:F13"/>
    <mergeCell ref="C11:G11"/>
    <mergeCell ref="F26:F27"/>
    <mergeCell ref="E26:E27"/>
    <mergeCell ref="D26:D27"/>
    <mergeCell ref="C26:C27"/>
    <mergeCell ref="G26:G27"/>
    <mergeCell ref="C15:F15"/>
    <mergeCell ref="G35:G36"/>
    <mergeCell ref="C35:C36"/>
    <mergeCell ref="D35:D36"/>
    <mergeCell ref="E35:E36"/>
    <mergeCell ref="F35:F36"/>
  </mergeCells>
  <pageMargins left="0.7" right="0.7" top="1" bottom="1" header="0.3" footer="0.3"/>
  <pageSetup scale="95" orientation="landscape" r:id="rId1"/>
  <headerFooter>
    <oddFooter>&amp;LForm 8B
Operating, Service and Rent Subsidy Sources&amp;CCFA Forms&amp;REdition: 2017
Version: 1.0</oddFooter>
  </headerFooter>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8:S64"/>
  <sheetViews>
    <sheetView showGridLines="0" topLeftCell="A3" zoomScaleNormal="100" workbookViewId="0">
      <selection activeCell="G37" sqref="G37"/>
    </sheetView>
  </sheetViews>
  <sheetFormatPr defaultColWidth="9.109375" defaultRowHeight="14.4" x14ac:dyDescent="0.3"/>
  <cols>
    <col min="1" max="2" width="1.6640625" style="400" customWidth="1"/>
    <col min="3" max="3" width="25.33203125" style="400" customWidth="1"/>
    <col min="4" max="4" width="11.5546875" style="400" bestFit="1" customWidth="1"/>
    <col min="5" max="5" width="14.33203125" style="400" customWidth="1"/>
    <col min="6" max="6" width="9.5546875" style="400" bestFit="1" customWidth="1"/>
    <col min="7" max="8" width="9.109375" style="400"/>
    <col min="9" max="9" width="7.33203125" style="400" bestFit="1" customWidth="1"/>
    <col min="10" max="10" width="6.88671875" style="400" bestFit="1" customWidth="1"/>
    <col min="11" max="11" width="10.6640625" style="400" bestFit="1" customWidth="1"/>
    <col min="12" max="12" width="10" style="400" customWidth="1"/>
    <col min="13" max="13" width="2.88671875" style="400" customWidth="1"/>
    <col min="14" max="14" width="11.44140625" style="400" customWidth="1"/>
    <col min="15" max="18" width="10" style="400" bestFit="1" customWidth="1"/>
    <col min="19" max="19" width="1.6640625" style="400" customWidth="1"/>
    <col min="20" max="16384" width="9.109375" style="400"/>
  </cols>
  <sheetData>
    <row r="8" spans="2:19" ht="9" customHeight="1" thickBot="1" x14ac:dyDescent="0.35"/>
    <row r="9" spans="2:19" ht="9" customHeight="1" x14ac:dyDescent="0.3">
      <c r="B9" s="208"/>
      <c r="C9" s="209"/>
      <c r="D9" s="209"/>
      <c r="E9" s="210"/>
      <c r="F9" s="210"/>
      <c r="G9" s="211"/>
      <c r="H9" s="212"/>
      <c r="I9" s="212"/>
      <c r="J9" s="212"/>
      <c r="K9" s="213"/>
      <c r="L9" s="211"/>
      <c r="M9" s="211"/>
      <c r="N9" s="214"/>
      <c r="O9" s="210"/>
      <c r="P9" s="211"/>
      <c r="Q9" s="211"/>
      <c r="R9" s="211"/>
      <c r="S9" s="215"/>
    </row>
    <row r="10" spans="2:19" ht="18" x14ac:dyDescent="0.35">
      <c r="B10" s="216"/>
      <c r="C10" s="2515" t="s">
        <v>1135</v>
      </c>
      <c r="D10" s="2515"/>
      <c r="E10" s="2515"/>
      <c r="F10" s="2515"/>
      <c r="G10" s="2515"/>
      <c r="H10" s="2515"/>
      <c r="I10" s="2515"/>
      <c r="J10" s="2515"/>
      <c r="K10" s="2515"/>
      <c r="L10" s="2515"/>
      <c r="M10" s="2515"/>
      <c r="N10" s="2515"/>
      <c r="O10" s="2515"/>
      <c r="P10" s="2515"/>
      <c r="Q10" s="2515"/>
      <c r="R10" s="2515"/>
      <c r="S10" s="201"/>
    </row>
    <row r="11" spans="2:19" x14ac:dyDescent="0.3">
      <c r="B11" s="216"/>
      <c r="C11" s="424"/>
      <c r="D11" s="424"/>
      <c r="E11" s="217"/>
      <c r="F11" s="217"/>
      <c r="G11" s="218"/>
      <c r="H11" s="219"/>
      <c r="I11" s="219"/>
      <c r="J11" s="219"/>
      <c r="K11" s="220"/>
      <c r="L11" s="218"/>
      <c r="M11" s="218"/>
      <c r="N11" s="221"/>
      <c r="O11" s="217"/>
      <c r="P11" s="218"/>
      <c r="Q11" s="218"/>
      <c r="R11" s="570"/>
      <c r="S11" s="201"/>
    </row>
    <row r="12" spans="2:19" ht="15" thickBot="1" x14ac:dyDescent="0.35">
      <c r="B12" s="216"/>
      <c r="C12" s="2804" t="str">
        <f>IF('1'!G5="","Enter Project Name on Form 1",(CONCATENATE("Project Name: ",'1'!G5)))</f>
        <v>Project Name: 6600 Roosevelt Way NE</v>
      </c>
      <c r="D12" s="2804"/>
      <c r="E12" s="2804"/>
      <c r="F12" s="2804"/>
      <c r="G12" s="2804"/>
      <c r="H12" s="2804"/>
      <c r="I12" s="2804"/>
      <c r="J12" s="2840"/>
      <c r="K12" s="2804"/>
      <c r="L12" s="2804"/>
      <c r="M12" s="2135"/>
      <c r="N12" s="2135"/>
      <c r="O12" s="424"/>
      <c r="P12" s="424"/>
      <c r="Q12" s="424"/>
      <c r="R12" s="570"/>
      <c r="S12" s="237"/>
    </row>
    <row r="13" spans="2:19" ht="7.5" customHeight="1" x14ac:dyDescent="0.3">
      <c r="B13" s="216"/>
      <c r="C13" s="384"/>
      <c r="D13" s="384"/>
      <c r="E13" s="384"/>
      <c r="F13" s="384"/>
      <c r="G13" s="384"/>
      <c r="H13" s="384"/>
      <c r="I13" s="384"/>
      <c r="J13" s="384"/>
      <c r="K13" s="384"/>
      <c r="L13" s="384"/>
      <c r="M13" s="222"/>
      <c r="N13" s="384"/>
      <c r="O13" s="384"/>
      <c r="P13" s="384"/>
      <c r="Q13" s="384"/>
      <c r="R13" s="384"/>
      <c r="S13" s="201"/>
    </row>
    <row r="14" spans="2:19" ht="15" thickBot="1" x14ac:dyDescent="0.35">
      <c r="B14" s="216"/>
      <c r="C14" s="2836" t="str">
        <f>IF('1'!G29="","Enter Site Name/ID Number on Form 1",(CONCATENATE("Site Name/ID: ",'1'!G29)))</f>
        <v>Site Name/ID: Site A - 4% Building</v>
      </c>
      <c r="D14" s="2836"/>
      <c r="E14" s="2836"/>
      <c r="F14" s="2836"/>
      <c r="G14" s="2836"/>
      <c r="H14" s="2836"/>
      <c r="I14" s="2836"/>
      <c r="J14" s="2836"/>
      <c r="K14" s="2836"/>
      <c r="L14" s="2836"/>
      <c r="M14" s="222"/>
      <c r="N14" s="384"/>
      <c r="O14" s="384"/>
      <c r="P14" s="384"/>
      <c r="Q14" s="384"/>
      <c r="R14" s="384"/>
      <c r="S14" s="201"/>
    </row>
    <row r="15" spans="2:19" ht="7.5" customHeight="1" thickBot="1" x14ac:dyDescent="0.35">
      <c r="B15" s="216"/>
      <c r="C15" s="384"/>
      <c r="D15" s="384"/>
      <c r="E15" s="384"/>
      <c r="F15" s="384"/>
      <c r="G15" s="384"/>
      <c r="H15" s="384"/>
      <c r="I15" s="384"/>
      <c r="J15" s="384"/>
      <c r="K15" s="384"/>
      <c r="L15" s="384"/>
      <c r="M15" s="222"/>
      <c r="N15" s="384"/>
      <c r="O15" s="384"/>
      <c r="P15" s="384"/>
      <c r="Q15" s="384"/>
      <c r="R15" s="384"/>
      <c r="S15" s="201"/>
    </row>
    <row r="16" spans="2:19" ht="16.2" thickBot="1" x14ac:dyDescent="0.35">
      <c r="B16" s="216"/>
      <c r="C16" s="2841" t="s">
        <v>624</v>
      </c>
      <c r="D16" s="2842"/>
      <c r="E16" s="2843"/>
      <c r="F16" s="2843"/>
      <c r="G16" s="2843"/>
      <c r="H16" s="2843"/>
      <c r="I16" s="2843"/>
      <c r="J16" s="2842"/>
      <c r="K16" s="2843"/>
      <c r="L16" s="2844"/>
      <c r="M16" s="222"/>
      <c r="N16" s="2845" t="s">
        <v>625</v>
      </c>
      <c r="O16" s="2846"/>
      <c r="P16" s="2846"/>
      <c r="Q16" s="2847"/>
      <c r="R16" s="2848"/>
      <c r="S16" s="201"/>
    </row>
    <row r="17" spans="2:19" ht="83.4" thickBot="1" x14ac:dyDescent="0.35">
      <c r="B17" s="223"/>
      <c r="C17" s="2129" t="s">
        <v>623</v>
      </c>
      <c r="D17" s="601" t="s">
        <v>629</v>
      </c>
      <c r="E17" s="601" t="s">
        <v>338</v>
      </c>
      <c r="F17" s="602" t="s">
        <v>339</v>
      </c>
      <c r="G17" s="603" t="s">
        <v>340</v>
      </c>
      <c r="H17" s="602" t="s">
        <v>341</v>
      </c>
      <c r="I17" s="1665" t="s">
        <v>1523</v>
      </c>
      <c r="J17" s="602" t="s">
        <v>1522</v>
      </c>
      <c r="K17" s="603" t="s">
        <v>342</v>
      </c>
      <c r="L17" s="604" t="s">
        <v>346</v>
      </c>
      <c r="M17" s="222"/>
      <c r="N17" s="695" t="s">
        <v>348</v>
      </c>
      <c r="O17" s="1006" t="str">
        <f>IF('8B - 4% Building'!C28="","Enter Source Name on Form 8B",'8B - 4% Building'!C28)</f>
        <v>Enter Source Name on Form 8B</v>
      </c>
      <c r="P17" s="1007" t="str">
        <f>IF('8B - 4% Building'!C29="","Enter Source Name on Form 8B",'8B - 4% Building'!C29)</f>
        <v>Enter Source Name on Form 8B</v>
      </c>
      <c r="Q17" s="1007" t="str">
        <f>IF('8B - 4% Building'!C30="","Enter Source Name on Form 8B",'8B - 4% Building'!C30)</f>
        <v>Enter Source Name on Form 8B</v>
      </c>
      <c r="R17" s="1008" t="str">
        <f>IF('8B - 4% Building'!C31="","Enter Source Name on Form 8B",'8B - 4% Building'!C31)</f>
        <v>Enter Source Name on Form 8B</v>
      </c>
      <c r="S17" s="201"/>
    </row>
    <row r="18" spans="2:19" ht="27.6" x14ac:dyDescent="0.3">
      <c r="B18" s="223"/>
      <c r="C18" s="2130" t="s">
        <v>2060</v>
      </c>
      <c r="D18" s="989" t="s">
        <v>626</v>
      </c>
      <c r="E18" s="793" t="s">
        <v>2061</v>
      </c>
      <c r="F18" s="1167">
        <v>39040</v>
      </c>
      <c r="G18" s="2411">
        <v>0.67800000000000005</v>
      </c>
      <c r="H18" s="1509">
        <f>F18*G18</f>
        <v>26469.120000000003</v>
      </c>
      <c r="I18" s="794" t="s">
        <v>1526</v>
      </c>
      <c r="J18" s="794">
        <v>0.36</v>
      </c>
      <c r="K18" s="2338">
        <f>H18*J18</f>
        <v>9528.8832000000002</v>
      </c>
      <c r="L18" s="1510">
        <f>H18+K18</f>
        <v>35998.003200000006</v>
      </c>
      <c r="M18" s="224"/>
      <c r="N18" s="1172">
        <f>L18</f>
        <v>35998.003200000006</v>
      </c>
      <c r="O18" s="1173">
        <v>0</v>
      </c>
      <c r="P18" s="1173">
        <v>0</v>
      </c>
      <c r="Q18" s="1628">
        <v>0</v>
      </c>
      <c r="R18" s="1174">
        <v>0</v>
      </c>
      <c r="S18" s="225"/>
    </row>
    <row r="19" spans="2:19" x14ac:dyDescent="0.3">
      <c r="B19" s="216"/>
      <c r="C19" s="2131" t="s">
        <v>2062</v>
      </c>
      <c r="D19" s="990" t="s">
        <v>626</v>
      </c>
      <c r="E19" s="933" t="s">
        <v>2061</v>
      </c>
      <c r="F19" s="1168">
        <v>41000</v>
      </c>
      <c r="G19" s="2412">
        <f>G18</f>
        <v>0.67800000000000005</v>
      </c>
      <c r="H19" s="1511">
        <f t="shared" ref="H19:H26" si="0">F19*G19</f>
        <v>27798.000000000004</v>
      </c>
      <c r="I19" s="796" t="s">
        <v>1526</v>
      </c>
      <c r="J19" s="2339">
        <f>J18</f>
        <v>0.36</v>
      </c>
      <c r="K19" s="2340">
        <f t="shared" ref="K19:K26" si="1">H19*J19</f>
        <v>10007.280000000001</v>
      </c>
      <c r="L19" s="1512">
        <f>H19+K19</f>
        <v>37805.280000000006</v>
      </c>
      <c r="M19" s="224"/>
      <c r="N19" s="1175">
        <f>L19</f>
        <v>37805.280000000006</v>
      </c>
      <c r="O19" s="1169">
        <v>0</v>
      </c>
      <c r="P19" s="1169">
        <v>0</v>
      </c>
      <c r="Q19" s="1629">
        <v>0</v>
      </c>
      <c r="R19" s="1176">
        <v>0</v>
      </c>
      <c r="S19" s="226"/>
    </row>
    <row r="20" spans="2:19" x14ac:dyDescent="0.3">
      <c r="B20" s="216"/>
      <c r="C20" s="2131" t="s">
        <v>2063</v>
      </c>
      <c r="D20" s="990" t="s">
        <v>626</v>
      </c>
      <c r="E20" s="933" t="s">
        <v>2061</v>
      </c>
      <c r="F20" s="1168">
        <v>35000</v>
      </c>
      <c r="G20" s="2412">
        <f>G19</f>
        <v>0.67800000000000005</v>
      </c>
      <c r="H20" s="1511">
        <f t="shared" si="0"/>
        <v>23730</v>
      </c>
      <c r="I20" s="796" t="s">
        <v>1526</v>
      </c>
      <c r="J20" s="796">
        <v>0.36</v>
      </c>
      <c r="K20" s="2341">
        <f t="shared" si="1"/>
        <v>8542.7999999999993</v>
      </c>
      <c r="L20" s="1512">
        <f t="shared" ref="L20:L26" si="2">H20+K20</f>
        <v>32272.799999999999</v>
      </c>
      <c r="M20" s="224"/>
      <c r="N20" s="1175">
        <f>L20</f>
        <v>32272.799999999999</v>
      </c>
      <c r="O20" s="1169">
        <v>0</v>
      </c>
      <c r="P20" s="1169">
        <v>0</v>
      </c>
      <c r="Q20" s="1629">
        <v>0</v>
      </c>
      <c r="R20" s="1176">
        <v>0</v>
      </c>
      <c r="S20" s="201"/>
    </row>
    <row r="21" spans="2:19" x14ac:dyDescent="0.3">
      <c r="B21" s="216"/>
      <c r="C21" s="2131" t="s">
        <v>2063</v>
      </c>
      <c r="D21" s="990" t="s">
        <v>626</v>
      </c>
      <c r="E21" s="933" t="s">
        <v>2061</v>
      </c>
      <c r="F21" s="1168">
        <v>31000</v>
      </c>
      <c r="G21" s="2412">
        <f>G20</f>
        <v>0.67800000000000005</v>
      </c>
      <c r="H21" s="1511">
        <f t="shared" si="0"/>
        <v>21018</v>
      </c>
      <c r="I21" s="796" t="s">
        <v>1526</v>
      </c>
      <c r="J21" s="796">
        <v>0.36</v>
      </c>
      <c r="K21" s="2340">
        <f t="shared" si="1"/>
        <v>7566.48</v>
      </c>
      <c r="L21" s="1512">
        <f t="shared" si="2"/>
        <v>28584.48</v>
      </c>
      <c r="M21" s="224"/>
      <c r="N21" s="1175">
        <f>L21</f>
        <v>28584.48</v>
      </c>
      <c r="O21" s="1169">
        <v>0</v>
      </c>
      <c r="P21" s="1169">
        <v>0</v>
      </c>
      <c r="Q21" s="1629">
        <v>0</v>
      </c>
      <c r="R21" s="1176">
        <v>0</v>
      </c>
      <c r="S21" s="201"/>
    </row>
    <row r="22" spans="2:19" x14ac:dyDescent="0.3">
      <c r="B22" s="216"/>
      <c r="C22" s="2131"/>
      <c r="D22" s="990"/>
      <c r="E22" s="933"/>
      <c r="F22" s="1168">
        <v>0</v>
      </c>
      <c r="G22" s="2412">
        <v>0</v>
      </c>
      <c r="H22" s="1511">
        <f t="shared" si="0"/>
        <v>0</v>
      </c>
      <c r="I22" s="796"/>
      <c r="J22" s="796">
        <v>0</v>
      </c>
      <c r="K22" s="2340">
        <f t="shared" si="1"/>
        <v>0</v>
      </c>
      <c r="L22" s="1512">
        <f>H22+K22</f>
        <v>0</v>
      </c>
      <c r="M22" s="224"/>
      <c r="N22" s="1175">
        <v>0</v>
      </c>
      <c r="O22" s="1169">
        <v>0</v>
      </c>
      <c r="P22" s="1169">
        <v>0</v>
      </c>
      <c r="Q22" s="1629">
        <v>0</v>
      </c>
      <c r="R22" s="1176">
        <v>0</v>
      </c>
      <c r="S22" s="201"/>
    </row>
    <row r="23" spans="2:19" ht="27.6" x14ac:dyDescent="0.3">
      <c r="B23" s="216"/>
      <c r="C23" s="2131" t="s">
        <v>2065</v>
      </c>
      <c r="D23" s="990" t="s">
        <v>627</v>
      </c>
      <c r="E23" s="933" t="s">
        <v>2064</v>
      </c>
      <c r="F23" s="1169">
        <v>119967</v>
      </c>
      <c r="G23" s="2412">
        <v>1</v>
      </c>
      <c r="H23" s="1511">
        <f t="shared" si="0"/>
        <v>119967</v>
      </c>
      <c r="I23" s="796"/>
      <c r="J23" s="796">
        <v>0</v>
      </c>
      <c r="K23" s="2340">
        <f t="shared" si="1"/>
        <v>0</v>
      </c>
      <c r="L23" s="1512">
        <f t="shared" si="2"/>
        <v>119967</v>
      </c>
      <c r="M23" s="224"/>
      <c r="N23" s="1175">
        <f>L23</f>
        <v>119967</v>
      </c>
      <c r="O23" s="1169">
        <v>0</v>
      </c>
      <c r="P23" s="1169">
        <v>0</v>
      </c>
      <c r="Q23" s="1629">
        <v>0</v>
      </c>
      <c r="R23" s="1176">
        <v>0</v>
      </c>
      <c r="S23" s="201"/>
    </row>
    <row r="24" spans="2:19" x14ac:dyDescent="0.3">
      <c r="B24" s="216"/>
      <c r="C24" s="2131"/>
      <c r="D24" s="990"/>
      <c r="E24" s="933"/>
      <c r="F24" s="1169">
        <v>0</v>
      </c>
      <c r="G24" s="2412">
        <v>0</v>
      </c>
      <c r="H24" s="1511">
        <f t="shared" si="0"/>
        <v>0</v>
      </c>
      <c r="I24" s="796"/>
      <c r="J24" s="796">
        <v>0</v>
      </c>
      <c r="K24" s="2340">
        <f t="shared" si="1"/>
        <v>0</v>
      </c>
      <c r="L24" s="1512">
        <f t="shared" si="2"/>
        <v>0</v>
      </c>
      <c r="M24" s="224"/>
      <c r="N24" s="1175">
        <v>0</v>
      </c>
      <c r="O24" s="1169">
        <v>0</v>
      </c>
      <c r="P24" s="1169">
        <v>0</v>
      </c>
      <c r="Q24" s="1629">
        <v>0</v>
      </c>
      <c r="R24" s="1176">
        <v>0</v>
      </c>
      <c r="S24" s="201"/>
    </row>
    <row r="25" spans="2:19" x14ac:dyDescent="0.3">
      <c r="B25" s="216"/>
      <c r="C25" s="2131"/>
      <c r="D25" s="990"/>
      <c r="E25" s="933"/>
      <c r="F25" s="1169">
        <v>0</v>
      </c>
      <c r="G25" s="2412">
        <v>0</v>
      </c>
      <c r="H25" s="1511">
        <f t="shared" si="0"/>
        <v>0</v>
      </c>
      <c r="I25" s="796"/>
      <c r="J25" s="796">
        <v>0</v>
      </c>
      <c r="K25" s="2340">
        <f t="shared" si="1"/>
        <v>0</v>
      </c>
      <c r="L25" s="1512">
        <f t="shared" si="2"/>
        <v>0</v>
      </c>
      <c r="M25" s="224"/>
      <c r="N25" s="1175">
        <v>0</v>
      </c>
      <c r="O25" s="1169">
        <v>0</v>
      </c>
      <c r="P25" s="1169">
        <v>0</v>
      </c>
      <c r="Q25" s="1629">
        <v>0</v>
      </c>
      <c r="R25" s="1176">
        <v>0</v>
      </c>
      <c r="S25" s="201"/>
    </row>
    <row r="26" spans="2:19" x14ac:dyDescent="0.3">
      <c r="B26" s="216"/>
      <c r="C26" s="994"/>
      <c r="D26" s="996"/>
      <c r="E26" s="977"/>
      <c r="F26" s="1170">
        <v>0</v>
      </c>
      <c r="G26" s="2413">
        <v>0</v>
      </c>
      <c r="H26" s="1513">
        <f t="shared" si="0"/>
        <v>0</v>
      </c>
      <c r="I26" s="1397"/>
      <c r="J26" s="1397">
        <v>0</v>
      </c>
      <c r="K26" s="2342">
        <f t="shared" si="1"/>
        <v>0</v>
      </c>
      <c r="L26" s="1515">
        <f t="shared" si="2"/>
        <v>0</v>
      </c>
      <c r="M26" s="224"/>
      <c r="N26" s="1177">
        <v>0</v>
      </c>
      <c r="O26" s="1170">
        <v>0</v>
      </c>
      <c r="P26" s="1170">
        <v>0</v>
      </c>
      <c r="Q26" s="1630">
        <v>0</v>
      </c>
      <c r="R26" s="1178">
        <v>0</v>
      </c>
      <c r="S26" s="201"/>
    </row>
    <row r="27" spans="2:19" x14ac:dyDescent="0.3">
      <c r="B27" s="216"/>
      <c r="C27" s="1516"/>
      <c r="D27" s="1517"/>
      <c r="E27" s="1518"/>
      <c r="F27" s="1519"/>
      <c r="G27" s="1520"/>
      <c r="H27" s="1394"/>
      <c r="I27" s="2851" t="s">
        <v>1127</v>
      </c>
      <c r="J27" s="2851"/>
      <c r="K27" s="2852"/>
      <c r="L27" s="1521">
        <f>SUMIF(D18:D26,"On Site",L18:L26)</f>
        <v>134660.5632</v>
      </c>
      <c r="M27" s="224"/>
      <c r="N27" s="1522"/>
      <c r="O27" s="1523"/>
      <c r="P27" s="1523"/>
      <c r="Q27" s="1631"/>
      <c r="R27" s="1524"/>
      <c r="S27" s="201"/>
    </row>
    <row r="28" spans="2:19" ht="15" thickBot="1" x14ac:dyDescent="0.35">
      <c r="B28" s="216"/>
      <c r="C28" s="1516"/>
      <c r="D28" s="1517"/>
      <c r="E28" s="1518"/>
      <c r="F28" s="1519"/>
      <c r="G28" s="1520"/>
      <c r="H28" s="1394"/>
      <c r="I28" s="2851" t="s">
        <v>1128</v>
      </c>
      <c r="J28" s="2851"/>
      <c r="K28" s="2852"/>
      <c r="L28" s="1525">
        <f>SUMIF(D18:D26,"Off Site",L18:L26)</f>
        <v>119967</v>
      </c>
      <c r="M28" s="224"/>
      <c r="N28" s="1522"/>
      <c r="O28" s="1523"/>
      <c r="P28" s="1523"/>
      <c r="Q28" s="1631"/>
      <c r="R28" s="1524"/>
      <c r="S28" s="201"/>
    </row>
    <row r="29" spans="2:19" ht="16.8" thickTop="1" thickBot="1" x14ac:dyDescent="0.35">
      <c r="B29" s="227"/>
      <c r="C29" s="2849" t="s">
        <v>343</v>
      </c>
      <c r="D29" s="2850"/>
      <c r="E29" s="2850"/>
      <c r="F29" s="2850"/>
      <c r="G29" s="2850"/>
      <c r="H29" s="1395"/>
      <c r="I29" s="1395"/>
      <c r="J29" s="1395"/>
      <c r="K29" s="1396"/>
      <c r="L29" s="1171">
        <f>SUM(L18:L26)</f>
        <v>254627.5632</v>
      </c>
      <c r="M29" s="229"/>
      <c r="N29" s="1179">
        <f>SUM(N18:N26)</f>
        <v>254627.5632</v>
      </c>
      <c r="O29" s="1180">
        <f>SUM(O18:O26)</f>
        <v>0</v>
      </c>
      <c r="P29" s="1180">
        <f>SUM(P18:P26)</f>
        <v>0</v>
      </c>
      <c r="Q29" s="1180">
        <f>SUM(Q18:Q26)</f>
        <v>0</v>
      </c>
      <c r="R29" s="1181">
        <f>SUM(R18:R26)</f>
        <v>0</v>
      </c>
      <c r="S29" s="201"/>
    </row>
    <row r="30" spans="2:19" ht="15" customHeight="1" x14ac:dyDescent="0.3">
      <c r="B30" s="227"/>
      <c r="C30" s="232"/>
      <c r="D30" s="232"/>
      <c r="E30" s="232"/>
      <c r="F30" s="232"/>
      <c r="G30" s="232"/>
      <c r="H30" s="235"/>
      <c r="I30" s="235"/>
      <c r="J30" s="235"/>
      <c r="K30" s="230"/>
      <c r="L30" s="1979" t="str">
        <f>IF(L29&gt;(SUM(N29:R29)),"WARNING - Costs Exceed Listed Funding",(IF(L29&lt;(SUM(N29:R29)),"Costs Are Covered By Listed Funding","")))</f>
        <v/>
      </c>
      <c r="M30" s="230"/>
      <c r="N30" s="2856" t="str">
        <f>IF(SUM(O29:R29)&lt;&gt;'8B - 4% Building'!F32,"WARNING - Total for non-Cash Flow sources does not match Total for Operating Subsidy on 8B","")</f>
        <v/>
      </c>
      <c r="O30" s="2856"/>
      <c r="P30" s="2856"/>
      <c r="Q30" s="2856"/>
      <c r="R30" s="2856"/>
      <c r="S30" s="201"/>
    </row>
    <row r="31" spans="2:19" ht="15" customHeight="1" thickBot="1" x14ac:dyDescent="0.35">
      <c r="B31" s="227"/>
      <c r="C31" s="232"/>
      <c r="D31" s="232"/>
      <c r="E31" s="232"/>
      <c r="F31" s="232"/>
      <c r="G31" s="232"/>
      <c r="H31" s="235"/>
      <c r="I31" s="235"/>
      <c r="J31" s="235"/>
      <c r="K31" s="230"/>
      <c r="L31" s="230"/>
      <c r="M31" s="230"/>
      <c r="N31" s="2857"/>
      <c r="O31" s="2857"/>
      <c r="P31" s="2857"/>
      <c r="Q31" s="2857"/>
      <c r="R31" s="2857"/>
      <c r="S31" s="201"/>
    </row>
    <row r="32" spans="2:19" ht="16.2" thickBot="1" x14ac:dyDescent="0.35">
      <c r="B32" s="216"/>
      <c r="C32" s="2841" t="s">
        <v>344</v>
      </c>
      <c r="D32" s="2842"/>
      <c r="E32" s="2842"/>
      <c r="F32" s="2842"/>
      <c r="G32" s="2842"/>
      <c r="H32" s="2842"/>
      <c r="I32" s="2842"/>
      <c r="J32" s="2842"/>
      <c r="K32" s="2842"/>
      <c r="L32" s="2855"/>
      <c r="M32" s="384"/>
      <c r="N32" s="2845" t="s">
        <v>347</v>
      </c>
      <c r="O32" s="2846"/>
      <c r="P32" s="2846"/>
      <c r="Q32" s="2847"/>
      <c r="R32" s="2848"/>
      <c r="S32" s="201"/>
    </row>
    <row r="33" spans="2:19" ht="83.4" thickBot="1" x14ac:dyDescent="0.35">
      <c r="B33" s="227"/>
      <c r="C33" s="2859" t="s">
        <v>345</v>
      </c>
      <c r="D33" s="2860"/>
      <c r="E33" s="1417" t="s">
        <v>338</v>
      </c>
      <c r="F33" s="1418" t="s">
        <v>339</v>
      </c>
      <c r="G33" s="1419" t="s">
        <v>340</v>
      </c>
      <c r="H33" s="1418" t="s">
        <v>341</v>
      </c>
      <c r="I33" s="1665" t="s">
        <v>1523</v>
      </c>
      <c r="J33" s="602" t="s">
        <v>1522</v>
      </c>
      <c r="K33" s="1419" t="s">
        <v>342</v>
      </c>
      <c r="L33" s="1420" t="s">
        <v>346</v>
      </c>
      <c r="M33" s="222"/>
      <c r="N33" s="695" t="s">
        <v>348</v>
      </c>
      <c r="O33" s="606" t="str">
        <f>IF('8B - 4% Building'!C37="","Enter Source Name on Form 8B",'8B - 4% Building'!C37)</f>
        <v>Enter Source Name on Form 8B</v>
      </c>
      <c r="P33" s="606" t="str">
        <f>IF('8B - 4% Building'!C38="","Enter Source Name on Form 8B",'8B - 4% Building'!C38)</f>
        <v>Enter Source Name on Form 8B</v>
      </c>
      <c r="Q33" s="1632" t="str">
        <f>IF('8B - 4% Building'!C39="","Enter Source Name on Form 8B",'8B - 4% Building'!C39)</f>
        <v>Enter Source Name on Form 8B</v>
      </c>
      <c r="R33" s="607" t="str">
        <f>IF('8B - 4% Building'!C40="","Enter Source Name on Form 8B",'8B - 4% Building'!C40)</f>
        <v>Enter Source Name on Form 8B</v>
      </c>
      <c r="S33" s="201"/>
    </row>
    <row r="34" spans="2:19" ht="15" customHeight="1" x14ac:dyDescent="0.3">
      <c r="B34" s="227"/>
      <c r="C34" s="2861" t="s">
        <v>1943</v>
      </c>
      <c r="D34" s="2862"/>
      <c r="E34" s="793" t="s">
        <v>1946</v>
      </c>
      <c r="F34" s="1167">
        <v>54500</v>
      </c>
      <c r="G34" s="2411">
        <v>0.34429999999999999</v>
      </c>
      <c r="H34" s="1509">
        <f t="shared" ref="H34:H42" si="3">F34*G34</f>
        <v>18764.349999999999</v>
      </c>
      <c r="I34" s="794" t="s">
        <v>1526</v>
      </c>
      <c r="J34" s="794">
        <v>0.39</v>
      </c>
      <c r="K34" s="2338">
        <f>H34*J34</f>
        <v>7318.0964999999997</v>
      </c>
      <c r="L34" s="1510">
        <f>H34+K34</f>
        <v>26082.446499999998</v>
      </c>
      <c r="M34" s="224"/>
      <c r="N34" s="1172">
        <f>L34</f>
        <v>26082.446499999998</v>
      </c>
      <c r="O34" s="1173">
        <v>0</v>
      </c>
      <c r="P34" s="1173">
        <v>0</v>
      </c>
      <c r="Q34" s="1628">
        <v>0</v>
      </c>
      <c r="R34" s="1174">
        <v>0</v>
      </c>
      <c r="S34" s="201"/>
    </row>
    <row r="35" spans="2:19" ht="15" customHeight="1" x14ac:dyDescent="0.3">
      <c r="B35" s="227"/>
      <c r="C35" s="2826" t="s">
        <v>1944</v>
      </c>
      <c r="D35" s="2827"/>
      <c r="E35" s="795" t="s">
        <v>1946</v>
      </c>
      <c r="F35" s="1168">
        <v>46000</v>
      </c>
      <c r="G35" s="2412">
        <f>G34</f>
        <v>0.34429999999999999</v>
      </c>
      <c r="H35" s="1511">
        <f t="shared" si="3"/>
        <v>15837.8</v>
      </c>
      <c r="I35" s="796" t="s">
        <v>1526</v>
      </c>
      <c r="J35" s="2339">
        <v>0.39</v>
      </c>
      <c r="K35" s="2340">
        <f>H35*J35</f>
        <v>6176.7420000000002</v>
      </c>
      <c r="L35" s="1512">
        <f>H35+K35</f>
        <v>22014.542000000001</v>
      </c>
      <c r="M35" s="224"/>
      <c r="N35" s="1175">
        <f>L35</f>
        <v>22014.542000000001</v>
      </c>
      <c r="O35" s="1169">
        <v>0</v>
      </c>
      <c r="P35" s="1169">
        <v>0</v>
      </c>
      <c r="Q35" s="1629">
        <v>0</v>
      </c>
      <c r="R35" s="1176">
        <v>0</v>
      </c>
      <c r="S35" s="201"/>
    </row>
    <row r="36" spans="2:19" ht="15" customHeight="1" x14ac:dyDescent="0.3">
      <c r="B36" s="227"/>
      <c r="C36" s="2826" t="s">
        <v>1945</v>
      </c>
      <c r="D36" s="2827"/>
      <c r="E36" s="795" t="s">
        <v>1946</v>
      </c>
      <c r="F36" s="1168">
        <v>54500</v>
      </c>
      <c r="G36" s="2412">
        <f>G35</f>
        <v>0.34429999999999999</v>
      </c>
      <c r="H36" s="1511">
        <f t="shared" si="3"/>
        <v>18764.349999999999</v>
      </c>
      <c r="I36" s="796" t="s">
        <v>1526</v>
      </c>
      <c r="J36" s="796">
        <v>0.39</v>
      </c>
      <c r="K36" s="2341">
        <f t="shared" ref="K36:K42" si="4">H36*J36</f>
        <v>7318.0964999999997</v>
      </c>
      <c r="L36" s="1512">
        <f t="shared" ref="L36:L42" si="5">H36+K36</f>
        <v>26082.446499999998</v>
      </c>
      <c r="M36" s="224"/>
      <c r="N36" s="1175">
        <f>L36</f>
        <v>26082.446499999998</v>
      </c>
      <c r="O36" s="1169">
        <v>0</v>
      </c>
      <c r="P36" s="1169">
        <v>0</v>
      </c>
      <c r="Q36" s="1629">
        <v>0</v>
      </c>
      <c r="R36" s="1176">
        <v>0</v>
      </c>
      <c r="S36" s="201"/>
    </row>
    <row r="37" spans="2:19" ht="15" customHeight="1" x14ac:dyDescent="0.3">
      <c r="B37" s="227"/>
      <c r="C37" s="2826"/>
      <c r="D37" s="2827"/>
      <c r="E37" s="795"/>
      <c r="F37" s="1168">
        <v>0</v>
      </c>
      <c r="G37" s="796">
        <v>0</v>
      </c>
      <c r="H37" s="1511">
        <f t="shared" si="3"/>
        <v>0</v>
      </c>
      <c r="I37" s="796"/>
      <c r="J37" s="796"/>
      <c r="K37" s="2340">
        <f t="shared" si="4"/>
        <v>0</v>
      </c>
      <c r="L37" s="1512">
        <f t="shared" si="5"/>
        <v>0</v>
      </c>
      <c r="M37" s="224"/>
      <c r="N37" s="1175">
        <v>0</v>
      </c>
      <c r="O37" s="1169">
        <v>0</v>
      </c>
      <c r="P37" s="1169">
        <v>0</v>
      </c>
      <c r="Q37" s="1629">
        <v>0</v>
      </c>
      <c r="R37" s="1176">
        <v>0</v>
      </c>
      <c r="S37" s="201"/>
    </row>
    <row r="38" spans="2:19" ht="15" customHeight="1" x14ac:dyDescent="0.3">
      <c r="B38" s="227"/>
      <c r="C38" s="2826"/>
      <c r="D38" s="2827"/>
      <c r="E38" s="795"/>
      <c r="F38" s="1168">
        <v>0</v>
      </c>
      <c r="G38" s="796">
        <v>0</v>
      </c>
      <c r="H38" s="1511">
        <f t="shared" si="3"/>
        <v>0</v>
      </c>
      <c r="I38" s="796"/>
      <c r="J38" s="796"/>
      <c r="K38" s="2340">
        <f t="shared" si="4"/>
        <v>0</v>
      </c>
      <c r="L38" s="1512">
        <f t="shared" si="5"/>
        <v>0</v>
      </c>
      <c r="M38" s="224"/>
      <c r="N38" s="1175">
        <v>0</v>
      </c>
      <c r="O38" s="1169">
        <v>0</v>
      </c>
      <c r="P38" s="1169">
        <v>0</v>
      </c>
      <c r="Q38" s="1629">
        <v>0</v>
      </c>
      <c r="R38" s="1176">
        <v>0</v>
      </c>
      <c r="S38" s="201"/>
    </row>
    <row r="39" spans="2:19" ht="15" customHeight="1" x14ac:dyDescent="0.3">
      <c r="B39" s="227"/>
      <c r="C39" s="2826"/>
      <c r="D39" s="2827"/>
      <c r="E39" s="795"/>
      <c r="F39" s="1169">
        <v>0</v>
      </c>
      <c r="G39" s="796">
        <v>0</v>
      </c>
      <c r="H39" s="1511">
        <f t="shared" si="3"/>
        <v>0</v>
      </c>
      <c r="I39" s="796"/>
      <c r="J39" s="796"/>
      <c r="K39" s="2340">
        <f t="shared" si="4"/>
        <v>0</v>
      </c>
      <c r="L39" s="1512">
        <f t="shared" si="5"/>
        <v>0</v>
      </c>
      <c r="M39" s="224"/>
      <c r="N39" s="1175">
        <v>0</v>
      </c>
      <c r="O39" s="1169">
        <v>0</v>
      </c>
      <c r="P39" s="1169">
        <v>0</v>
      </c>
      <c r="Q39" s="1629">
        <v>0</v>
      </c>
      <c r="R39" s="1176">
        <v>0</v>
      </c>
      <c r="S39" s="201"/>
    </row>
    <row r="40" spans="2:19" ht="15" customHeight="1" x14ac:dyDescent="0.3">
      <c r="B40" s="227"/>
      <c r="C40" s="2826"/>
      <c r="D40" s="2827"/>
      <c r="E40" s="795"/>
      <c r="F40" s="1169">
        <v>0</v>
      </c>
      <c r="G40" s="796">
        <v>0</v>
      </c>
      <c r="H40" s="1511">
        <f t="shared" si="3"/>
        <v>0</v>
      </c>
      <c r="I40" s="796"/>
      <c r="J40" s="796"/>
      <c r="K40" s="2340">
        <f t="shared" si="4"/>
        <v>0</v>
      </c>
      <c r="L40" s="1512">
        <f t="shared" si="5"/>
        <v>0</v>
      </c>
      <c r="M40" s="224"/>
      <c r="N40" s="1175">
        <v>0</v>
      </c>
      <c r="O40" s="1169">
        <v>0</v>
      </c>
      <c r="P40" s="1169">
        <v>0</v>
      </c>
      <c r="Q40" s="1629">
        <v>0</v>
      </c>
      <c r="R40" s="1176">
        <v>0</v>
      </c>
      <c r="S40" s="201"/>
    </row>
    <row r="41" spans="2:19" ht="15" customHeight="1" x14ac:dyDescent="0.3">
      <c r="B41" s="227"/>
      <c r="C41" s="2826"/>
      <c r="D41" s="2827"/>
      <c r="E41" s="795"/>
      <c r="F41" s="1169">
        <v>0</v>
      </c>
      <c r="G41" s="796">
        <v>0</v>
      </c>
      <c r="H41" s="1511">
        <f t="shared" si="3"/>
        <v>0</v>
      </c>
      <c r="I41" s="796"/>
      <c r="J41" s="796"/>
      <c r="K41" s="2340">
        <f t="shared" si="4"/>
        <v>0</v>
      </c>
      <c r="L41" s="1512">
        <f t="shared" si="5"/>
        <v>0</v>
      </c>
      <c r="M41" s="224"/>
      <c r="N41" s="1175">
        <v>0</v>
      </c>
      <c r="O41" s="1169">
        <v>0</v>
      </c>
      <c r="P41" s="1169">
        <v>0</v>
      </c>
      <c r="Q41" s="1629">
        <v>0</v>
      </c>
      <c r="R41" s="1176">
        <v>0</v>
      </c>
      <c r="S41" s="201"/>
    </row>
    <row r="42" spans="2:19" ht="15" customHeight="1" thickBot="1" x14ac:dyDescent="0.35">
      <c r="B42" s="227"/>
      <c r="C42" s="2834"/>
      <c r="D42" s="2835"/>
      <c r="E42" s="1627"/>
      <c r="F42" s="1190">
        <v>0</v>
      </c>
      <c r="G42" s="1397">
        <v>0</v>
      </c>
      <c r="H42" s="1514">
        <f t="shared" si="3"/>
        <v>0</v>
      </c>
      <c r="I42" s="1397"/>
      <c r="J42" s="1397"/>
      <c r="K42" s="2342">
        <f t="shared" si="4"/>
        <v>0</v>
      </c>
      <c r="L42" s="1515">
        <f t="shared" si="5"/>
        <v>0</v>
      </c>
      <c r="M42" s="224"/>
      <c r="N42" s="1177">
        <v>0</v>
      </c>
      <c r="O42" s="1170">
        <v>0</v>
      </c>
      <c r="P42" s="1170">
        <v>0</v>
      </c>
      <c r="Q42" s="1630">
        <v>0</v>
      </c>
      <c r="R42" s="1178">
        <v>0</v>
      </c>
      <c r="S42" s="201"/>
    </row>
    <row r="43" spans="2:19" ht="15" customHeight="1" thickTop="1" thickBot="1" x14ac:dyDescent="0.35">
      <c r="B43" s="227"/>
      <c r="C43" s="2853" t="s">
        <v>349</v>
      </c>
      <c r="D43" s="2854"/>
      <c r="E43" s="2854"/>
      <c r="F43" s="2854"/>
      <c r="G43" s="228"/>
      <c r="H43" s="228"/>
      <c r="I43" s="1395"/>
      <c r="J43" s="1395"/>
      <c r="K43" s="1396"/>
      <c r="L43" s="1171">
        <f>SUM(L34:L42)</f>
        <v>74179.434999999998</v>
      </c>
      <c r="M43" s="229"/>
      <c r="N43" s="1635">
        <f>SUM(N34:N42)</f>
        <v>74179.434999999998</v>
      </c>
      <c r="O43" s="1636">
        <f>SUM(O34:O42)</f>
        <v>0</v>
      </c>
      <c r="P43" s="1636">
        <f>SUM(P34:P42)</f>
        <v>0</v>
      </c>
      <c r="Q43" s="1636">
        <f>SUM(Q34:Q42)</f>
        <v>0</v>
      </c>
      <c r="R43" s="1637">
        <f>SUM(R34:R42)</f>
        <v>0</v>
      </c>
      <c r="S43" s="201"/>
    </row>
    <row r="44" spans="2:19" ht="15" customHeight="1" thickBot="1" x14ac:dyDescent="0.35">
      <c r="B44" s="227"/>
      <c r="C44" s="232"/>
      <c r="D44" s="232"/>
      <c r="E44" s="232"/>
      <c r="F44" s="232"/>
      <c r="G44" s="232"/>
      <c r="H44" s="235"/>
      <c r="I44" s="235"/>
      <c r="J44" s="235"/>
      <c r="K44" s="230"/>
      <c r="L44" s="230"/>
      <c r="M44" s="230"/>
      <c r="N44" s="2858"/>
      <c r="O44" s="2858"/>
      <c r="P44" s="2858"/>
      <c r="Q44" s="2858"/>
      <c r="R44" s="2858"/>
      <c r="S44" s="201"/>
    </row>
    <row r="45" spans="2:19" ht="37.200000000000003" thickBot="1" x14ac:dyDescent="0.35">
      <c r="B45" s="227"/>
      <c r="C45" s="2837" t="s">
        <v>1512</v>
      </c>
      <c r="D45" s="2838"/>
      <c r="E45" s="2838"/>
      <c r="F45" s="2838"/>
      <c r="G45" s="2838"/>
      <c r="H45" s="2838"/>
      <c r="I45" s="2838"/>
      <c r="J45" s="2838"/>
      <c r="K45" s="2838"/>
      <c r="L45" s="2839"/>
      <c r="M45" s="230"/>
      <c r="N45" s="696" t="s">
        <v>348</v>
      </c>
      <c r="O45" s="366" t="str">
        <f>O33</f>
        <v>Enter Source Name on Form 8B</v>
      </c>
      <c r="P45" s="366" t="str">
        <f>P33</f>
        <v>Enter Source Name on Form 8B</v>
      </c>
      <c r="Q45" s="366" t="str">
        <f>Q33</f>
        <v>Enter Source Name on Form 8B</v>
      </c>
      <c r="R45" s="367" t="str">
        <f>R33</f>
        <v>Enter Source Name on Form 8B</v>
      </c>
      <c r="S45" s="201"/>
    </row>
    <row r="46" spans="2:19" x14ac:dyDescent="0.3">
      <c r="B46" s="227"/>
      <c r="C46" s="384"/>
      <c r="D46" s="384"/>
      <c r="E46" s="384"/>
      <c r="F46" s="2830" t="s">
        <v>1132</v>
      </c>
      <c r="G46" s="2830"/>
      <c r="H46" s="2830"/>
      <c r="I46" s="1421"/>
      <c r="J46" s="1421"/>
      <c r="K46" s="1422"/>
      <c r="L46" s="1182">
        <v>0</v>
      </c>
      <c r="M46" s="233"/>
      <c r="N46" s="1185">
        <v>0</v>
      </c>
      <c r="O46" s="1173">
        <v>0</v>
      </c>
      <c r="P46" s="1173">
        <v>0</v>
      </c>
      <c r="Q46" s="1628">
        <v>0</v>
      </c>
      <c r="R46" s="1186">
        <v>0</v>
      </c>
      <c r="S46" s="201"/>
    </row>
    <row r="47" spans="2:19" x14ac:dyDescent="0.3">
      <c r="B47" s="227"/>
      <c r="C47" s="384"/>
      <c r="D47" s="384"/>
      <c r="E47" s="384"/>
      <c r="F47" s="1423" t="s">
        <v>350</v>
      </c>
      <c r="G47" s="1424"/>
      <c r="H47" s="1424"/>
      <c r="I47" s="1424"/>
      <c r="J47" s="1424"/>
      <c r="K47" s="1425"/>
      <c r="L47" s="1183">
        <v>0</v>
      </c>
      <c r="M47" s="233"/>
      <c r="N47" s="1187">
        <v>0</v>
      </c>
      <c r="O47" s="1169">
        <v>0</v>
      </c>
      <c r="P47" s="1169">
        <v>0</v>
      </c>
      <c r="Q47" s="1629">
        <v>0</v>
      </c>
      <c r="R47" s="1188">
        <v>0</v>
      </c>
      <c r="S47" s="201"/>
    </row>
    <row r="48" spans="2:19" ht="15.75" customHeight="1" x14ac:dyDescent="0.3">
      <c r="B48" s="227"/>
      <c r="C48" s="384"/>
      <c r="D48" s="384"/>
      <c r="E48" s="384"/>
      <c r="F48" s="2828" t="s">
        <v>1133</v>
      </c>
      <c r="G48" s="2828"/>
      <c r="H48" s="1424"/>
      <c r="I48" s="1424"/>
      <c r="J48" s="1424"/>
      <c r="K48" s="1425"/>
      <c r="L48" s="1183">
        <v>0</v>
      </c>
      <c r="M48" s="233"/>
      <c r="N48" s="1187">
        <v>0</v>
      </c>
      <c r="O48" s="1169">
        <v>0</v>
      </c>
      <c r="P48" s="1169">
        <v>0</v>
      </c>
      <c r="Q48" s="1629">
        <v>0</v>
      </c>
      <c r="R48" s="1188">
        <v>0</v>
      </c>
      <c r="S48" s="201"/>
    </row>
    <row r="49" spans="2:19" x14ac:dyDescent="0.3">
      <c r="B49" s="227"/>
      <c r="C49" s="384"/>
      <c r="D49" s="384"/>
      <c r="E49" s="384"/>
      <c r="F49" s="1423" t="s">
        <v>351</v>
      </c>
      <c r="G49" s="1424"/>
      <c r="H49" s="1424"/>
      <c r="I49" s="1424"/>
      <c r="J49" s="1424"/>
      <c r="K49" s="1425"/>
      <c r="L49" s="1183">
        <v>0</v>
      </c>
      <c r="M49" s="233"/>
      <c r="N49" s="1187">
        <v>0</v>
      </c>
      <c r="O49" s="1169">
        <v>0</v>
      </c>
      <c r="P49" s="1169">
        <v>0</v>
      </c>
      <c r="Q49" s="1629">
        <v>0</v>
      </c>
      <c r="R49" s="1188">
        <v>0</v>
      </c>
      <c r="S49" s="201"/>
    </row>
    <row r="50" spans="2:19" x14ac:dyDescent="0.3">
      <c r="B50" s="227"/>
      <c r="C50" s="384"/>
      <c r="D50" s="384"/>
      <c r="E50" s="384"/>
      <c r="F50" s="1423" t="s">
        <v>352</v>
      </c>
      <c r="G50" s="1424"/>
      <c r="H50" s="1424"/>
      <c r="I50" s="1424"/>
      <c r="J50" s="1424"/>
      <c r="K50" s="1425"/>
      <c r="L50" s="1183">
        <v>0</v>
      </c>
      <c r="M50" s="233"/>
      <c r="N50" s="1187">
        <v>0</v>
      </c>
      <c r="O50" s="1169">
        <v>0</v>
      </c>
      <c r="P50" s="1169">
        <v>0</v>
      </c>
      <c r="Q50" s="1629">
        <v>0</v>
      </c>
      <c r="R50" s="1188">
        <v>0</v>
      </c>
      <c r="S50" s="201"/>
    </row>
    <row r="51" spans="2:19" x14ac:dyDescent="0.3">
      <c r="B51" s="227"/>
      <c r="C51" s="384"/>
      <c r="D51" s="384"/>
      <c r="E51" s="384"/>
      <c r="F51" s="2132" t="s">
        <v>353</v>
      </c>
      <c r="G51" s="384"/>
      <c r="H51" s="384"/>
      <c r="I51" s="384"/>
      <c r="J51" s="384"/>
      <c r="K51" s="384"/>
      <c r="L51" s="1183">
        <v>0</v>
      </c>
      <c r="M51" s="233"/>
      <c r="N51" s="1187">
        <v>0</v>
      </c>
      <c r="O51" s="1169">
        <v>0</v>
      </c>
      <c r="P51" s="1169">
        <v>0</v>
      </c>
      <c r="Q51" s="1629">
        <v>0</v>
      </c>
      <c r="R51" s="1188">
        <v>0</v>
      </c>
      <c r="S51" s="201"/>
    </row>
    <row r="52" spans="2:19" x14ac:dyDescent="0.3">
      <c r="B52" s="227"/>
      <c r="C52" s="384"/>
      <c r="D52" s="384"/>
      <c r="E52" s="384"/>
      <c r="F52" s="2132" t="s">
        <v>422</v>
      </c>
      <c r="G52" s="2815"/>
      <c r="H52" s="2816"/>
      <c r="I52" s="2816"/>
      <c r="J52" s="2816"/>
      <c r="K52" s="2817"/>
      <c r="L52" s="1183">
        <v>0</v>
      </c>
      <c r="M52" s="233"/>
      <c r="N52" s="1187">
        <v>0</v>
      </c>
      <c r="O52" s="1169">
        <v>0</v>
      </c>
      <c r="P52" s="1169">
        <v>0</v>
      </c>
      <c r="Q52" s="1629">
        <v>0</v>
      </c>
      <c r="R52" s="1188">
        <v>0</v>
      </c>
      <c r="S52" s="201"/>
    </row>
    <row r="53" spans="2:19" x14ac:dyDescent="0.3">
      <c r="B53" s="227"/>
      <c r="C53" s="384"/>
      <c r="D53" s="384"/>
      <c r="E53" s="384"/>
      <c r="F53" s="2132" t="s">
        <v>422</v>
      </c>
      <c r="G53" s="2818"/>
      <c r="H53" s="2819"/>
      <c r="I53" s="2819"/>
      <c r="J53" s="2819"/>
      <c r="K53" s="2820"/>
      <c r="L53" s="1183">
        <v>0</v>
      </c>
      <c r="M53" s="233"/>
      <c r="N53" s="1187">
        <v>0</v>
      </c>
      <c r="O53" s="1169">
        <v>0</v>
      </c>
      <c r="P53" s="1169">
        <v>0</v>
      </c>
      <c r="Q53" s="1629">
        <v>0</v>
      </c>
      <c r="R53" s="1188">
        <v>0</v>
      </c>
      <c r="S53" s="201"/>
    </row>
    <row r="54" spans="2:19" x14ac:dyDescent="0.3">
      <c r="B54" s="227"/>
      <c r="C54" s="384"/>
      <c r="D54" s="384"/>
      <c r="E54" s="384"/>
      <c r="F54" s="2132" t="s">
        <v>422</v>
      </c>
      <c r="G54" s="2831"/>
      <c r="H54" s="2832"/>
      <c r="I54" s="2832"/>
      <c r="J54" s="2832"/>
      <c r="K54" s="2833"/>
      <c r="L54" s="1183">
        <v>0</v>
      </c>
      <c r="M54" s="233"/>
      <c r="N54" s="1187">
        <v>0</v>
      </c>
      <c r="O54" s="1169">
        <v>0</v>
      </c>
      <c r="P54" s="1169">
        <v>0</v>
      </c>
      <c r="Q54" s="1629">
        <v>0</v>
      </c>
      <c r="R54" s="1188">
        <v>0</v>
      </c>
      <c r="S54" s="201"/>
    </row>
    <row r="55" spans="2:19" ht="15" thickBot="1" x14ac:dyDescent="0.35">
      <c r="B55" s="227"/>
      <c r="C55" s="384"/>
      <c r="D55" s="384"/>
      <c r="E55" s="384"/>
      <c r="F55" s="2829" t="s">
        <v>1134</v>
      </c>
      <c r="G55" s="2829"/>
      <c r="H55" s="2829"/>
      <c r="I55" s="384"/>
      <c r="J55" s="384"/>
      <c r="K55" s="384"/>
      <c r="L55" s="1184">
        <v>0</v>
      </c>
      <c r="M55" s="233"/>
      <c r="N55" s="1189">
        <v>0</v>
      </c>
      <c r="O55" s="1190">
        <v>0</v>
      </c>
      <c r="P55" s="1190">
        <v>0</v>
      </c>
      <c r="Q55" s="1633">
        <v>0</v>
      </c>
      <c r="R55" s="1191">
        <v>0</v>
      </c>
      <c r="S55" s="201"/>
    </row>
    <row r="56" spans="2:19" ht="16.8" thickTop="1" thickBot="1" x14ac:dyDescent="0.35">
      <c r="B56" s="227"/>
      <c r="C56" s="231"/>
      <c r="D56" s="231"/>
      <c r="E56" s="232"/>
      <c r="F56" s="2823" t="s">
        <v>1513</v>
      </c>
      <c r="G56" s="2824"/>
      <c r="H56" s="2824"/>
      <c r="I56" s="2824"/>
      <c r="J56" s="2824"/>
      <c r="K56" s="2825"/>
      <c r="L56" s="1192">
        <f>(SUM(L46:L55))</f>
        <v>0</v>
      </c>
      <c r="M56" s="235"/>
      <c r="N56" s="1193">
        <f>(SUM(N46:N55))</f>
        <v>0</v>
      </c>
      <c r="O56" s="1194">
        <f>(SUM(O46:O55))</f>
        <v>0</v>
      </c>
      <c r="P56" s="1194">
        <f>(SUM(P46:P55))</f>
        <v>0</v>
      </c>
      <c r="Q56" s="1194">
        <f>(SUM(Q46:Q55))</f>
        <v>0</v>
      </c>
      <c r="R56" s="1195">
        <f>(SUM(R46:R55))</f>
        <v>0</v>
      </c>
      <c r="S56" s="201"/>
    </row>
    <row r="57" spans="2:19" ht="15.6" x14ac:dyDescent="0.3">
      <c r="B57" s="227"/>
      <c r="C57" s="231"/>
      <c r="D57" s="231"/>
      <c r="E57" s="232"/>
      <c r="F57" s="232"/>
      <c r="G57" s="360"/>
      <c r="H57" s="424"/>
      <c r="I57" s="424"/>
      <c r="J57" s="424"/>
      <c r="K57" s="236"/>
      <c r="L57" s="1979" t="str">
        <f>IF(L56&gt;(SUM(N56:R56)),"WARNING - non-personnel Costs Exceed Listed Funding",(IF(L56&lt;(SUM(N56:R56)),"non-personnel Costs Are Covered By Listed Funding","")))</f>
        <v/>
      </c>
      <c r="M57" s="993"/>
      <c r="N57" s="2821" t="str">
        <f>IF((ROUND(SUM(O56:R56),0))+(ROUND(SUM(O43:R43),0))&lt;&gt;(ROUND('8B - 4% Building'!F41,0)),"WARNING - Total for non-Cash Flow sources does not match Total for Services Subsidy on 8B","")</f>
        <v/>
      </c>
      <c r="O57" s="2821"/>
      <c r="P57" s="2821"/>
      <c r="Q57" s="2821"/>
      <c r="R57" s="2821"/>
      <c r="S57" s="201"/>
    </row>
    <row r="58" spans="2:19" ht="16.2" thickBot="1" x14ac:dyDescent="0.35">
      <c r="B58" s="216"/>
      <c r="C58" s="991" t="s">
        <v>505</v>
      </c>
      <c r="D58" s="991"/>
      <c r="E58" s="991"/>
      <c r="F58" s="991"/>
      <c r="G58" s="991"/>
      <c r="H58" s="991"/>
      <c r="I58" s="991"/>
      <c r="J58" s="1664"/>
      <c r="K58" s="991"/>
      <c r="L58" s="992"/>
      <c r="M58" s="991"/>
      <c r="N58" s="2822"/>
      <c r="O58" s="2822"/>
      <c r="P58" s="2822"/>
      <c r="Q58" s="2822"/>
      <c r="R58" s="2822"/>
      <c r="S58" s="201"/>
    </row>
    <row r="59" spans="2:19" x14ac:dyDescent="0.3">
      <c r="B59" s="216"/>
      <c r="C59" s="2805" t="s">
        <v>1947</v>
      </c>
      <c r="D59" s="2806"/>
      <c r="E59" s="2806"/>
      <c r="F59" s="2806"/>
      <c r="G59" s="2806"/>
      <c r="H59" s="2806"/>
      <c r="I59" s="2806"/>
      <c r="J59" s="2806"/>
      <c r="K59" s="2806"/>
      <c r="L59" s="2806"/>
      <c r="M59" s="2806"/>
      <c r="N59" s="2806"/>
      <c r="O59" s="2806"/>
      <c r="P59" s="2807"/>
      <c r="Q59" s="1957"/>
      <c r="R59" s="570"/>
      <c r="S59" s="201"/>
    </row>
    <row r="60" spans="2:19" x14ac:dyDescent="0.3">
      <c r="B60" s="216"/>
      <c r="C60" s="2808"/>
      <c r="D60" s="2809"/>
      <c r="E60" s="2809"/>
      <c r="F60" s="2809"/>
      <c r="G60" s="2809"/>
      <c r="H60" s="2809"/>
      <c r="I60" s="2809"/>
      <c r="J60" s="2809"/>
      <c r="K60" s="2809"/>
      <c r="L60" s="2809"/>
      <c r="M60" s="2809"/>
      <c r="N60" s="2809"/>
      <c r="O60" s="2809"/>
      <c r="P60" s="2810"/>
      <c r="Q60" s="1957"/>
      <c r="R60" s="570"/>
      <c r="S60" s="201"/>
    </row>
    <row r="61" spans="2:19" x14ac:dyDescent="0.3">
      <c r="B61" s="216"/>
      <c r="C61" s="2808"/>
      <c r="D61" s="2809"/>
      <c r="E61" s="2809"/>
      <c r="F61" s="2809"/>
      <c r="G61" s="2809"/>
      <c r="H61" s="2809"/>
      <c r="I61" s="2809"/>
      <c r="J61" s="2809"/>
      <c r="K61" s="2809"/>
      <c r="L61" s="2809"/>
      <c r="M61" s="2809"/>
      <c r="N61" s="2809"/>
      <c r="O61" s="2809"/>
      <c r="P61" s="2810"/>
      <c r="Q61" s="1957"/>
      <c r="R61" s="570"/>
      <c r="S61" s="201"/>
    </row>
    <row r="62" spans="2:19" x14ac:dyDescent="0.3">
      <c r="B62" s="216"/>
      <c r="C62" s="2808"/>
      <c r="D62" s="2809"/>
      <c r="E62" s="2809"/>
      <c r="F62" s="2809"/>
      <c r="G62" s="2809"/>
      <c r="H62" s="2809"/>
      <c r="I62" s="2809"/>
      <c r="J62" s="2809"/>
      <c r="K62" s="2809"/>
      <c r="L62" s="2809"/>
      <c r="M62" s="2809"/>
      <c r="N62" s="2809"/>
      <c r="O62" s="2809"/>
      <c r="P62" s="2810"/>
      <c r="Q62" s="1957"/>
      <c r="R62" s="570"/>
      <c r="S62" s="201"/>
    </row>
    <row r="63" spans="2:19" ht="15" thickBot="1" x14ac:dyDescent="0.35">
      <c r="B63" s="216"/>
      <c r="C63" s="2811"/>
      <c r="D63" s="2812"/>
      <c r="E63" s="2812"/>
      <c r="F63" s="2812"/>
      <c r="G63" s="2812"/>
      <c r="H63" s="2812"/>
      <c r="I63" s="2812"/>
      <c r="J63" s="2813"/>
      <c r="K63" s="2812"/>
      <c r="L63" s="2812"/>
      <c r="M63" s="2812"/>
      <c r="N63" s="2812"/>
      <c r="O63" s="2812"/>
      <c r="P63" s="2814"/>
      <c r="Q63" s="1957"/>
      <c r="R63" s="570"/>
      <c r="S63" s="201"/>
    </row>
    <row r="64" spans="2:19" ht="9" customHeight="1" thickBot="1" x14ac:dyDescent="0.35">
      <c r="B64" s="605"/>
      <c r="C64" s="206"/>
      <c r="D64" s="206"/>
      <c r="E64" s="608"/>
      <c r="F64" s="608"/>
      <c r="G64" s="609"/>
      <c r="H64" s="610"/>
      <c r="I64" s="610"/>
      <c r="J64" s="610"/>
      <c r="K64" s="611"/>
      <c r="L64" s="609"/>
      <c r="M64" s="609"/>
      <c r="N64" s="612"/>
      <c r="O64" s="608"/>
      <c r="P64" s="609"/>
      <c r="Q64" s="609"/>
      <c r="R64" s="206"/>
      <c r="S64" s="207"/>
    </row>
  </sheetData>
  <sheetProtection algorithmName="SHA-512" hashValue="YfokgSJgTVsDBVUP3JzHPjoSFzEWGZG9ET8ImCUr1C8KuLoalrm0qDCCQk+3lspbb7CoAC8buVhXSExijTV6rg==" saltValue="Y0qglu56xmCemES0bIH0/g==" spinCount="100000" sheet="1" formatCells="0" formatColumns="0" formatRows="0" insertRows="0"/>
  <mergeCells count="33">
    <mergeCell ref="C14:L14"/>
    <mergeCell ref="C45:L45"/>
    <mergeCell ref="C12:L12"/>
    <mergeCell ref="C10:R10"/>
    <mergeCell ref="C16:L16"/>
    <mergeCell ref="N16:R16"/>
    <mergeCell ref="C29:G29"/>
    <mergeCell ref="I27:K27"/>
    <mergeCell ref="I28:K28"/>
    <mergeCell ref="C43:F43"/>
    <mergeCell ref="N32:R32"/>
    <mergeCell ref="C32:L32"/>
    <mergeCell ref="N30:R31"/>
    <mergeCell ref="N44:R44"/>
    <mergeCell ref="C33:D33"/>
    <mergeCell ref="C34:D34"/>
    <mergeCell ref="C35:D35"/>
    <mergeCell ref="F48:G48"/>
    <mergeCell ref="F55:H55"/>
    <mergeCell ref="F46:H46"/>
    <mergeCell ref="G54:K54"/>
    <mergeCell ref="C41:D41"/>
    <mergeCell ref="C42:D42"/>
    <mergeCell ref="C36:D36"/>
    <mergeCell ref="C37:D37"/>
    <mergeCell ref="C38:D38"/>
    <mergeCell ref="C39:D39"/>
    <mergeCell ref="C40:D40"/>
    <mergeCell ref="C59:P63"/>
    <mergeCell ref="G52:K52"/>
    <mergeCell ref="G53:K53"/>
    <mergeCell ref="N57:R58"/>
    <mergeCell ref="F56:K56"/>
  </mergeCells>
  <conditionalFormatting sqref="K18:K26">
    <cfRule type="expression" dxfId="52" priority="9">
      <formula>$I18="Actual"</formula>
    </cfRule>
    <cfRule type="expression" dxfId="51" priority="13">
      <formula>$I18&lt;&gt;"Actual"</formula>
    </cfRule>
  </conditionalFormatting>
  <conditionalFormatting sqref="J18:J26">
    <cfRule type="expression" dxfId="50" priority="10">
      <formula>$I18="Actual"</formula>
    </cfRule>
    <cfRule type="expression" dxfId="49" priority="11">
      <formula>$I18&lt;&gt;"Percent"</formula>
    </cfRule>
  </conditionalFormatting>
  <conditionalFormatting sqref="K34:K42">
    <cfRule type="expression" dxfId="48" priority="5">
      <formula>$I34="Actual"</formula>
    </cfRule>
    <cfRule type="expression" dxfId="47" priority="8">
      <formula>$I34&lt;&gt;"Actual"</formula>
    </cfRule>
  </conditionalFormatting>
  <conditionalFormatting sqref="J34:J42">
    <cfRule type="expression" dxfId="46" priority="6">
      <formula>$I34="Actual"</formula>
    </cfRule>
    <cfRule type="expression" dxfId="45" priority="7">
      <formula>$I34&lt;&gt;"Percent"</formula>
    </cfRule>
  </conditionalFormatting>
  <conditionalFormatting sqref="L30">
    <cfRule type="expression" dxfId="44" priority="3">
      <formula>L30="Costs Are Covered By Listed Funding"</formula>
    </cfRule>
    <cfRule type="expression" dxfId="43" priority="4">
      <formula>L30="WARNING - Costs Exceed Listed Funding"</formula>
    </cfRule>
  </conditionalFormatting>
  <conditionalFormatting sqref="L57">
    <cfRule type="expression" dxfId="42" priority="1">
      <formula>L57="non-personnel Costs Are Covered By Listed Funding"</formula>
    </cfRule>
    <cfRule type="expression" dxfId="41" priority="2">
      <formula>L57="WARNING - non-personnel Costs Exceed Listed Funding"</formula>
    </cfRule>
  </conditionalFormatting>
  <dataValidations count="2">
    <dataValidation type="list" allowBlank="1" showInputMessage="1" showErrorMessage="1" sqref="D18:D26" xr:uid="{00000000-0002-0000-2100-000000000000}">
      <formula1>OnSite_OffSite</formula1>
    </dataValidation>
    <dataValidation type="list" allowBlank="1" showInputMessage="1" showErrorMessage="1" sqref="I18:I26 I34:I42" xr:uid="{00000000-0002-0000-2100-000001000000}">
      <formula1>Actual_or_Percent</formula1>
    </dataValidation>
  </dataValidations>
  <pageMargins left="1" right="0.25" top="0.75" bottom="0.75" header="0.3" footer="0.3"/>
  <pageSetup paperSize="17" scale="70" orientation="landscape" r:id="rId1"/>
  <headerFooter>
    <oddFooter>&amp;LForm 8C
Personnel (Services and Operating) and Non-Personnel Expenses&amp;CCFA Forms&amp;REdition: 2017
Version: 1.0</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2:AO144"/>
  <sheetViews>
    <sheetView showGridLines="0" topLeftCell="A30" zoomScaleNormal="100" workbookViewId="0">
      <selection activeCell="H47" sqref="H47"/>
    </sheetView>
  </sheetViews>
  <sheetFormatPr defaultColWidth="9.109375" defaultRowHeight="14.4" x14ac:dyDescent="0.3"/>
  <cols>
    <col min="1" max="2" width="1.6640625" style="400" customWidth="1"/>
    <col min="3" max="3" width="14.33203125" style="400" customWidth="1"/>
    <col min="4" max="4" width="9.109375" style="400" customWidth="1"/>
    <col min="5" max="5" width="1.44140625" style="400" customWidth="1"/>
    <col min="6" max="7" width="9.109375" style="400"/>
    <col min="8" max="8" width="11.88671875" style="400" customWidth="1"/>
    <col min="9" max="22" width="12.5546875" style="400" bestFit="1" customWidth="1"/>
    <col min="23" max="23" width="1.5546875" style="400" customWidth="1"/>
    <col min="24" max="25" width="9.109375" style="400"/>
    <col min="26" max="26" width="13" style="400" customWidth="1"/>
    <col min="27" max="27" width="13.88671875" style="400" customWidth="1"/>
    <col min="28" max="28" width="12.5546875" style="400" customWidth="1"/>
    <col min="29" max="29" width="12.33203125" style="400" customWidth="1"/>
    <col min="30" max="30" width="12" style="400" customWidth="1"/>
    <col min="31" max="31" width="13.5546875" style="400" customWidth="1"/>
    <col min="32" max="32" width="13.88671875" style="400" customWidth="1"/>
    <col min="33" max="34" width="12.33203125" style="400" customWidth="1"/>
    <col min="35" max="35" width="12" style="400" customWidth="1"/>
    <col min="36" max="36" width="11.44140625" style="400" customWidth="1"/>
    <col min="37" max="37" width="12.109375" style="400" customWidth="1"/>
    <col min="38" max="38" width="11.44140625" style="400" customWidth="1"/>
    <col min="39" max="39" width="11.88671875" style="400" customWidth="1"/>
    <col min="40" max="40" width="11.33203125" style="400" customWidth="1"/>
    <col min="41" max="41" width="10.88671875" style="400" customWidth="1"/>
    <col min="42" max="16384" width="9.109375" style="400"/>
  </cols>
  <sheetData>
    <row r="12" spans="2:23" ht="15" thickBot="1" x14ac:dyDescent="0.35"/>
    <row r="13" spans="2:23" ht="9" customHeight="1" x14ac:dyDescent="0.3">
      <c r="B13" s="255"/>
      <c r="C13" s="727"/>
      <c r="D13" s="727"/>
      <c r="E13" s="727"/>
      <c r="F13" s="727"/>
      <c r="G13" s="727"/>
      <c r="H13" s="727"/>
      <c r="I13" s="727"/>
      <c r="J13" s="727"/>
      <c r="K13" s="727"/>
      <c r="L13" s="727"/>
      <c r="M13" s="727"/>
      <c r="N13" s="727"/>
      <c r="O13" s="727"/>
      <c r="P13" s="727"/>
      <c r="Q13" s="727"/>
      <c r="R13" s="727"/>
      <c r="S13" s="727"/>
      <c r="T13" s="727"/>
      <c r="U13" s="727"/>
      <c r="V13" s="727"/>
      <c r="W13" s="256"/>
    </row>
    <row r="14" spans="2:23" ht="18" x14ac:dyDescent="0.35">
      <c r="B14" s="257"/>
      <c r="C14" s="2657" t="s">
        <v>1519</v>
      </c>
      <c r="D14" s="2657"/>
      <c r="E14" s="2657"/>
      <c r="F14" s="2657"/>
      <c r="G14" s="2657"/>
      <c r="H14" s="2657"/>
      <c r="I14" s="2657"/>
      <c r="J14" s="2657"/>
      <c r="K14" s="2657"/>
      <c r="L14" s="2657"/>
      <c r="M14" s="2657"/>
      <c r="N14" s="2657"/>
      <c r="O14" s="2657"/>
      <c r="P14" s="2657"/>
      <c r="Q14" s="2657"/>
      <c r="R14" s="2657"/>
      <c r="S14" s="2657"/>
      <c r="T14" s="2657"/>
      <c r="U14" s="2657"/>
      <c r="V14" s="2657"/>
      <c r="W14" s="259"/>
    </row>
    <row r="15" spans="2:23" ht="7.5" customHeight="1" x14ac:dyDescent="0.3">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 thickBot="1" x14ac:dyDescent="0.35">
      <c r="B16" s="257"/>
      <c r="C16" s="2646" t="str">
        <f>IF('1'!G5="","Enter Project Name on Form 1",(CONCATENATE("Project Name: ",'1'!G5)))</f>
        <v>Project Name: 6600 Roosevelt Way NE</v>
      </c>
      <c r="D16" s="2646"/>
      <c r="E16" s="2646"/>
      <c r="F16" s="2646"/>
      <c r="G16" s="2646"/>
      <c r="H16" s="2646"/>
      <c r="I16" s="2646"/>
      <c r="J16" s="2646"/>
      <c r="K16" s="2646"/>
      <c r="L16" s="2646"/>
      <c r="M16" s="2646"/>
      <c r="N16" s="493"/>
      <c r="O16" s="493"/>
      <c r="P16" s="493"/>
      <c r="Q16" s="493"/>
      <c r="R16" s="493"/>
      <c r="S16" s="493"/>
      <c r="T16" s="493"/>
      <c r="U16" s="493"/>
      <c r="V16" s="493"/>
      <c r="W16" s="259"/>
    </row>
    <row r="17" spans="2:23" ht="7.5" customHeight="1" x14ac:dyDescent="0.3">
      <c r="B17" s="257"/>
      <c r="C17" s="493"/>
      <c r="D17" s="493"/>
      <c r="E17" s="493"/>
      <c r="F17" s="493"/>
      <c r="G17" s="493"/>
      <c r="H17" s="424"/>
      <c r="I17" s="424"/>
      <c r="J17" s="424"/>
      <c r="K17" s="424"/>
      <c r="L17" s="493"/>
      <c r="M17" s="493"/>
      <c r="N17" s="493"/>
      <c r="O17" s="493"/>
      <c r="P17" s="493"/>
      <c r="Q17" s="493"/>
      <c r="R17" s="493"/>
      <c r="S17" s="493"/>
      <c r="T17" s="493"/>
      <c r="U17" s="493"/>
      <c r="V17" s="493"/>
      <c r="W17" s="259"/>
    </row>
    <row r="18" spans="2:23" ht="15" thickBot="1" x14ac:dyDescent="0.35">
      <c r="B18" s="257"/>
      <c r="C18" s="2557" t="str">
        <f>IF('1'!G29="","Enter Site Name/ID Number on Form 1",(CONCATENATE("Site Name/ID: ",'1'!G29)))</f>
        <v>Site Name/ID: Site A - 4% Building</v>
      </c>
      <c r="D18" s="2557"/>
      <c r="E18" s="2557"/>
      <c r="F18" s="2557"/>
      <c r="G18" s="2557"/>
      <c r="H18" s="2557"/>
      <c r="I18" s="2557"/>
      <c r="J18" s="2557"/>
      <c r="K18" s="2557"/>
      <c r="L18" s="2557"/>
      <c r="M18" s="2557"/>
      <c r="N18" s="493"/>
      <c r="O18" s="493"/>
      <c r="P18" s="493"/>
      <c r="Q18" s="493"/>
      <c r="R18" s="493"/>
      <c r="S18" s="493"/>
      <c r="T18" s="493"/>
      <c r="U18" s="493"/>
      <c r="V18" s="493"/>
      <c r="W18" s="259"/>
    </row>
    <row r="19" spans="2:23" ht="7.5" customHeight="1" x14ac:dyDescent="0.3">
      <c r="B19" s="257"/>
      <c r="C19" s="493"/>
      <c r="D19" s="493"/>
      <c r="E19" s="493"/>
      <c r="F19" s="493"/>
      <c r="G19" s="493"/>
      <c r="H19" s="424"/>
      <c r="I19" s="424"/>
      <c r="J19" s="424"/>
      <c r="K19" s="424"/>
      <c r="L19" s="493"/>
      <c r="M19" s="493"/>
      <c r="N19" s="493"/>
      <c r="O19" s="493"/>
      <c r="P19" s="493"/>
      <c r="Q19" s="493"/>
      <c r="R19" s="493"/>
      <c r="S19" s="493"/>
      <c r="T19" s="493"/>
      <c r="U19" s="493"/>
      <c r="V19" s="493"/>
      <c r="W19" s="259"/>
    </row>
    <row r="20" spans="2:23" x14ac:dyDescent="0.3">
      <c r="B20" s="260"/>
      <c r="C20" s="493" t="s">
        <v>354</v>
      </c>
      <c r="D20" s="728">
        <v>42987</v>
      </c>
      <c r="E20" s="258"/>
      <c r="F20" s="258"/>
      <c r="G20" s="258"/>
      <c r="H20" s="261"/>
      <c r="I20" s="261"/>
      <c r="J20" s="261"/>
      <c r="K20" s="261"/>
      <c r="L20" s="261"/>
      <c r="M20" s="262"/>
      <c r="N20" s="261"/>
      <c r="O20" s="261"/>
      <c r="P20" s="261"/>
      <c r="Q20" s="261"/>
      <c r="R20" s="261"/>
      <c r="S20" s="261"/>
      <c r="T20" s="261"/>
      <c r="U20" s="261"/>
      <c r="V20" s="261"/>
      <c r="W20" s="263"/>
    </row>
    <row r="21" spans="2:23" ht="7.5" customHeight="1" x14ac:dyDescent="0.3">
      <c r="B21" s="260"/>
      <c r="C21" s="264"/>
      <c r="D21" s="261"/>
      <c r="E21" s="258"/>
      <c r="F21" s="258"/>
      <c r="G21" s="258"/>
      <c r="H21" s="261"/>
      <c r="I21" s="261"/>
      <c r="J21" s="261"/>
      <c r="K21" s="261"/>
      <c r="L21" s="261"/>
      <c r="M21" s="262"/>
      <c r="N21" s="261"/>
      <c r="O21" s="261"/>
      <c r="P21" s="261"/>
      <c r="Q21" s="261"/>
      <c r="R21" s="261"/>
      <c r="S21" s="261"/>
      <c r="T21" s="261"/>
      <c r="U21" s="261"/>
      <c r="V21" s="261"/>
      <c r="W21" s="263"/>
    </row>
    <row r="22" spans="2:23" ht="15" thickBot="1" x14ac:dyDescent="0.35">
      <c r="B22" s="260"/>
      <c r="C22" s="293" t="s">
        <v>355</v>
      </c>
      <c r="D22" s="239"/>
      <c r="E22" s="238"/>
      <c r="F22" s="238"/>
      <c r="G22" s="238"/>
      <c r="H22" s="239"/>
      <c r="I22" s="239"/>
      <c r="J22" s="239"/>
      <c r="K22" s="239"/>
      <c r="L22" s="239"/>
      <c r="M22" s="240"/>
      <c r="N22" s="239"/>
      <c r="O22" s="239"/>
      <c r="P22" s="239"/>
      <c r="Q22" s="239"/>
      <c r="R22" s="239"/>
      <c r="S22" s="239"/>
      <c r="T22" s="239"/>
      <c r="U22" s="239"/>
      <c r="V22" s="239"/>
      <c r="W22" s="263"/>
    </row>
    <row r="23" spans="2:23" ht="15" thickBot="1" x14ac:dyDescent="0.35">
      <c r="B23" s="729"/>
      <c r="C23" s="424"/>
      <c r="D23" s="258"/>
      <c r="E23" s="424"/>
      <c r="F23" s="424"/>
      <c r="G23" s="424"/>
      <c r="H23" s="241" t="s">
        <v>356</v>
      </c>
      <c r="I23" s="730" t="s">
        <v>357</v>
      </c>
      <c r="J23" s="730" t="s">
        <v>358</v>
      </c>
      <c r="K23" s="730" t="s">
        <v>359</v>
      </c>
      <c r="L23" s="730" t="s">
        <v>360</v>
      </c>
      <c r="M23" s="730" t="s">
        <v>361</v>
      </c>
      <c r="N23" s="730" t="s">
        <v>362</v>
      </c>
      <c r="O23" s="730" t="s">
        <v>414</v>
      </c>
      <c r="P23" s="730" t="s">
        <v>415</v>
      </c>
      <c r="Q23" s="730" t="s">
        <v>416</v>
      </c>
      <c r="R23" s="730" t="s">
        <v>417</v>
      </c>
      <c r="S23" s="730" t="s">
        <v>418</v>
      </c>
      <c r="T23" s="730" t="s">
        <v>419</v>
      </c>
      <c r="U23" s="730" t="s">
        <v>420</v>
      </c>
      <c r="V23" s="731" t="s">
        <v>421</v>
      </c>
      <c r="W23" s="1527"/>
    </row>
    <row r="24" spans="2:23" ht="15" thickBot="1" x14ac:dyDescent="0.35">
      <c r="B24" s="729"/>
      <c r="C24" s="265" t="s">
        <v>363</v>
      </c>
      <c r="D24" s="424"/>
      <c r="E24" s="424"/>
      <c r="F24" s="384"/>
      <c r="G24" s="732" t="s">
        <v>364</v>
      </c>
      <c r="H24" s="733"/>
      <c r="I24" s="242"/>
      <c r="J24" s="242"/>
      <c r="K24" s="242"/>
      <c r="L24" s="242"/>
      <c r="M24" s="242"/>
      <c r="N24" s="242"/>
      <c r="O24" s="242"/>
      <c r="P24" s="242"/>
      <c r="Q24" s="242"/>
      <c r="R24" s="242"/>
      <c r="S24" s="242"/>
      <c r="T24" s="242"/>
      <c r="U24" s="242"/>
      <c r="V24" s="734"/>
      <c r="W24" s="1527"/>
    </row>
    <row r="25" spans="2:23" x14ac:dyDescent="0.3">
      <c r="B25" s="729"/>
      <c r="C25" s="266" t="s">
        <v>1508</v>
      </c>
      <c r="D25" s="613"/>
      <c r="E25" s="614"/>
      <c r="F25" s="1605"/>
      <c r="G25" s="789">
        <v>2.5000000000000001E-2</v>
      </c>
      <c r="H25" s="1054">
        <f>'8A'!M28</f>
        <v>2071476</v>
      </c>
      <c r="I25" s="1055">
        <f t="shared" ref="I25:V26" si="0">H25+(H25*$G25)</f>
        <v>2123262.9</v>
      </c>
      <c r="J25" s="1055">
        <f t="shared" si="0"/>
        <v>2176344.4724999997</v>
      </c>
      <c r="K25" s="1055">
        <f t="shared" si="0"/>
        <v>2230753.0843124995</v>
      </c>
      <c r="L25" s="1055">
        <f t="shared" si="0"/>
        <v>2286521.9114203118</v>
      </c>
      <c r="M25" s="1055">
        <f t="shared" si="0"/>
        <v>2343684.9592058198</v>
      </c>
      <c r="N25" s="1055">
        <f t="shared" si="0"/>
        <v>2402277.0831859652</v>
      </c>
      <c r="O25" s="1055">
        <f t="shared" si="0"/>
        <v>2462334.0102656144</v>
      </c>
      <c r="P25" s="1055">
        <f t="shared" si="0"/>
        <v>2523892.3605222548</v>
      </c>
      <c r="Q25" s="1055">
        <f t="shared" si="0"/>
        <v>2586989.6695353114</v>
      </c>
      <c r="R25" s="1055">
        <f t="shared" si="0"/>
        <v>2651664.4112736941</v>
      </c>
      <c r="S25" s="1055">
        <f t="shared" si="0"/>
        <v>2717956.0215555364</v>
      </c>
      <c r="T25" s="1055">
        <f t="shared" si="0"/>
        <v>2785904.9220944247</v>
      </c>
      <c r="U25" s="1055">
        <f t="shared" si="0"/>
        <v>2855552.5451467852</v>
      </c>
      <c r="V25" s="1056">
        <f t="shared" si="0"/>
        <v>2926941.358775455</v>
      </c>
      <c r="W25" s="1527"/>
    </row>
    <row r="26" spans="2:23" x14ac:dyDescent="0.3">
      <c r="B26" s="729"/>
      <c r="C26" s="2887" t="s">
        <v>1509</v>
      </c>
      <c r="D26" s="2887"/>
      <c r="E26" s="2887"/>
      <c r="F26" s="2888"/>
      <c r="G26" s="1645">
        <v>2.5000000000000001E-2</v>
      </c>
      <c r="H26" s="1057">
        <f>'8A'!N28</f>
        <v>0</v>
      </c>
      <c r="I26" s="1055">
        <f>H26+(H26*$G26)</f>
        <v>0</v>
      </c>
      <c r="J26" s="1055">
        <f t="shared" si="0"/>
        <v>0</v>
      </c>
      <c r="K26" s="1055">
        <f t="shared" si="0"/>
        <v>0</v>
      </c>
      <c r="L26" s="1055">
        <f t="shared" si="0"/>
        <v>0</v>
      </c>
      <c r="M26" s="1055">
        <f t="shared" si="0"/>
        <v>0</v>
      </c>
      <c r="N26" s="1055">
        <f t="shared" si="0"/>
        <v>0</v>
      </c>
      <c r="O26" s="1055">
        <f t="shared" si="0"/>
        <v>0</v>
      </c>
      <c r="P26" s="1055">
        <f t="shared" si="0"/>
        <v>0</v>
      </c>
      <c r="Q26" s="1055">
        <f t="shared" si="0"/>
        <v>0</v>
      </c>
      <c r="R26" s="1055">
        <f t="shared" si="0"/>
        <v>0</v>
      </c>
      <c r="S26" s="1055">
        <f t="shared" si="0"/>
        <v>0</v>
      </c>
      <c r="T26" s="1055">
        <f t="shared" si="0"/>
        <v>0</v>
      </c>
      <c r="U26" s="1055">
        <f t="shared" si="0"/>
        <v>0</v>
      </c>
      <c r="V26" s="1056">
        <f t="shared" si="0"/>
        <v>0</v>
      </c>
      <c r="W26" s="1527"/>
    </row>
    <row r="27" spans="2:23" ht="15" thickBot="1" x14ac:dyDescent="0.35">
      <c r="B27" s="729"/>
      <c r="C27" s="2889" t="s">
        <v>1510</v>
      </c>
      <c r="D27" s="2889"/>
      <c r="E27" s="2889"/>
      <c r="F27" s="2890"/>
      <c r="G27" s="792">
        <v>2.5000000000000001E-2</v>
      </c>
      <c r="H27" s="1057">
        <f>'8B - 4% Building'!F23</f>
        <v>0</v>
      </c>
      <c r="I27" s="1058">
        <f>H27+(H27*$G27)</f>
        <v>0</v>
      </c>
      <c r="J27" s="1058">
        <f t="shared" ref="J27:V27" si="1">I27+(I27*$G27)</f>
        <v>0</v>
      </c>
      <c r="K27" s="1058">
        <f t="shared" si="1"/>
        <v>0</v>
      </c>
      <c r="L27" s="1058">
        <f t="shared" si="1"/>
        <v>0</v>
      </c>
      <c r="M27" s="1058">
        <f t="shared" si="1"/>
        <v>0</v>
      </c>
      <c r="N27" s="1058">
        <f t="shared" si="1"/>
        <v>0</v>
      </c>
      <c r="O27" s="1058">
        <f t="shared" si="1"/>
        <v>0</v>
      </c>
      <c r="P27" s="1058">
        <f t="shared" si="1"/>
        <v>0</v>
      </c>
      <c r="Q27" s="1058">
        <f t="shared" si="1"/>
        <v>0</v>
      </c>
      <c r="R27" s="1058">
        <f t="shared" si="1"/>
        <v>0</v>
      </c>
      <c r="S27" s="1058">
        <f t="shared" si="1"/>
        <v>0</v>
      </c>
      <c r="T27" s="1058">
        <f t="shared" si="1"/>
        <v>0</v>
      </c>
      <c r="U27" s="1058">
        <f t="shared" si="1"/>
        <v>0</v>
      </c>
      <c r="V27" s="1059">
        <f t="shared" si="1"/>
        <v>0</v>
      </c>
      <c r="W27" s="1527"/>
    </row>
    <row r="28" spans="2:23" x14ac:dyDescent="0.3">
      <c r="B28" s="729"/>
      <c r="C28" s="1646" t="s">
        <v>1514</v>
      </c>
      <c r="D28" s="1647"/>
      <c r="E28" s="782"/>
      <c r="F28" s="919"/>
      <c r="G28" s="1528"/>
      <c r="H28" s="1060">
        <f>'8B - 4% Building'!F32</f>
        <v>0</v>
      </c>
      <c r="I28" s="1061">
        <v>0</v>
      </c>
      <c r="J28" s="1061">
        <v>0</v>
      </c>
      <c r="K28" s="1061">
        <v>0</v>
      </c>
      <c r="L28" s="1061">
        <v>0</v>
      </c>
      <c r="M28" s="1061">
        <v>0</v>
      </c>
      <c r="N28" s="1061">
        <v>0</v>
      </c>
      <c r="O28" s="1061">
        <v>0</v>
      </c>
      <c r="P28" s="1061">
        <v>0</v>
      </c>
      <c r="Q28" s="1061">
        <v>0</v>
      </c>
      <c r="R28" s="1061">
        <v>0</v>
      </c>
      <c r="S28" s="1061">
        <v>0</v>
      </c>
      <c r="T28" s="1061">
        <v>0</v>
      </c>
      <c r="U28" s="1061">
        <v>0</v>
      </c>
      <c r="V28" s="1062">
        <v>0</v>
      </c>
      <c r="W28" s="1527"/>
    </row>
    <row r="29" spans="2:23" ht="15" thickBot="1" x14ac:dyDescent="0.35">
      <c r="B29" s="729"/>
      <c r="C29" s="267" t="s">
        <v>592</v>
      </c>
      <c r="D29" s="267"/>
      <c r="E29" s="424"/>
      <c r="F29" s="781"/>
      <c r="G29" s="1529"/>
      <c r="H29" s="788"/>
      <c r="I29" s="1530"/>
      <c r="J29" s="1530"/>
      <c r="K29" s="1530"/>
      <c r="L29" s="1530"/>
      <c r="M29" s="1530"/>
      <c r="N29" s="1530"/>
      <c r="O29" s="1530"/>
      <c r="P29" s="1530"/>
      <c r="Q29" s="1530"/>
      <c r="R29" s="1530"/>
      <c r="S29" s="1530"/>
      <c r="T29" s="1530"/>
      <c r="U29" s="1530"/>
      <c r="V29" s="1531"/>
      <c r="W29" s="1527"/>
    </row>
    <row r="30" spans="2:23" x14ac:dyDescent="0.3">
      <c r="B30" s="729"/>
      <c r="C30" s="2883" t="s">
        <v>1940</v>
      </c>
      <c r="D30" s="2883"/>
      <c r="E30" s="2883"/>
      <c r="F30" s="2884"/>
      <c r="G30" s="789">
        <v>2.5000000000000001E-2</v>
      </c>
      <c r="H30" s="1063">
        <v>20750</v>
      </c>
      <c r="I30" s="1064">
        <f t="shared" ref="I30:V30" si="2">H30+(H30*$G30)</f>
        <v>21268.75</v>
      </c>
      <c r="J30" s="1064">
        <f t="shared" si="2"/>
        <v>21800.46875</v>
      </c>
      <c r="K30" s="1064">
        <f t="shared" si="2"/>
        <v>22345.48046875</v>
      </c>
      <c r="L30" s="1064">
        <f t="shared" si="2"/>
        <v>22904.117480468751</v>
      </c>
      <c r="M30" s="1064">
        <f>L30+(L30*$G30)</f>
        <v>23476.720417480468</v>
      </c>
      <c r="N30" s="1064">
        <f t="shared" si="2"/>
        <v>24063.638427917482</v>
      </c>
      <c r="O30" s="1064">
        <f t="shared" si="2"/>
        <v>24665.229388615418</v>
      </c>
      <c r="P30" s="1064">
        <f t="shared" si="2"/>
        <v>25281.860123330804</v>
      </c>
      <c r="Q30" s="1064">
        <f t="shared" si="2"/>
        <v>25913.906626414075</v>
      </c>
      <c r="R30" s="1064">
        <f t="shared" si="2"/>
        <v>26561.754292074427</v>
      </c>
      <c r="S30" s="1064">
        <f t="shared" si="2"/>
        <v>27225.798149376289</v>
      </c>
      <c r="T30" s="1064">
        <f t="shared" si="2"/>
        <v>27906.443103110698</v>
      </c>
      <c r="U30" s="1064">
        <f t="shared" si="2"/>
        <v>28604.104180688464</v>
      </c>
      <c r="V30" s="1065">
        <f t="shared" si="2"/>
        <v>29319.206785205675</v>
      </c>
      <c r="W30" s="1527"/>
    </row>
    <row r="31" spans="2:23" ht="15" thickBot="1" x14ac:dyDescent="0.35">
      <c r="B31" s="729"/>
      <c r="C31" s="2885" t="s">
        <v>1941</v>
      </c>
      <c r="D31" s="2885"/>
      <c r="E31" s="2885"/>
      <c r="F31" s="2886"/>
      <c r="G31" s="792">
        <v>2.5000000000000001E-2</v>
      </c>
      <c r="H31" s="1066">
        <v>12450</v>
      </c>
      <c r="I31" s="1067">
        <f t="shared" ref="I31:V31" si="3">H31+(H31*$G31)</f>
        <v>12761.25</v>
      </c>
      <c r="J31" s="1067">
        <f t="shared" si="3"/>
        <v>13080.28125</v>
      </c>
      <c r="K31" s="1067">
        <f t="shared" si="3"/>
        <v>13407.288281249999</v>
      </c>
      <c r="L31" s="1067">
        <f t="shared" si="3"/>
        <v>13742.470488281249</v>
      </c>
      <c r="M31" s="1067">
        <f t="shared" si="3"/>
        <v>14086.032250488281</v>
      </c>
      <c r="N31" s="1067">
        <f t="shared" si="3"/>
        <v>14438.183056750488</v>
      </c>
      <c r="O31" s="1067">
        <f t="shared" si="3"/>
        <v>14799.13763316925</v>
      </c>
      <c r="P31" s="1067">
        <f t="shared" si="3"/>
        <v>15169.116073998481</v>
      </c>
      <c r="Q31" s="1067">
        <f t="shared" si="3"/>
        <v>15548.343975848442</v>
      </c>
      <c r="R31" s="1067">
        <f t="shared" si="3"/>
        <v>15937.052575244654</v>
      </c>
      <c r="S31" s="1067">
        <f t="shared" si="3"/>
        <v>16335.478889625771</v>
      </c>
      <c r="T31" s="1067">
        <f t="shared" si="3"/>
        <v>16743.865861866416</v>
      </c>
      <c r="U31" s="1067">
        <f t="shared" si="3"/>
        <v>17162.462508413075</v>
      </c>
      <c r="V31" s="1068">
        <f t="shared" si="3"/>
        <v>17591.5240711234</v>
      </c>
      <c r="W31" s="1527"/>
    </row>
    <row r="32" spans="2:23" x14ac:dyDescent="0.3">
      <c r="B32" s="729"/>
      <c r="C32" s="267" t="s">
        <v>365</v>
      </c>
      <c r="D32" s="424"/>
      <c r="E32" s="424"/>
      <c r="F32" s="424"/>
      <c r="G32" s="268" t="s">
        <v>366</v>
      </c>
      <c r="H32" s="1069">
        <f>SUM(H25:H31)</f>
        <v>2104676</v>
      </c>
      <c r="I32" s="1070">
        <f t="shared" ref="I32:N32" si="4">SUM(I25:I31)</f>
        <v>2157292.9</v>
      </c>
      <c r="J32" s="1070">
        <f t="shared" si="4"/>
        <v>2211225.2224999997</v>
      </c>
      <c r="K32" s="1070">
        <f t="shared" si="4"/>
        <v>2266505.8530624993</v>
      </c>
      <c r="L32" s="1070">
        <f t="shared" si="4"/>
        <v>2323168.4993890622</v>
      </c>
      <c r="M32" s="1070">
        <f t="shared" si="4"/>
        <v>2381247.7118737884</v>
      </c>
      <c r="N32" s="1070">
        <f t="shared" si="4"/>
        <v>2440778.9046706329</v>
      </c>
      <c r="O32" s="1070">
        <f t="shared" ref="O32:V32" si="5">SUM(O25:O31)</f>
        <v>2501798.377287399</v>
      </c>
      <c r="P32" s="1070">
        <f t="shared" si="5"/>
        <v>2564343.3367195842</v>
      </c>
      <c r="Q32" s="1070">
        <f t="shared" si="5"/>
        <v>2628451.920137574</v>
      </c>
      <c r="R32" s="1070">
        <f t="shared" si="5"/>
        <v>2694163.2181410133</v>
      </c>
      <c r="S32" s="1070">
        <f t="shared" si="5"/>
        <v>2761517.2985945386</v>
      </c>
      <c r="T32" s="1070">
        <f t="shared" si="5"/>
        <v>2830555.2310594022</v>
      </c>
      <c r="U32" s="1070">
        <f t="shared" si="5"/>
        <v>2901319.1118358867</v>
      </c>
      <c r="V32" s="1071">
        <f t="shared" si="5"/>
        <v>2973852.0896317842</v>
      </c>
      <c r="W32" s="1527"/>
    </row>
    <row r="33" spans="2:23" ht="15" thickBot="1" x14ac:dyDescent="0.35">
      <c r="B33" s="729"/>
      <c r="C33" s="270" t="s">
        <v>368</v>
      </c>
      <c r="D33" s="271"/>
      <c r="E33" s="616"/>
      <c r="F33" s="617"/>
      <c r="G33" s="618"/>
      <c r="H33" s="1072">
        <v>0</v>
      </c>
      <c r="I33" s="1073">
        <v>0</v>
      </c>
      <c r="J33" s="1073">
        <v>0</v>
      </c>
      <c r="K33" s="1073">
        <v>0</v>
      </c>
      <c r="L33" s="1073">
        <v>0</v>
      </c>
      <c r="M33" s="1073">
        <v>0</v>
      </c>
      <c r="N33" s="1073">
        <v>0</v>
      </c>
      <c r="O33" s="1073">
        <v>0</v>
      </c>
      <c r="P33" s="1073">
        <v>0</v>
      </c>
      <c r="Q33" s="1073">
        <v>0</v>
      </c>
      <c r="R33" s="1073">
        <v>0</v>
      </c>
      <c r="S33" s="1073">
        <v>0</v>
      </c>
      <c r="T33" s="1073">
        <v>0</v>
      </c>
      <c r="U33" s="1073">
        <v>0</v>
      </c>
      <c r="V33" s="1074">
        <v>0</v>
      </c>
      <c r="W33" s="1527"/>
    </row>
    <row r="34" spans="2:23" ht="15" thickTop="1" x14ac:dyDescent="0.3">
      <c r="B34" s="729"/>
      <c r="C34" s="265" t="s">
        <v>369</v>
      </c>
      <c r="D34" s="424"/>
      <c r="E34" s="424"/>
      <c r="F34" s="424"/>
      <c r="G34" s="269" t="s">
        <v>366</v>
      </c>
      <c r="H34" s="1075">
        <f>H32+H33</f>
        <v>2104676</v>
      </c>
      <c r="I34" s="1076">
        <f t="shared" ref="I34:V34" si="6">I32+I33</f>
        <v>2157292.9</v>
      </c>
      <c r="J34" s="1076">
        <f t="shared" si="6"/>
        <v>2211225.2224999997</v>
      </c>
      <c r="K34" s="1076">
        <f t="shared" si="6"/>
        <v>2266505.8530624993</v>
      </c>
      <c r="L34" s="1076">
        <f t="shared" si="6"/>
        <v>2323168.4993890622</v>
      </c>
      <c r="M34" s="1076">
        <f t="shared" si="6"/>
        <v>2381247.7118737884</v>
      </c>
      <c r="N34" s="1076">
        <f t="shared" si="6"/>
        <v>2440778.9046706329</v>
      </c>
      <c r="O34" s="1076">
        <f t="shared" si="6"/>
        <v>2501798.377287399</v>
      </c>
      <c r="P34" s="1076">
        <f t="shared" si="6"/>
        <v>2564343.3367195842</v>
      </c>
      <c r="Q34" s="1076">
        <f t="shared" si="6"/>
        <v>2628451.920137574</v>
      </c>
      <c r="R34" s="1076">
        <f t="shared" si="6"/>
        <v>2694163.2181410133</v>
      </c>
      <c r="S34" s="1076">
        <f t="shared" si="6"/>
        <v>2761517.2985945386</v>
      </c>
      <c r="T34" s="1076">
        <f t="shared" si="6"/>
        <v>2830555.2310594022</v>
      </c>
      <c r="U34" s="1076">
        <f t="shared" si="6"/>
        <v>2901319.1118358867</v>
      </c>
      <c r="V34" s="1077">
        <f t="shared" si="6"/>
        <v>2973852.0896317842</v>
      </c>
      <c r="W34" s="1527"/>
    </row>
    <row r="35" spans="2:23" ht="15" thickBot="1" x14ac:dyDescent="0.35">
      <c r="B35" s="729"/>
      <c r="C35" s="265"/>
      <c r="D35" s="424"/>
      <c r="E35" s="424"/>
      <c r="F35" s="384"/>
      <c r="G35" s="272" t="s">
        <v>370</v>
      </c>
      <c r="H35" s="243"/>
      <c r="I35" s="244"/>
      <c r="J35" s="244"/>
      <c r="K35" s="244"/>
      <c r="L35" s="244"/>
      <c r="M35" s="244"/>
      <c r="N35" s="244"/>
      <c r="O35" s="244"/>
      <c r="P35" s="244"/>
      <c r="Q35" s="244"/>
      <c r="R35" s="244"/>
      <c r="S35" s="244"/>
      <c r="T35" s="244"/>
      <c r="U35" s="244"/>
      <c r="V35" s="254"/>
      <c r="W35" s="1527"/>
    </row>
    <row r="36" spans="2:23" x14ac:dyDescent="0.3">
      <c r="B36" s="729"/>
      <c r="C36" s="273" t="s">
        <v>371</v>
      </c>
      <c r="D36" s="613"/>
      <c r="E36" s="613"/>
      <c r="F36" s="1532"/>
      <c r="G36" s="2138">
        <v>0.05</v>
      </c>
      <c r="H36" s="1078">
        <f t="shared" ref="H36:V36" si="7">-H32*$G36</f>
        <v>-105233.8</v>
      </c>
      <c r="I36" s="1079">
        <f t="shared" si="7"/>
        <v>-107864.645</v>
      </c>
      <c r="J36" s="1079">
        <f t="shared" si="7"/>
        <v>-110561.26112499999</v>
      </c>
      <c r="K36" s="1079">
        <f t="shared" si="7"/>
        <v>-113325.29265312497</v>
      </c>
      <c r="L36" s="1079">
        <f t="shared" si="7"/>
        <v>-116158.42496945312</v>
      </c>
      <c r="M36" s="1079">
        <f t="shared" si="7"/>
        <v>-119062.38559368943</v>
      </c>
      <c r="N36" s="1079">
        <f t="shared" si="7"/>
        <v>-122038.94523353165</v>
      </c>
      <c r="O36" s="1079">
        <f t="shared" si="7"/>
        <v>-125089.91886436996</v>
      </c>
      <c r="P36" s="1079">
        <f t="shared" si="7"/>
        <v>-128217.16683597921</v>
      </c>
      <c r="Q36" s="1079">
        <f t="shared" si="7"/>
        <v>-131422.59600687871</v>
      </c>
      <c r="R36" s="1079">
        <f t="shared" si="7"/>
        <v>-134708.16090705068</v>
      </c>
      <c r="S36" s="1079">
        <f t="shared" si="7"/>
        <v>-138075.86492972693</v>
      </c>
      <c r="T36" s="1079">
        <f t="shared" si="7"/>
        <v>-141527.76155297013</v>
      </c>
      <c r="U36" s="1079">
        <f t="shared" si="7"/>
        <v>-145065.95559179434</v>
      </c>
      <c r="V36" s="1080">
        <f t="shared" si="7"/>
        <v>-148692.60448158922</v>
      </c>
      <c r="W36" s="1527"/>
    </row>
    <row r="37" spans="2:23" ht="15" thickBot="1" x14ac:dyDescent="0.35">
      <c r="B37" s="729"/>
      <c r="C37" s="274" t="s">
        <v>372</v>
      </c>
      <c r="D37" s="616"/>
      <c r="E37" s="616"/>
      <c r="F37" s="1533"/>
      <c r="G37" s="2156">
        <v>0.1</v>
      </c>
      <c r="H37" s="1081">
        <f t="shared" ref="H37:V37" si="8">-H33*$G37</f>
        <v>0</v>
      </c>
      <c r="I37" s="1082">
        <f t="shared" si="8"/>
        <v>0</v>
      </c>
      <c r="J37" s="1082">
        <f t="shared" si="8"/>
        <v>0</v>
      </c>
      <c r="K37" s="1082">
        <f t="shared" si="8"/>
        <v>0</v>
      </c>
      <c r="L37" s="1082">
        <f t="shared" si="8"/>
        <v>0</v>
      </c>
      <c r="M37" s="1082">
        <f t="shared" si="8"/>
        <v>0</v>
      </c>
      <c r="N37" s="1082">
        <f t="shared" si="8"/>
        <v>0</v>
      </c>
      <c r="O37" s="1082">
        <f t="shared" si="8"/>
        <v>0</v>
      </c>
      <c r="P37" s="1082">
        <f t="shared" si="8"/>
        <v>0</v>
      </c>
      <c r="Q37" s="1082">
        <f t="shared" si="8"/>
        <v>0</v>
      </c>
      <c r="R37" s="1082">
        <f t="shared" si="8"/>
        <v>0</v>
      </c>
      <c r="S37" s="1082">
        <f t="shared" si="8"/>
        <v>0</v>
      </c>
      <c r="T37" s="1082">
        <f t="shared" si="8"/>
        <v>0</v>
      </c>
      <c r="U37" s="1082">
        <f t="shared" si="8"/>
        <v>0</v>
      </c>
      <c r="V37" s="1083">
        <f t="shared" si="8"/>
        <v>0</v>
      </c>
      <c r="W37" s="1527"/>
    </row>
    <row r="38" spans="2:23" ht="15.6" thickTop="1" thickBot="1" x14ac:dyDescent="0.35">
      <c r="B38" s="729"/>
      <c r="C38" s="275" t="s">
        <v>373</v>
      </c>
      <c r="D38" s="424"/>
      <c r="E38" s="424"/>
      <c r="F38" s="424"/>
      <c r="G38" s="268" t="s">
        <v>366</v>
      </c>
      <c r="H38" s="1084">
        <f>H34+H36+H37</f>
        <v>1999442.2</v>
      </c>
      <c r="I38" s="1085">
        <f t="shared" ref="I38:N38" si="9">I34+I36+I37</f>
        <v>2049428.2549999999</v>
      </c>
      <c r="J38" s="1085">
        <f t="shared" si="9"/>
        <v>2100663.9613749995</v>
      </c>
      <c r="K38" s="1085">
        <f t="shared" si="9"/>
        <v>2153180.5604093745</v>
      </c>
      <c r="L38" s="1085">
        <f t="shared" si="9"/>
        <v>2207010.0744196093</v>
      </c>
      <c r="M38" s="1085">
        <f t="shared" si="9"/>
        <v>2262185.3262800989</v>
      </c>
      <c r="N38" s="1085">
        <f t="shared" si="9"/>
        <v>2318739.9594371011</v>
      </c>
      <c r="O38" s="1085">
        <f t="shared" ref="O38:V38" si="10">O34+O36+O37</f>
        <v>2376708.4584230292</v>
      </c>
      <c r="P38" s="1085">
        <f t="shared" si="10"/>
        <v>2436126.1698836051</v>
      </c>
      <c r="Q38" s="1085">
        <f t="shared" si="10"/>
        <v>2497029.3241306953</v>
      </c>
      <c r="R38" s="1085">
        <f t="shared" si="10"/>
        <v>2559455.0572339627</v>
      </c>
      <c r="S38" s="1085">
        <f t="shared" si="10"/>
        <v>2623441.4336648118</v>
      </c>
      <c r="T38" s="1085">
        <f t="shared" si="10"/>
        <v>2689027.4695064323</v>
      </c>
      <c r="U38" s="1085">
        <f t="shared" si="10"/>
        <v>2756253.1562440926</v>
      </c>
      <c r="V38" s="1086">
        <f t="shared" si="10"/>
        <v>2825159.4851501952</v>
      </c>
      <c r="W38" s="1527"/>
    </row>
    <row r="39" spans="2:23" ht="7.5" customHeight="1" thickBot="1" x14ac:dyDescent="0.35">
      <c r="B39" s="729"/>
      <c r="C39" s="424"/>
      <c r="D39" s="424"/>
      <c r="E39" s="424"/>
      <c r="F39" s="424"/>
      <c r="G39" s="424"/>
      <c r="H39" s="424"/>
      <c r="I39" s="424"/>
      <c r="J39" s="424"/>
      <c r="K39" s="424"/>
      <c r="L39" s="424"/>
      <c r="M39" s="424"/>
      <c r="N39" s="424"/>
      <c r="O39" s="424"/>
      <c r="P39" s="424"/>
      <c r="Q39" s="424"/>
      <c r="R39" s="424"/>
      <c r="S39" s="424"/>
      <c r="T39" s="424"/>
      <c r="U39" s="424"/>
      <c r="V39" s="424"/>
      <c r="W39" s="1527"/>
    </row>
    <row r="40" spans="2:23" ht="15" thickBot="1" x14ac:dyDescent="0.35">
      <c r="B40" s="729"/>
      <c r="C40" s="267" t="s">
        <v>367</v>
      </c>
      <c r="D40" s="269"/>
      <c r="E40" s="424"/>
      <c r="F40" s="615"/>
      <c r="G40" s="424"/>
      <c r="H40" s="1685">
        <f>'8B - 4% Building'!F41</f>
        <v>0</v>
      </c>
      <c r="I40" s="1686">
        <v>0</v>
      </c>
      <c r="J40" s="1686">
        <v>0</v>
      </c>
      <c r="K40" s="1686">
        <v>0</v>
      </c>
      <c r="L40" s="1686">
        <v>0</v>
      </c>
      <c r="M40" s="1686">
        <v>0</v>
      </c>
      <c r="N40" s="1686">
        <v>0</v>
      </c>
      <c r="O40" s="1686">
        <v>0</v>
      </c>
      <c r="P40" s="1686">
        <v>0</v>
      </c>
      <c r="Q40" s="1686">
        <v>0</v>
      </c>
      <c r="R40" s="1686">
        <v>0</v>
      </c>
      <c r="S40" s="1686">
        <v>0</v>
      </c>
      <c r="T40" s="1686">
        <v>0</v>
      </c>
      <c r="U40" s="1686">
        <v>0</v>
      </c>
      <c r="V40" s="1687">
        <v>0</v>
      </c>
      <c r="W40" s="1527"/>
    </row>
    <row r="41" spans="2:23" ht="7.5" customHeight="1" x14ac:dyDescent="0.3">
      <c r="B41" s="729"/>
      <c r="C41" s="267"/>
      <c r="D41" s="269"/>
      <c r="E41" s="424"/>
      <c r="F41" s="424"/>
      <c r="G41" s="424"/>
      <c r="H41" s="1683"/>
      <c r="I41" s="1683"/>
      <c r="J41" s="1683"/>
      <c r="K41" s="1683"/>
      <c r="L41" s="1683"/>
      <c r="M41" s="1683"/>
      <c r="N41" s="1683"/>
      <c r="O41" s="1683"/>
      <c r="P41" s="1683"/>
      <c r="Q41" s="1683"/>
      <c r="R41" s="1683"/>
      <c r="S41" s="1683"/>
      <c r="T41" s="1683"/>
      <c r="U41" s="1683"/>
      <c r="V41" s="1684"/>
      <c r="W41" s="1527"/>
    </row>
    <row r="42" spans="2:23" ht="15" thickBot="1" x14ac:dyDescent="0.35">
      <c r="B42" s="260"/>
      <c r="C42" s="783" t="s">
        <v>540</v>
      </c>
      <c r="D42" s="245"/>
      <c r="E42" s="245"/>
      <c r="F42" s="245"/>
      <c r="G42" s="245"/>
      <c r="H42" s="245"/>
      <c r="I42" s="245"/>
      <c r="J42" s="245"/>
      <c r="K42" s="246"/>
      <c r="L42" s="245"/>
      <c r="M42" s="245"/>
      <c r="N42" s="245"/>
      <c r="O42" s="245"/>
      <c r="P42" s="245"/>
      <c r="Q42" s="245"/>
      <c r="R42" s="245"/>
      <c r="S42" s="245"/>
      <c r="T42" s="245"/>
      <c r="U42" s="245"/>
      <c r="V42" s="245"/>
      <c r="W42" s="1527"/>
    </row>
    <row r="43" spans="2:23" ht="15" thickBot="1" x14ac:dyDescent="0.35">
      <c r="B43" s="260"/>
      <c r="C43" s="384"/>
      <c r="D43" s="267"/>
      <c r="E43" s="267"/>
      <c r="F43" s="2133" t="s">
        <v>403</v>
      </c>
      <c r="G43" s="268" t="s">
        <v>366</v>
      </c>
      <c r="H43" s="1087">
        <f>H104</f>
        <v>1082899.2017999999</v>
      </c>
      <c r="I43" s="1088">
        <f t="shared" ref="I43:V43" si="11">I104</f>
        <v>1101478.8718629999</v>
      </c>
      <c r="J43" s="1088">
        <f t="shared" si="11"/>
        <v>1120217.8795782048</v>
      </c>
      <c r="K43" s="1088">
        <f t="shared" si="11"/>
        <v>1139109.2117634416</v>
      </c>
      <c r="L43" s="1088">
        <f t="shared" si="11"/>
        <v>1158145.2823759625</v>
      </c>
      <c r="M43" s="1088">
        <f t="shared" si="11"/>
        <v>1177317.9037713725</v>
      </c>
      <c r="N43" s="1088">
        <f t="shared" si="11"/>
        <v>1196618.256719118</v>
      </c>
      <c r="O43" s="1088">
        <f t="shared" si="11"/>
        <v>1216036.8591242461</v>
      </c>
      <c r="P43" s="1088">
        <f t="shared" si="11"/>
        <v>1235563.5334032211</v>
      </c>
      <c r="Q43" s="1088">
        <f t="shared" si="11"/>
        <v>1255187.3724595373</v>
      </c>
      <c r="R43" s="1088">
        <f t="shared" si="11"/>
        <v>1274896.7042027344</v>
      </c>
      <c r="S43" s="1088">
        <f t="shared" si="11"/>
        <v>1294679.0545522608</v>
      </c>
      <c r="T43" s="1088">
        <f t="shared" si="11"/>
        <v>1314521.1088653253</v>
      </c>
      <c r="U43" s="1088">
        <f t="shared" si="11"/>
        <v>1334408.6717255344</v>
      </c>
      <c r="V43" s="1089">
        <f t="shared" si="11"/>
        <v>1354326.6250266377</v>
      </c>
      <c r="W43" s="1527"/>
    </row>
    <row r="44" spans="2:23" x14ac:dyDescent="0.3">
      <c r="B44" s="260"/>
      <c r="C44" s="275"/>
      <c r="D44" s="267"/>
      <c r="E44" s="267"/>
      <c r="F44" s="267"/>
      <c r="G44" s="268"/>
      <c r="H44" s="289"/>
      <c r="I44" s="289"/>
      <c r="J44" s="289"/>
      <c r="K44" s="289"/>
      <c r="L44" s="289"/>
      <c r="M44" s="289"/>
      <c r="N44" s="289"/>
      <c r="O44" s="424"/>
      <c r="P44" s="424"/>
      <c r="Q44" s="424"/>
      <c r="R44" s="424"/>
      <c r="S44" s="424"/>
      <c r="T44" s="424"/>
      <c r="U44" s="424"/>
      <c r="V44" s="424"/>
      <c r="W44" s="1527"/>
    </row>
    <row r="45" spans="2:23" ht="15" thickBot="1" x14ac:dyDescent="0.35">
      <c r="B45" s="729"/>
      <c r="C45" s="2872" t="s">
        <v>404</v>
      </c>
      <c r="D45" s="2872"/>
      <c r="E45" s="252"/>
      <c r="F45" s="252"/>
      <c r="G45" s="252"/>
      <c r="H45" s="252"/>
      <c r="I45" s="252"/>
      <c r="J45" s="252"/>
      <c r="K45" s="252"/>
      <c r="L45" s="252"/>
      <c r="M45" s="252"/>
      <c r="N45" s="252"/>
      <c r="O45" s="252"/>
      <c r="P45" s="252"/>
      <c r="Q45" s="252"/>
      <c r="R45" s="252"/>
      <c r="S45" s="252"/>
      <c r="T45" s="252"/>
      <c r="U45" s="252"/>
      <c r="V45" s="252"/>
      <c r="W45" s="1527"/>
    </row>
    <row r="46" spans="2:23" ht="15" thickBot="1" x14ac:dyDescent="0.35">
      <c r="B46" s="729"/>
      <c r="C46" s="350" t="s">
        <v>405</v>
      </c>
      <c r="D46" s="424"/>
      <c r="E46" s="424"/>
      <c r="F46" s="2865" t="s">
        <v>406</v>
      </c>
      <c r="G46" s="2866"/>
      <c r="H46" s="241" t="s">
        <v>356</v>
      </c>
      <c r="I46" s="730" t="s">
        <v>357</v>
      </c>
      <c r="J46" s="730" t="s">
        <v>358</v>
      </c>
      <c r="K46" s="730" t="s">
        <v>359</v>
      </c>
      <c r="L46" s="730" t="s">
        <v>360</v>
      </c>
      <c r="M46" s="730" t="s">
        <v>361</v>
      </c>
      <c r="N46" s="730" t="s">
        <v>362</v>
      </c>
      <c r="O46" s="730" t="s">
        <v>414</v>
      </c>
      <c r="P46" s="730" t="s">
        <v>415</v>
      </c>
      <c r="Q46" s="730" t="s">
        <v>416</v>
      </c>
      <c r="R46" s="730" t="s">
        <v>417</v>
      </c>
      <c r="S46" s="730" t="s">
        <v>418</v>
      </c>
      <c r="T46" s="730" t="s">
        <v>419</v>
      </c>
      <c r="U46" s="730" t="s">
        <v>420</v>
      </c>
      <c r="V46" s="735" t="s">
        <v>421</v>
      </c>
      <c r="W46" s="1527"/>
    </row>
    <row r="47" spans="2:23" x14ac:dyDescent="0.3">
      <c r="B47" s="729"/>
      <c r="C47" s="2877" t="s">
        <v>407</v>
      </c>
      <c r="D47" s="2878"/>
      <c r="E47" s="2879"/>
      <c r="F47" s="2873">
        <v>15611555</v>
      </c>
      <c r="G47" s="2874"/>
      <c r="H47" s="1090">
        <v>939509.64</v>
      </c>
      <c r="I47" s="1091">
        <f t="shared" ref="I47:V47" si="12">H47</f>
        <v>939509.64</v>
      </c>
      <c r="J47" s="1091">
        <f t="shared" si="12"/>
        <v>939509.64</v>
      </c>
      <c r="K47" s="1091">
        <f t="shared" si="12"/>
        <v>939509.64</v>
      </c>
      <c r="L47" s="1091">
        <f t="shared" si="12"/>
        <v>939509.64</v>
      </c>
      <c r="M47" s="1091">
        <f t="shared" si="12"/>
        <v>939509.64</v>
      </c>
      <c r="N47" s="1091">
        <f t="shared" si="12"/>
        <v>939509.64</v>
      </c>
      <c r="O47" s="1091">
        <f t="shared" si="12"/>
        <v>939509.64</v>
      </c>
      <c r="P47" s="1091">
        <f t="shared" si="12"/>
        <v>939509.64</v>
      </c>
      <c r="Q47" s="1091">
        <f t="shared" si="12"/>
        <v>939509.64</v>
      </c>
      <c r="R47" s="1091">
        <f t="shared" si="12"/>
        <v>939509.64</v>
      </c>
      <c r="S47" s="1091">
        <f t="shared" si="12"/>
        <v>939509.64</v>
      </c>
      <c r="T47" s="1091">
        <f t="shared" si="12"/>
        <v>939509.64</v>
      </c>
      <c r="U47" s="1091">
        <f t="shared" si="12"/>
        <v>939509.64</v>
      </c>
      <c r="V47" s="1092">
        <f t="shared" si="12"/>
        <v>939509.64</v>
      </c>
      <c r="W47" s="1527"/>
    </row>
    <row r="48" spans="2:23" x14ac:dyDescent="0.3">
      <c r="B48" s="729"/>
      <c r="C48" s="2880" t="s">
        <v>408</v>
      </c>
      <c r="D48" s="2881"/>
      <c r="E48" s="2882"/>
      <c r="F48" s="2875">
        <v>0</v>
      </c>
      <c r="G48" s="2876"/>
      <c r="H48" s="1093">
        <v>0</v>
      </c>
      <c r="I48" s="1094">
        <v>0</v>
      </c>
      <c r="J48" s="1094">
        <v>0</v>
      </c>
      <c r="K48" s="1094">
        <v>0</v>
      </c>
      <c r="L48" s="1094">
        <v>0</v>
      </c>
      <c r="M48" s="1094">
        <v>0</v>
      </c>
      <c r="N48" s="1094">
        <v>0</v>
      </c>
      <c r="O48" s="1094">
        <v>0</v>
      </c>
      <c r="P48" s="1094">
        <v>0</v>
      </c>
      <c r="Q48" s="1094">
        <v>0</v>
      </c>
      <c r="R48" s="1094">
        <v>0</v>
      </c>
      <c r="S48" s="1094">
        <v>0</v>
      </c>
      <c r="T48" s="1094">
        <v>0</v>
      </c>
      <c r="U48" s="1094">
        <v>0</v>
      </c>
      <c r="V48" s="1095">
        <v>0</v>
      </c>
      <c r="W48" s="1527"/>
    </row>
    <row r="49" spans="2:41" ht="15" thickBot="1" x14ac:dyDescent="0.35">
      <c r="B49" s="729"/>
      <c r="C49" s="2867" t="s">
        <v>409</v>
      </c>
      <c r="D49" s="2868"/>
      <c r="E49" s="2869"/>
      <c r="F49" s="2863">
        <v>0</v>
      </c>
      <c r="G49" s="2864"/>
      <c r="H49" s="1096">
        <v>0</v>
      </c>
      <c r="I49" s="1097">
        <v>0</v>
      </c>
      <c r="J49" s="1097">
        <v>0</v>
      </c>
      <c r="K49" s="1097">
        <v>0</v>
      </c>
      <c r="L49" s="1097">
        <v>0</v>
      </c>
      <c r="M49" s="1097">
        <v>0</v>
      </c>
      <c r="N49" s="1097">
        <v>0</v>
      </c>
      <c r="O49" s="1097">
        <v>0</v>
      </c>
      <c r="P49" s="1097">
        <v>0</v>
      </c>
      <c r="Q49" s="1097">
        <v>0</v>
      </c>
      <c r="R49" s="1097">
        <v>0</v>
      </c>
      <c r="S49" s="1097">
        <v>0</v>
      </c>
      <c r="T49" s="1097">
        <v>0</v>
      </c>
      <c r="U49" s="1097">
        <v>0</v>
      </c>
      <c r="V49" s="1098">
        <v>0</v>
      </c>
      <c r="W49" s="1527"/>
    </row>
    <row r="50" spans="2:41" ht="15" thickTop="1" x14ac:dyDescent="0.3">
      <c r="B50" s="729"/>
      <c r="C50" s="620"/>
      <c r="D50" s="620"/>
      <c r="E50" s="620"/>
      <c r="F50" s="621"/>
      <c r="G50" s="622" t="s">
        <v>410</v>
      </c>
      <c r="H50" s="1099">
        <f>SUM(H47:H49)</f>
        <v>939509.64</v>
      </c>
      <c r="I50" s="1100">
        <f t="shared" ref="I50:N50" si="13">SUM(I47:I49)</f>
        <v>939509.64</v>
      </c>
      <c r="J50" s="1100">
        <f t="shared" si="13"/>
        <v>939509.64</v>
      </c>
      <c r="K50" s="1100">
        <f t="shared" si="13"/>
        <v>939509.64</v>
      </c>
      <c r="L50" s="1100">
        <f t="shared" si="13"/>
        <v>939509.64</v>
      </c>
      <c r="M50" s="1100">
        <f t="shared" si="13"/>
        <v>939509.64</v>
      </c>
      <c r="N50" s="1100">
        <f t="shared" si="13"/>
        <v>939509.64</v>
      </c>
      <c r="O50" s="1100">
        <f>SUM(O47:O49)</f>
        <v>939509.64</v>
      </c>
      <c r="P50" s="1100">
        <f t="shared" ref="P50:V50" si="14">SUM(P47:P49)</f>
        <v>939509.64</v>
      </c>
      <c r="Q50" s="1100">
        <f t="shared" si="14"/>
        <v>939509.64</v>
      </c>
      <c r="R50" s="1100">
        <f t="shared" si="14"/>
        <v>939509.64</v>
      </c>
      <c r="S50" s="1100">
        <f t="shared" si="14"/>
        <v>939509.64</v>
      </c>
      <c r="T50" s="1100">
        <f t="shared" si="14"/>
        <v>939509.64</v>
      </c>
      <c r="U50" s="1100">
        <f t="shared" si="14"/>
        <v>939509.64</v>
      </c>
      <c r="V50" s="1101">
        <f t="shared" si="14"/>
        <v>939509.64</v>
      </c>
      <c r="W50" s="1527"/>
    </row>
    <row r="51" spans="2:41" x14ac:dyDescent="0.3">
      <c r="B51" s="729"/>
      <c r="C51" s="620"/>
      <c r="D51" s="620"/>
      <c r="E51" s="1143"/>
      <c r="F51" s="2133"/>
      <c r="G51" s="2133" t="s">
        <v>411</v>
      </c>
      <c r="H51" s="1116">
        <f>IFERROR(H43/H50,"0 ")</f>
        <v>1.1526217035942281</v>
      </c>
      <c r="I51" s="1117">
        <f>IFERROR(I43/I50,"0 ")</f>
        <v>1.1723976263436742</v>
      </c>
      <c r="J51" s="1117">
        <f t="shared" ref="J51:V51" si="15">IFERROR(J43/J50,"0 ")</f>
        <v>1.1923431457054605</v>
      </c>
      <c r="K51" s="1117">
        <f t="shared" si="15"/>
        <v>1.2124507969534422</v>
      </c>
      <c r="L51" s="1117">
        <f t="shared" si="15"/>
        <v>1.2327125056172521</v>
      </c>
      <c r="M51" s="1117">
        <f t="shared" si="15"/>
        <v>1.2531195568907334</v>
      </c>
      <c r="N51" s="1117">
        <f t="shared" si="15"/>
        <v>1.2736625637168746</v>
      </c>
      <c r="O51" s="1117">
        <f t="shared" si="15"/>
        <v>1.2943314334957181</v>
      </c>
      <c r="P51" s="1117">
        <f t="shared" si="15"/>
        <v>1.3151153333596672</v>
      </c>
      <c r="Q51" s="1117">
        <f t="shared" si="15"/>
        <v>1.3360026539584386</v>
      </c>
      <c r="R51" s="1117">
        <f t="shared" si="15"/>
        <v>1.3569809716936321</v>
      </c>
      <c r="S51" s="1117">
        <f t="shared" si="15"/>
        <v>1.3780370093405969</v>
      </c>
      <c r="T51" s="1117">
        <f t="shared" si="15"/>
        <v>1.3991565949928149</v>
      </c>
      <c r="U51" s="1117">
        <f t="shared" si="15"/>
        <v>1.4203246192615271</v>
      </c>
      <c r="V51" s="1118">
        <f t="shared" si="15"/>
        <v>1.4415249906606999</v>
      </c>
      <c r="W51" s="1527"/>
      <c r="X51" s="400" t="s">
        <v>2049</v>
      </c>
    </row>
    <row r="52" spans="2:41" ht="15" thickBot="1" x14ac:dyDescent="0.35">
      <c r="B52" s="729"/>
      <c r="C52" s="620"/>
      <c r="D52" s="620"/>
      <c r="E52" s="2870" t="s">
        <v>648</v>
      </c>
      <c r="F52" s="2870"/>
      <c r="G52" s="2871"/>
      <c r="H52" s="1102">
        <f>H43-H50</f>
        <v>143389.56179999991</v>
      </c>
      <c r="I52" s="1103">
        <f t="shared" ref="I52:N52" si="16">I43-I50</f>
        <v>161969.23186299985</v>
      </c>
      <c r="J52" s="1103">
        <f t="shared" si="16"/>
        <v>180708.23957820481</v>
      </c>
      <c r="K52" s="1103">
        <f>K43-K50</f>
        <v>199599.57176344155</v>
      </c>
      <c r="L52" s="1103">
        <f t="shared" si="16"/>
        <v>218635.64237596246</v>
      </c>
      <c r="M52" s="1103">
        <f t="shared" si="16"/>
        <v>237808.2637713725</v>
      </c>
      <c r="N52" s="1103">
        <f t="shared" si="16"/>
        <v>257108.61671911797</v>
      </c>
      <c r="O52" s="1103">
        <f>O43-O50</f>
        <v>276527.21912424604</v>
      </c>
      <c r="P52" s="1103">
        <f t="shared" ref="P52:V52" si="17">P43-P50</f>
        <v>296053.89340322104</v>
      </c>
      <c r="Q52" s="1103">
        <f t="shared" si="17"/>
        <v>315677.73245953734</v>
      </c>
      <c r="R52" s="1103">
        <f t="shared" si="17"/>
        <v>335387.06420273439</v>
      </c>
      <c r="S52" s="1103">
        <f t="shared" si="17"/>
        <v>355169.41455226077</v>
      </c>
      <c r="T52" s="1103">
        <f t="shared" si="17"/>
        <v>375011.46886532533</v>
      </c>
      <c r="U52" s="1103">
        <f t="shared" si="17"/>
        <v>394899.03172553435</v>
      </c>
      <c r="V52" s="1104">
        <f t="shared" si="17"/>
        <v>414816.98502663767</v>
      </c>
      <c r="W52" s="1527"/>
      <c r="AA52" s="400" t="s">
        <v>2161</v>
      </c>
      <c r="AB52" s="400" t="s">
        <v>2162</v>
      </c>
      <c r="AC52" s="400" t="s">
        <v>2163</v>
      </c>
      <c r="AD52" s="400" t="s">
        <v>2164</v>
      </c>
      <c r="AE52" s="400" t="s">
        <v>2165</v>
      </c>
      <c r="AF52" s="400" t="s">
        <v>2166</v>
      </c>
      <c r="AG52" s="400" t="s">
        <v>2167</v>
      </c>
      <c r="AH52" s="400" t="s">
        <v>2168</v>
      </c>
      <c r="AI52" s="400" t="s">
        <v>2169</v>
      </c>
      <c r="AJ52" s="400" t="s">
        <v>2170</v>
      </c>
      <c r="AK52" s="400" t="s">
        <v>2171</v>
      </c>
      <c r="AL52" s="400" t="s">
        <v>2172</v>
      </c>
      <c r="AM52" s="400" t="s">
        <v>2173</v>
      </c>
      <c r="AN52" s="400" t="s">
        <v>2174</v>
      </c>
      <c r="AO52" s="400" t="s">
        <v>2175</v>
      </c>
    </row>
    <row r="53" spans="2:41" ht="15" customHeight="1" thickBot="1" x14ac:dyDescent="0.35">
      <c r="B53" s="729"/>
      <c r="C53" s="620"/>
      <c r="D53" s="620"/>
      <c r="E53" s="620"/>
      <c r="F53" s="621"/>
      <c r="G53" s="621"/>
      <c r="H53" s="623"/>
      <c r="I53" s="623"/>
      <c r="J53" s="623"/>
      <c r="K53" s="623"/>
      <c r="L53" s="623"/>
      <c r="M53" s="623"/>
      <c r="N53" s="623"/>
      <c r="O53" s="424"/>
      <c r="P53" s="424"/>
      <c r="Q53" s="424"/>
      <c r="R53" s="424"/>
      <c r="S53" s="424"/>
      <c r="T53" s="424"/>
      <c r="U53" s="424"/>
      <c r="V53" s="424"/>
      <c r="W53" s="1527"/>
      <c r="X53" s="2459" t="s">
        <v>2159</v>
      </c>
      <c r="Y53" s="2460"/>
      <c r="Z53" s="2465">
        <v>0.02</v>
      </c>
      <c r="AA53" s="2460"/>
      <c r="AB53" s="2460"/>
      <c r="AC53" s="2460"/>
      <c r="AD53" s="2460"/>
      <c r="AE53" s="2460"/>
      <c r="AF53" s="2460"/>
      <c r="AG53" s="2460"/>
      <c r="AH53" s="2460"/>
      <c r="AI53" s="2460"/>
      <c r="AJ53" s="2460"/>
      <c r="AK53" s="2460"/>
      <c r="AL53" s="2460"/>
      <c r="AM53" s="2460"/>
      <c r="AN53" s="2460"/>
      <c r="AO53" s="2460"/>
    </row>
    <row r="54" spans="2:41" ht="15" thickBot="1" x14ac:dyDescent="0.35">
      <c r="B54" s="729"/>
      <c r="C54" s="350" t="s">
        <v>412</v>
      </c>
      <c r="D54" s="424"/>
      <c r="E54" s="424"/>
      <c r="F54" s="2865" t="s">
        <v>406</v>
      </c>
      <c r="G54" s="2866"/>
      <c r="H54" s="241" t="s">
        <v>356</v>
      </c>
      <c r="I54" s="730" t="s">
        <v>357</v>
      </c>
      <c r="J54" s="730" t="s">
        <v>358</v>
      </c>
      <c r="K54" s="730" t="s">
        <v>359</v>
      </c>
      <c r="L54" s="730" t="s">
        <v>360</v>
      </c>
      <c r="M54" s="730" t="s">
        <v>361</v>
      </c>
      <c r="N54" s="730" t="s">
        <v>362</v>
      </c>
      <c r="O54" s="730" t="s">
        <v>414</v>
      </c>
      <c r="P54" s="730" t="s">
        <v>415</v>
      </c>
      <c r="Q54" s="730" t="s">
        <v>416</v>
      </c>
      <c r="R54" s="730" t="s">
        <v>417</v>
      </c>
      <c r="S54" s="730" t="s">
        <v>418</v>
      </c>
      <c r="T54" s="730" t="s">
        <v>419</v>
      </c>
      <c r="U54" s="730" t="s">
        <v>420</v>
      </c>
      <c r="V54" s="735" t="s">
        <v>421</v>
      </c>
      <c r="W54" s="1527"/>
      <c r="X54" s="400">
        <v>2100000</v>
      </c>
      <c r="Z54" s="2462">
        <f>(100%+Z53)*X54</f>
        <v>2142000</v>
      </c>
      <c r="AA54" s="2462">
        <f>(100%+2%)*Z56</f>
        <v>2184840</v>
      </c>
      <c r="AB54" s="2462">
        <f>(100%+Z53)*AA56</f>
        <v>2101036.7999999998</v>
      </c>
      <c r="AC54" s="2462">
        <f>(100%+$Z$53)*AB56</f>
        <v>2010457.5359999998</v>
      </c>
      <c r="AD54" s="2462">
        <f>(100%+$Z$53)*AC56</f>
        <v>1902766.6867199999</v>
      </c>
      <c r="AE54" s="2462">
        <f>(100%+$Z$53)*AD56</f>
        <v>1777622.0204544</v>
      </c>
      <c r="AF54" s="2462">
        <f>(100%+$Z$53)*AE56</f>
        <v>1609174.460863488</v>
      </c>
      <c r="AG54" s="400">
        <f t="shared" ref="AG54:AO54" si="18">(100%+$Z$53)*AF56</f>
        <v>1396557.9500807577</v>
      </c>
      <c r="AH54" s="400">
        <f t="shared" si="18"/>
        <v>1159289.1090823729</v>
      </c>
      <c r="AI54" s="400">
        <f t="shared" si="18"/>
        <v>896874.89126402035</v>
      </c>
      <c r="AJ54" s="400">
        <f t="shared" si="18"/>
        <v>608812.38908930076</v>
      </c>
      <c r="AK54" s="400">
        <f t="shared" si="18"/>
        <v>294588.63687108678</v>
      </c>
      <c r="AL54" s="400">
        <f t="shared" si="18"/>
        <v>0.64960850851843133</v>
      </c>
      <c r="AM54" s="400">
        <f t="shared" si="18"/>
        <v>0.66260067868880002</v>
      </c>
      <c r="AN54" s="400">
        <f t="shared" si="18"/>
        <v>0.67585269226257605</v>
      </c>
      <c r="AO54" s="400">
        <f t="shared" si="18"/>
        <v>0.68936974610782753</v>
      </c>
    </row>
    <row r="55" spans="2:41" ht="15" thickBot="1" x14ac:dyDescent="0.35">
      <c r="B55" s="729"/>
      <c r="C55" s="2877" t="s">
        <v>2176</v>
      </c>
      <c r="D55" s="2878"/>
      <c r="E55" s="2879"/>
      <c r="F55" s="2873">
        <v>2100000</v>
      </c>
      <c r="G55" s="2874"/>
      <c r="H55" s="1090">
        <v>125000</v>
      </c>
      <c r="I55" s="1091">
        <v>130000</v>
      </c>
      <c r="J55" s="1091">
        <v>145000</v>
      </c>
      <c r="K55" s="1091">
        <v>160000</v>
      </c>
      <c r="L55" s="1091">
        <v>180000</v>
      </c>
      <c r="M55" s="1091">
        <v>200000</v>
      </c>
      <c r="N55" s="1091">
        <v>220000</v>
      </c>
      <c r="O55" s="1091">
        <v>240000</v>
      </c>
      <c r="P55" s="1091">
        <v>260000</v>
      </c>
      <c r="Q55" s="1091">
        <v>280000</v>
      </c>
      <c r="R55" s="1091">
        <v>300000</v>
      </c>
      <c r="S55" s="1091">
        <v>320000</v>
      </c>
      <c r="T55" s="1091">
        <v>294590</v>
      </c>
      <c r="U55" s="1091">
        <v>0</v>
      </c>
      <c r="V55" s="1105">
        <v>0</v>
      </c>
      <c r="W55" s="1527"/>
      <c r="X55" s="400" t="s">
        <v>2160</v>
      </c>
      <c r="Z55" s="400">
        <v>0</v>
      </c>
      <c r="AA55" s="400">
        <v>125000</v>
      </c>
      <c r="AB55" s="400">
        <v>130000</v>
      </c>
      <c r="AC55" s="400">
        <v>145000</v>
      </c>
      <c r="AD55" s="400">
        <v>160000</v>
      </c>
      <c r="AE55" s="400">
        <v>200000</v>
      </c>
      <c r="AF55" s="400">
        <v>240000</v>
      </c>
      <c r="AG55" s="400">
        <v>260000</v>
      </c>
      <c r="AH55" s="400">
        <v>280000</v>
      </c>
      <c r="AI55" s="400">
        <v>300000</v>
      </c>
      <c r="AJ55" s="400">
        <v>320000</v>
      </c>
      <c r="AK55" s="400">
        <v>294588</v>
      </c>
    </row>
    <row r="56" spans="2:41" x14ac:dyDescent="0.3">
      <c r="B56" s="729"/>
      <c r="C56" s="2900" t="s">
        <v>1952</v>
      </c>
      <c r="D56" s="2901"/>
      <c r="E56" s="2902"/>
      <c r="F56" s="2875">
        <v>1522613</v>
      </c>
      <c r="G56" s="2876"/>
      <c r="H56" s="1093">
        <v>0</v>
      </c>
      <c r="I56" s="1094">
        <v>0</v>
      </c>
      <c r="J56" s="1094">
        <v>0</v>
      </c>
      <c r="K56" s="1094">
        <v>0</v>
      </c>
      <c r="L56" s="1094">
        <v>0</v>
      </c>
      <c r="M56" s="1094">
        <v>0</v>
      </c>
      <c r="N56" s="1094">
        <v>0</v>
      </c>
      <c r="O56" s="1094">
        <v>0</v>
      </c>
      <c r="P56" s="1094">
        <v>0</v>
      </c>
      <c r="Q56" s="1094">
        <v>0</v>
      </c>
      <c r="R56" s="1094">
        <v>0</v>
      </c>
      <c r="S56" s="1094">
        <v>0</v>
      </c>
      <c r="T56" s="1094">
        <v>45000</v>
      </c>
      <c r="U56" s="1094">
        <v>350000</v>
      </c>
      <c r="V56" s="1106">
        <v>375000</v>
      </c>
      <c r="W56" s="1527"/>
      <c r="X56" s="2459"/>
      <c r="Y56" s="2460"/>
      <c r="Z56" s="2463">
        <f t="shared" ref="Z56:AF56" si="19">Z54-Z55</f>
        <v>2142000</v>
      </c>
      <c r="AA56" s="2463">
        <f t="shared" si="19"/>
        <v>2059840</v>
      </c>
      <c r="AB56" s="2463">
        <f t="shared" si="19"/>
        <v>1971036.7999999998</v>
      </c>
      <c r="AC56" s="2463">
        <f t="shared" si="19"/>
        <v>1865457.5359999998</v>
      </c>
      <c r="AD56" s="2463">
        <f t="shared" si="19"/>
        <v>1742766.6867199999</v>
      </c>
      <c r="AE56" s="2464">
        <f t="shared" si="19"/>
        <v>1577622.0204544</v>
      </c>
      <c r="AF56" s="2461">
        <f t="shared" si="19"/>
        <v>1369174.460863488</v>
      </c>
      <c r="AG56" s="2461">
        <f t="shared" ref="AG56:AO56" si="20">AG54-AG55</f>
        <v>1136557.9500807577</v>
      </c>
      <c r="AH56" s="2461">
        <f t="shared" si="20"/>
        <v>879289.10908237286</v>
      </c>
      <c r="AI56" s="2461">
        <f t="shared" si="20"/>
        <v>596874.89126402035</v>
      </c>
      <c r="AJ56" s="2461">
        <f t="shared" si="20"/>
        <v>288812.38908930076</v>
      </c>
      <c r="AK56" s="2461">
        <f t="shared" si="20"/>
        <v>0.63687108678277582</v>
      </c>
      <c r="AL56" s="2461">
        <f t="shared" si="20"/>
        <v>0.64960850851843133</v>
      </c>
      <c r="AM56" s="2461">
        <f t="shared" si="20"/>
        <v>0.66260067868880002</v>
      </c>
      <c r="AN56" s="2461">
        <f t="shared" si="20"/>
        <v>0.67585269226257605</v>
      </c>
      <c r="AO56" s="2461">
        <f t="shared" si="20"/>
        <v>0.68936974610782753</v>
      </c>
    </row>
    <row r="57" spans="2:41" x14ac:dyDescent="0.3">
      <c r="B57" s="729"/>
      <c r="C57" s="2900" t="s">
        <v>413</v>
      </c>
      <c r="D57" s="2901"/>
      <c r="E57" s="2902"/>
      <c r="F57" s="2875">
        <v>0</v>
      </c>
      <c r="G57" s="2876"/>
      <c r="H57" s="1093">
        <v>0</v>
      </c>
      <c r="I57" s="1094">
        <v>0</v>
      </c>
      <c r="J57" s="1094">
        <v>0</v>
      </c>
      <c r="K57" s="1094">
        <v>0</v>
      </c>
      <c r="L57" s="1094">
        <v>0</v>
      </c>
      <c r="M57" s="1094">
        <v>0</v>
      </c>
      <c r="N57" s="1094">
        <v>0</v>
      </c>
      <c r="O57" s="1094">
        <v>0</v>
      </c>
      <c r="P57" s="1094">
        <v>0</v>
      </c>
      <c r="Q57" s="1094">
        <v>0</v>
      </c>
      <c r="R57" s="1094">
        <v>0</v>
      </c>
      <c r="S57" s="1094">
        <v>0</v>
      </c>
      <c r="T57" s="1094">
        <v>0</v>
      </c>
      <c r="U57" s="1094">
        <v>0</v>
      </c>
      <c r="V57" s="1106">
        <v>0</v>
      </c>
      <c r="W57" s="1527"/>
    </row>
    <row r="58" spans="2:41" ht="15" thickBot="1" x14ac:dyDescent="0.35">
      <c r="B58" s="729"/>
      <c r="C58" s="2867" t="s">
        <v>409</v>
      </c>
      <c r="D58" s="2868"/>
      <c r="E58" s="2869"/>
      <c r="F58" s="2863">
        <v>0</v>
      </c>
      <c r="G58" s="2864"/>
      <c r="H58" s="1107">
        <v>0</v>
      </c>
      <c r="I58" s="1108">
        <v>0</v>
      </c>
      <c r="J58" s="1108">
        <v>0</v>
      </c>
      <c r="K58" s="1108">
        <v>0</v>
      </c>
      <c r="L58" s="1108">
        <v>0</v>
      </c>
      <c r="M58" s="1108">
        <v>0</v>
      </c>
      <c r="N58" s="1108">
        <v>0</v>
      </c>
      <c r="O58" s="1108">
        <v>0</v>
      </c>
      <c r="P58" s="1108">
        <v>0</v>
      </c>
      <c r="Q58" s="1108">
        <v>0</v>
      </c>
      <c r="R58" s="1108">
        <v>0</v>
      </c>
      <c r="S58" s="1108">
        <v>0</v>
      </c>
      <c r="T58" s="1108">
        <v>0</v>
      </c>
      <c r="U58" s="1108">
        <v>0</v>
      </c>
      <c r="V58" s="1109">
        <v>0</v>
      </c>
      <c r="W58" s="1527"/>
      <c r="X58" s="400" t="s">
        <v>2047</v>
      </c>
    </row>
    <row r="59" spans="2:41" ht="15.6" thickTop="1" thickBot="1" x14ac:dyDescent="0.35">
      <c r="B59" s="729"/>
      <c r="C59" s="424"/>
      <c r="D59" s="424"/>
      <c r="E59" s="1145"/>
      <c r="F59" s="1145"/>
      <c r="G59" s="1144" t="s">
        <v>645</v>
      </c>
      <c r="H59" s="1110">
        <f>SUM(H55:H58)</f>
        <v>125000</v>
      </c>
      <c r="I59" s="1111">
        <f t="shared" ref="I59:N59" si="21">SUM(I55:I58)</f>
        <v>130000</v>
      </c>
      <c r="J59" s="1111">
        <f t="shared" si="21"/>
        <v>145000</v>
      </c>
      <c r="K59" s="1111">
        <f t="shared" si="21"/>
        <v>160000</v>
      </c>
      <c r="L59" s="1111">
        <f t="shared" si="21"/>
        <v>180000</v>
      </c>
      <c r="M59" s="1111">
        <f t="shared" si="21"/>
        <v>200000</v>
      </c>
      <c r="N59" s="1111">
        <f t="shared" si="21"/>
        <v>220000</v>
      </c>
      <c r="O59" s="1111">
        <f>SUM(O55:O58)</f>
        <v>240000</v>
      </c>
      <c r="P59" s="1111">
        <f t="shared" ref="P59:V59" si="22">SUM(P55:P58)</f>
        <v>260000</v>
      </c>
      <c r="Q59" s="1111">
        <f t="shared" si="22"/>
        <v>280000</v>
      </c>
      <c r="R59" s="1111">
        <f t="shared" si="22"/>
        <v>300000</v>
      </c>
      <c r="S59" s="1111">
        <f t="shared" si="22"/>
        <v>320000</v>
      </c>
      <c r="T59" s="1111">
        <f t="shared" si="22"/>
        <v>339590</v>
      </c>
      <c r="U59" s="1111">
        <f t="shared" si="22"/>
        <v>350000</v>
      </c>
      <c r="V59" s="1112">
        <f t="shared" si="22"/>
        <v>375000</v>
      </c>
      <c r="W59" s="1527"/>
      <c r="AA59" s="400" t="s">
        <v>2161</v>
      </c>
      <c r="AB59" s="400" t="s">
        <v>2162</v>
      </c>
      <c r="AC59" s="400" t="s">
        <v>2163</v>
      </c>
      <c r="AD59" s="400" t="s">
        <v>2164</v>
      </c>
      <c r="AE59" s="400" t="s">
        <v>2165</v>
      </c>
      <c r="AF59" s="400" t="s">
        <v>2166</v>
      </c>
      <c r="AG59" s="400" t="s">
        <v>2167</v>
      </c>
      <c r="AH59" s="400" t="s">
        <v>2168</v>
      </c>
      <c r="AI59" s="400" t="s">
        <v>2169</v>
      </c>
      <c r="AJ59" s="400" t="s">
        <v>2170</v>
      </c>
      <c r="AK59" s="400" t="s">
        <v>2171</v>
      </c>
      <c r="AL59" s="400" t="s">
        <v>2172</v>
      </c>
      <c r="AM59" s="400" t="s">
        <v>2173</v>
      </c>
      <c r="AN59" s="400" t="s">
        <v>2174</v>
      </c>
      <c r="AO59" s="400" t="s">
        <v>2175</v>
      </c>
    </row>
    <row r="60" spans="2:41" ht="15.75" customHeight="1" thickBot="1" x14ac:dyDescent="0.35">
      <c r="B60" s="729"/>
      <c r="C60" s="424"/>
      <c r="D60" s="424"/>
      <c r="E60" s="1146"/>
      <c r="F60" s="1146"/>
      <c r="G60" s="1012"/>
      <c r="H60" s="424"/>
      <c r="I60" s="424"/>
      <c r="J60" s="424"/>
      <c r="K60" s="424"/>
      <c r="L60" s="424"/>
      <c r="M60" s="424"/>
      <c r="N60" s="424"/>
      <c r="O60" s="424"/>
      <c r="P60" s="424"/>
      <c r="Q60" s="424"/>
      <c r="R60" s="424"/>
      <c r="S60" s="424"/>
      <c r="T60" s="424"/>
      <c r="U60" s="424"/>
      <c r="V60" s="424"/>
      <c r="W60" s="1527"/>
      <c r="X60" s="2459" t="s">
        <v>2159</v>
      </c>
      <c r="Y60" s="2460"/>
      <c r="Z60" s="2465">
        <v>0.02</v>
      </c>
      <c r="AA60" s="2460"/>
      <c r="AB60" s="2460"/>
      <c r="AC60" s="2460"/>
      <c r="AD60" s="2460"/>
      <c r="AE60" s="2460"/>
      <c r="AF60" s="2460"/>
      <c r="AG60" s="2460"/>
      <c r="AH60" s="2460"/>
      <c r="AI60" s="2460"/>
      <c r="AJ60" s="2460"/>
      <c r="AK60" s="2460"/>
      <c r="AL60" s="2460"/>
      <c r="AM60" s="2460"/>
      <c r="AN60" s="2460"/>
      <c r="AO60" s="2460"/>
    </row>
    <row r="61" spans="2:41" x14ac:dyDescent="0.3">
      <c r="B61" s="729"/>
      <c r="C61" s="424"/>
      <c r="D61" s="424"/>
      <c r="E61" s="275"/>
      <c r="F61" s="275"/>
      <c r="G61" s="2134" t="s">
        <v>646</v>
      </c>
      <c r="H61" s="1119">
        <f>IFERROR(H43/(H50+H59),"0 ")</f>
        <v>1.0172751482081457</v>
      </c>
      <c r="I61" s="1120">
        <f t="shared" ref="I61:V61" si="23">IFERROR(I43/(I50+I59),"0 ")</f>
        <v>1.0298914854689853</v>
      </c>
      <c r="J61" s="1120">
        <f t="shared" si="23"/>
        <v>1.0329257004835888</v>
      </c>
      <c r="K61" s="1120">
        <f t="shared" si="23"/>
        <v>1.0360156658230313</v>
      </c>
      <c r="L61" s="1120">
        <f t="shared" si="23"/>
        <v>1.0345112190154633</v>
      </c>
      <c r="M61" s="1120">
        <f t="shared" si="23"/>
        <v>1.0331794154645084</v>
      </c>
      <c r="N61" s="1120">
        <f t="shared" si="23"/>
        <v>1.0320037155699007</v>
      </c>
      <c r="O61" s="1120">
        <f t="shared" si="23"/>
        <v>1.0309681395433494</v>
      </c>
      <c r="P61" s="1120">
        <f t="shared" si="23"/>
        <v>1.0300571935405378</v>
      </c>
      <c r="Q61" s="1120">
        <f t="shared" si="23"/>
        <v>1.0292558019135767</v>
      </c>
      <c r="R61" s="1120">
        <f t="shared" si="23"/>
        <v>1.028549244847127</v>
      </c>
      <c r="S61" s="1120">
        <f t="shared" si="23"/>
        <v>1.0279231007332827</v>
      </c>
      <c r="T61" s="1120">
        <f t="shared" si="23"/>
        <v>1.0276925016297598</v>
      </c>
      <c r="U61" s="1120">
        <f t="shared" si="23"/>
        <v>1.0348186863694437</v>
      </c>
      <c r="V61" s="1121">
        <f t="shared" si="23"/>
        <v>1.030290371264708</v>
      </c>
      <c r="W61" s="1527"/>
      <c r="X61" s="400">
        <v>1531037</v>
      </c>
      <c r="Z61" s="2462">
        <f>(100%+Z60)*X61</f>
        <v>1561657.74</v>
      </c>
      <c r="AA61" s="2462">
        <f>(100%+2%)*Z63</f>
        <v>1592890.8948000001</v>
      </c>
      <c r="AB61" s="2462">
        <f>(100%+Z60)*AA63</f>
        <v>1624748.7126960002</v>
      </c>
      <c r="AC61" s="2462">
        <f>(100%+$Z$53)*AB63</f>
        <v>1657243.6869499204</v>
      </c>
      <c r="AD61" s="2462">
        <f>(100%+$Z$53)*AC63</f>
        <v>1690388.5606889189</v>
      </c>
      <c r="AE61" s="2462">
        <f>(100%+$Z$53)*AD63</f>
        <v>1724196.3319026972</v>
      </c>
      <c r="AF61" s="2462">
        <f>(100%+$Z$53)*AE63</f>
        <v>1758680.2585407512</v>
      </c>
      <c r="AG61" s="400">
        <f t="shared" ref="AG61:AO61" si="24">(100%+$Z$53)*AF63</f>
        <v>1793853.8637115662</v>
      </c>
      <c r="AH61" s="400">
        <f t="shared" si="24"/>
        <v>1829730.9409857974</v>
      </c>
      <c r="AI61" s="400">
        <f t="shared" si="24"/>
        <v>1866325.5598055134</v>
      </c>
      <c r="AJ61" s="400">
        <f t="shared" si="24"/>
        <v>1903652.0710016238</v>
      </c>
      <c r="AK61" s="400">
        <f t="shared" si="24"/>
        <v>1941725.1124216563</v>
      </c>
      <c r="AL61" s="400">
        <f t="shared" si="24"/>
        <v>1934659.6146700894</v>
      </c>
      <c r="AM61" s="400">
        <f t="shared" si="24"/>
        <v>1616352.8069634913</v>
      </c>
      <c r="AN61" s="400">
        <f t="shared" si="24"/>
        <v>1266179.8631027611</v>
      </c>
      <c r="AO61" s="400">
        <f t="shared" si="24"/>
        <v>883503.46036481636</v>
      </c>
    </row>
    <row r="62" spans="2:41" ht="15" thickBot="1" x14ac:dyDescent="0.35">
      <c r="B62" s="729"/>
      <c r="C62" s="424"/>
      <c r="D62" s="424"/>
      <c r="E62" s="275"/>
      <c r="F62" s="292"/>
      <c r="G62" s="2134" t="s">
        <v>647</v>
      </c>
      <c r="H62" s="1113">
        <f t="shared" ref="H62:O62" si="25">H52-H59</f>
        <v>18389.561799999909</v>
      </c>
      <c r="I62" s="1114">
        <f t="shared" si="25"/>
        <v>31969.231862999848</v>
      </c>
      <c r="J62" s="1114">
        <f t="shared" si="25"/>
        <v>35708.239578204812</v>
      </c>
      <c r="K62" s="1114">
        <f t="shared" si="25"/>
        <v>39599.571763441549</v>
      </c>
      <c r="L62" s="1114">
        <f t="shared" si="25"/>
        <v>38635.642375962459</v>
      </c>
      <c r="M62" s="1114">
        <f t="shared" si="25"/>
        <v>37808.263771372498</v>
      </c>
      <c r="N62" s="1114">
        <f t="shared" si="25"/>
        <v>37108.61671911797</v>
      </c>
      <c r="O62" s="1114">
        <f t="shared" si="25"/>
        <v>36527.219124246039</v>
      </c>
      <c r="P62" s="1114">
        <f t="shared" ref="P62:U62" si="26">P52-P59</f>
        <v>36053.893403221038</v>
      </c>
      <c r="Q62" s="1114">
        <f t="shared" si="26"/>
        <v>35677.732459537336</v>
      </c>
      <c r="R62" s="1114">
        <f t="shared" si="26"/>
        <v>35387.064202734386</v>
      </c>
      <c r="S62" s="1114">
        <f t="shared" si="26"/>
        <v>35169.414552260772</v>
      </c>
      <c r="T62" s="1114">
        <f t="shared" si="26"/>
        <v>35421.468865325325</v>
      </c>
      <c r="U62" s="1114">
        <f t="shared" si="26"/>
        <v>44899.031725534354</v>
      </c>
      <c r="V62" s="1115">
        <f>V52-V59</f>
        <v>39816.985026637674</v>
      </c>
      <c r="W62" s="1527"/>
      <c r="X62" s="400" t="s">
        <v>2160</v>
      </c>
      <c r="Z62" s="400">
        <v>0</v>
      </c>
      <c r="AK62" s="400">
        <v>45000</v>
      </c>
      <c r="AL62" s="400">
        <v>350000</v>
      </c>
      <c r="AM62" s="400">
        <v>375000</v>
      </c>
      <c r="AN62" s="400">
        <v>400000</v>
      </c>
      <c r="AO62" s="400">
        <v>425000</v>
      </c>
    </row>
    <row r="63" spans="2:41" ht="17.25" customHeight="1" thickBot="1" x14ac:dyDescent="0.35">
      <c r="B63" s="741"/>
      <c r="C63" s="742"/>
      <c r="D63" s="743"/>
      <c r="E63" s="742"/>
      <c r="F63" s="742"/>
      <c r="G63" s="742"/>
      <c r="H63" s="742"/>
      <c r="I63" s="742"/>
      <c r="J63" s="742"/>
      <c r="K63" s="742"/>
      <c r="L63" s="742"/>
      <c r="M63" s="742"/>
      <c r="N63" s="742"/>
      <c r="O63" s="726"/>
      <c r="P63" s="1534"/>
      <c r="Q63" s="1535"/>
      <c r="R63" s="1535"/>
      <c r="S63" s="1535"/>
      <c r="T63" s="1535"/>
      <c r="U63" s="1535"/>
      <c r="V63" s="1535"/>
      <c r="W63" s="744"/>
      <c r="X63" s="2459"/>
      <c r="Y63" s="2460"/>
      <c r="Z63" s="2463">
        <f t="shared" ref="Z63:AF63" si="27">Z61-Z62</f>
        <v>1561657.74</v>
      </c>
      <c r="AA63" s="2463">
        <f t="shared" si="27"/>
        <v>1592890.8948000001</v>
      </c>
      <c r="AB63" s="2463">
        <f t="shared" si="27"/>
        <v>1624748.7126960002</v>
      </c>
      <c r="AC63" s="2463">
        <f t="shared" si="27"/>
        <v>1657243.6869499204</v>
      </c>
      <c r="AD63" s="2463">
        <f t="shared" si="27"/>
        <v>1690388.5606889189</v>
      </c>
      <c r="AE63" s="2463">
        <f t="shared" si="27"/>
        <v>1724196.3319026972</v>
      </c>
      <c r="AF63" s="2463">
        <f t="shared" si="27"/>
        <v>1758680.2585407512</v>
      </c>
      <c r="AG63" s="2463">
        <f t="shared" ref="AG63" si="28">AG61-AG62</f>
        <v>1793853.8637115662</v>
      </c>
      <c r="AH63" s="2463">
        <f t="shared" ref="AH63" si="29">AH61-AH62</f>
        <v>1829730.9409857974</v>
      </c>
      <c r="AI63" s="2463">
        <f t="shared" ref="AI63" si="30">AI61-AI62</f>
        <v>1866325.5598055134</v>
      </c>
      <c r="AJ63" s="2463">
        <f t="shared" ref="AJ63" si="31">AJ61-AJ62</f>
        <v>1903652.0710016238</v>
      </c>
      <c r="AK63" s="2463">
        <f t="shared" ref="AK63" si="32">AK61-AK62</f>
        <v>1896725.1124216563</v>
      </c>
      <c r="AL63" s="2463">
        <f t="shared" ref="AL63" si="33">AL61-AL62</f>
        <v>1584659.6146700894</v>
      </c>
      <c r="AM63" s="2463">
        <f t="shared" ref="AM63" si="34">AM61-AM62</f>
        <v>1241352.8069634913</v>
      </c>
      <c r="AN63" s="2463">
        <f t="shared" ref="AN63" si="35">AN61-AN62</f>
        <v>866179.8631027611</v>
      </c>
      <c r="AO63" s="2463">
        <f t="shared" ref="AO63" si="36">AO61-AO62</f>
        <v>458503.46036481636</v>
      </c>
    </row>
    <row r="64" spans="2:41" ht="9" customHeight="1" x14ac:dyDescent="0.3">
      <c r="B64" s="255"/>
      <c r="C64" s="727"/>
      <c r="D64" s="727"/>
      <c r="E64" s="727"/>
      <c r="F64" s="727"/>
      <c r="G64" s="727"/>
      <c r="H64" s="727"/>
      <c r="I64" s="727"/>
      <c r="J64" s="727"/>
      <c r="K64" s="727"/>
      <c r="L64" s="727"/>
      <c r="M64" s="727"/>
      <c r="N64" s="727"/>
      <c r="O64" s="727"/>
      <c r="P64" s="727"/>
      <c r="Q64" s="727"/>
      <c r="R64" s="727"/>
      <c r="S64" s="727"/>
      <c r="T64" s="727"/>
      <c r="U64" s="727"/>
      <c r="V64" s="727"/>
      <c r="W64" s="256"/>
    </row>
    <row r="65" spans="2:23" ht="18" x14ac:dyDescent="0.35">
      <c r="B65" s="257"/>
      <c r="C65" s="2127" t="s">
        <v>1836</v>
      </c>
      <c r="D65" s="2127"/>
      <c r="E65" s="2127"/>
      <c r="F65" s="2127"/>
      <c r="G65" s="2127"/>
      <c r="H65" s="2127"/>
      <c r="I65" s="2127"/>
      <c r="J65" s="2127"/>
      <c r="K65" s="2127"/>
      <c r="L65" s="2127"/>
      <c r="M65" s="2127"/>
      <c r="N65" s="697"/>
      <c r="O65" s="697"/>
      <c r="P65" s="697"/>
      <c r="Q65" s="697"/>
      <c r="R65" s="697"/>
      <c r="S65" s="697"/>
      <c r="T65" s="697"/>
      <c r="U65" s="697"/>
      <c r="V65" s="697"/>
      <c r="W65" s="259"/>
    </row>
    <row r="66" spans="2:23" ht="7.5" customHeight="1" x14ac:dyDescent="0.3">
      <c r="B66" s="257"/>
      <c r="C66" s="258"/>
      <c r="D66" s="258"/>
      <c r="E66" s="258"/>
      <c r="F66" s="258"/>
      <c r="G66" s="258"/>
      <c r="H66" s="258"/>
      <c r="I66" s="258"/>
      <c r="J66" s="258"/>
      <c r="K66" s="258"/>
      <c r="L66" s="258"/>
      <c r="M66" s="258"/>
      <c r="N66" s="258"/>
      <c r="O66" s="258"/>
      <c r="P66" s="258"/>
      <c r="Q66" s="258"/>
      <c r="R66" s="258"/>
      <c r="S66" s="258"/>
      <c r="T66" s="258"/>
      <c r="U66" s="258"/>
      <c r="V66" s="258"/>
      <c r="W66" s="259"/>
    </row>
    <row r="67" spans="2:23" ht="15" thickBot="1" x14ac:dyDescent="0.35">
      <c r="B67" s="257"/>
      <c r="C67" s="2126" t="str">
        <f>IF('1'!G5="","Enter Project Name on Form 1",(CONCATENATE("Project Name: ",'1'!G5)))</f>
        <v>Project Name: 6600 Roosevelt Way NE</v>
      </c>
      <c r="D67" s="1536"/>
      <c r="E67" s="1536"/>
      <c r="F67" s="1536"/>
      <c r="G67" s="1536"/>
      <c r="H67" s="1536"/>
      <c r="I67" s="1536"/>
      <c r="J67" s="1537"/>
      <c r="K67" s="347"/>
      <c r="L67" s="1147"/>
      <c r="M67" s="1147"/>
      <c r="N67" s="493"/>
      <c r="O67" s="493"/>
      <c r="P67" s="493"/>
      <c r="Q67" s="493"/>
      <c r="R67" s="493"/>
      <c r="S67" s="493"/>
      <c r="T67" s="493"/>
      <c r="U67" s="493"/>
      <c r="V67" s="493"/>
      <c r="W67" s="259"/>
    </row>
    <row r="68" spans="2:23" ht="3.75" customHeight="1" x14ac:dyDescent="0.3">
      <c r="B68" s="257"/>
      <c r="C68" s="493"/>
      <c r="D68" s="493"/>
      <c r="E68" s="493"/>
      <c r="F68" s="493"/>
      <c r="G68" s="493"/>
      <c r="H68" s="424"/>
      <c r="I68" s="424"/>
      <c r="J68" s="424"/>
      <c r="K68" s="424"/>
      <c r="L68" s="493"/>
      <c r="M68" s="493"/>
      <c r="N68" s="493"/>
      <c r="O68" s="493"/>
      <c r="P68" s="493"/>
      <c r="Q68" s="493"/>
      <c r="R68" s="493"/>
      <c r="S68" s="493"/>
      <c r="T68" s="493"/>
      <c r="U68" s="493"/>
      <c r="V68" s="493"/>
      <c r="W68" s="259"/>
    </row>
    <row r="69" spans="2:23" x14ac:dyDescent="0.3">
      <c r="B69" s="260"/>
      <c r="C69" s="493" t="s">
        <v>354</v>
      </c>
      <c r="D69" s="736">
        <f>IF(D20=0,"",D20)</f>
        <v>42987</v>
      </c>
      <c r="E69" s="258"/>
      <c r="F69" s="258"/>
      <c r="G69" s="258"/>
      <c r="H69" s="261"/>
      <c r="I69" s="261"/>
      <c r="J69" s="261"/>
      <c r="K69" s="261"/>
      <c r="L69" s="261"/>
      <c r="M69" s="262"/>
      <c r="N69" s="261"/>
      <c r="O69" s="261"/>
      <c r="P69" s="261"/>
      <c r="Q69" s="261"/>
      <c r="R69" s="261"/>
      <c r="S69" s="261"/>
      <c r="T69" s="261"/>
      <c r="U69" s="261"/>
      <c r="V69" s="261"/>
      <c r="W69" s="263"/>
    </row>
    <row r="70" spans="2:23" ht="7.5" customHeight="1" thickBot="1" x14ac:dyDescent="0.35">
      <c r="B70" s="729"/>
      <c r="C70" s="424"/>
      <c r="D70" s="424"/>
      <c r="E70" s="424"/>
      <c r="F70" s="424"/>
      <c r="G70" s="424"/>
      <c r="H70" s="424"/>
      <c r="I70" s="424"/>
      <c r="J70" s="424"/>
      <c r="K70" s="424"/>
      <c r="L70" s="424"/>
      <c r="M70" s="424"/>
      <c r="N70" s="424"/>
      <c r="O70" s="424"/>
      <c r="P70" s="424"/>
      <c r="Q70" s="424"/>
      <c r="R70" s="424"/>
      <c r="S70" s="424"/>
      <c r="T70" s="424"/>
      <c r="U70" s="424"/>
      <c r="V70" s="424"/>
      <c r="W70" s="737"/>
    </row>
    <row r="71" spans="2:23" ht="36.6" thickBot="1" x14ac:dyDescent="0.35">
      <c r="B71" s="260"/>
      <c r="C71" s="265" t="s">
        <v>374</v>
      </c>
      <c r="D71" s="258"/>
      <c r="E71" s="276"/>
      <c r="F71" s="738" t="s">
        <v>364</v>
      </c>
      <c r="G71" s="247" t="s">
        <v>375</v>
      </c>
      <c r="H71" s="241" t="s">
        <v>356</v>
      </c>
      <c r="I71" s="730" t="s">
        <v>357</v>
      </c>
      <c r="J71" s="730" t="s">
        <v>358</v>
      </c>
      <c r="K71" s="730" t="s">
        <v>359</v>
      </c>
      <c r="L71" s="730" t="s">
        <v>360</v>
      </c>
      <c r="M71" s="730" t="s">
        <v>361</v>
      </c>
      <c r="N71" s="730" t="s">
        <v>362</v>
      </c>
      <c r="O71" s="730" t="s">
        <v>414</v>
      </c>
      <c r="P71" s="730" t="s">
        <v>415</v>
      </c>
      <c r="Q71" s="730" t="s">
        <v>416</v>
      </c>
      <c r="R71" s="730" t="s">
        <v>417</v>
      </c>
      <c r="S71" s="730" t="s">
        <v>418</v>
      </c>
      <c r="T71" s="730" t="s">
        <v>419</v>
      </c>
      <c r="U71" s="730" t="s">
        <v>420</v>
      </c>
      <c r="V71" s="253" t="s">
        <v>421</v>
      </c>
      <c r="W71" s="1527"/>
    </row>
    <row r="72" spans="2:23" x14ac:dyDescent="0.3">
      <c r="B72" s="260"/>
      <c r="C72" s="277" t="s">
        <v>376</v>
      </c>
      <c r="D72" s="278"/>
      <c r="E72" s="784"/>
      <c r="F72" s="789">
        <v>3.5000000000000003E-2</v>
      </c>
      <c r="G72" s="1606">
        <f>IFERROR(H72/'2A'!$L$14,"")</f>
        <v>811.20821204819276</v>
      </c>
      <c r="H72" s="1981">
        <f>'8C - 4% Building'!L27</f>
        <v>134660.5632</v>
      </c>
      <c r="I72" s="1122">
        <f t="shared" ref="I72:V72" si="37">H72+(H72*$F72)</f>
        <v>139373.68291200002</v>
      </c>
      <c r="J72" s="1122">
        <f t="shared" si="37"/>
        <v>144251.76181392002</v>
      </c>
      <c r="K72" s="1122">
        <f t="shared" si="37"/>
        <v>149300.57347740722</v>
      </c>
      <c r="L72" s="1122">
        <f t="shared" si="37"/>
        <v>154526.09354911649</v>
      </c>
      <c r="M72" s="1122">
        <f t="shared" si="37"/>
        <v>159934.50682333557</v>
      </c>
      <c r="N72" s="1122">
        <f t="shared" si="37"/>
        <v>165532.21456215231</v>
      </c>
      <c r="O72" s="1122">
        <f t="shared" si="37"/>
        <v>171325.84207182765</v>
      </c>
      <c r="P72" s="1122">
        <f t="shared" si="37"/>
        <v>177322.24654434161</v>
      </c>
      <c r="Q72" s="1122">
        <f t="shared" si="37"/>
        <v>183528.52517339357</v>
      </c>
      <c r="R72" s="1122">
        <f t="shared" si="37"/>
        <v>189952.02355446236</v>
      </c>
      <c r="S72" s="1122">
        <f t="shared" si="37"/>
        <v>196600.34437886855</v>
      </c>
      <c r="T72" s="1122">
        <f t="shared" si="37"/>
        <v>203481.35643212896</v>
      </c>
      <c r="U72" s="1122">
        <f t="shared" si="37"/>
        <v>210603.20390725348</v>
      </c>
      <c r="V72" s="1123">
        <f t="shared" si="37"/>
        <v>217974.31604400737</v>
      </c>
      <c r="W72" s="1527"/>
    </row>
    <row r="73" spans="2:23" x14ac:dyDescent="0.3">
      <c r="B73" s="279"/>
      <c r="C73" s="280" t="s">
        <v>377</v>
      </c>
      <c r="D73" s="281"/>
      <c r="E73" s="785"/>
      <c r="F73" s="790">
        <v>2.5000000000000001E-2</v>
      </c>
      <c r="G73" s="1607">
        <f>IFERROR(H73/'2A'!$L$14,"")</f>
        <v>722.69277108433732</v>
      </c>
      <c r="H73" s="1982">
        <f>'8C - 4% Building'!L28</f>
        <v>119967</v>
      </c>
      <c r="I73" s="1125">
        <f t="shared" ref="I73:V73" si="38">H73+(H73*$F73)</f>
        <v>122966.175</v>
      </c>
      <c r="J73" s="1125">
        <f t="shared" si="38"/>
        <v>126040.329375</v>
      </c>
      <c r="K73" s="1125">
        <f t="shared" si="38"/>
        <v>129191.337609375</v>
      </c>
      <c r="L73" s="1125">
        <f t="shared" si="38"/>
        <v>132421.12104960938</v>
      </c>
      <c r="M73" s="1125">
        <f t="shared" si="38"/>
        <v>135731.64907584962</v>
      </c>
      <c r="N73" s="1125">
        <f t="shared" si="38"/>
        <v>139124.94030274588</v>
      </c>
      <c r="O73" s="1125">
        <f t="shared" si="38"/>
        <v>142603.06381031452</v>
      </c>
      <c r="P73" s="1125">
        <f t="shared" si="38"/>
        <v>146168.14040557237</v>
      </c>
      <c r="Q73" s="1125">
        <f t="shared" si="38"/>
        <v>149822.34391571168</v>
      </c>
      <c r="R73" s="1125">
        <f t="shared" si="38"/>
        <v>153567.90251360447</v>
      </c>
      <c r="S73" s="1125">
        <f t="shared" si="38"/>
        <v>157407.10007644456</v>
      </c>
      <c r="T73" s="1125">
        <f t="shared" si="38"/>
        <v>161342.27757835569</v>
      </c>
      <c r="U73" s="1125">
        <f t="shared" si="38"/>
        <v>165375.83451781457</v>
      </c>
      <c r="V73" s="1126">
        <f t="shared" si="38"/>
        <v>169510.23038075992</v>
      </c>
      <c r="W73" s="1527"/>
    </row>
    <row r="74" spans="2:23" x14ac:dyDescent="0.3">
      <c r="B74" s="260"/>
      <c r="C74" s="280" t="s">
        <v>378</v>
      </c>
      <c r="D74" s="281"/>
      <c r="E74" s="785"/>
      <c r="F74" s="790">
        <v>3.5000000000000003E-2</v>
      </c>
      <c r="G74" s="1607">
        <f>IFERROR(H74/'2A'!$L$14,"")</f>
        <v>57.2289156626506</v>
      </c>
      <c r="H74" s="2415">
        <v>9500</v>
      </c>
      <c r="I74" s="1125">
        <f t="shared" ref="I74:V74" si="39">H74+(H74*$F74)</f>
        <v>9832.5</v>
      </c>
      <c r="J74" s="1125">
        <f t="shared" si="39"/>
        <v>10176.637500000001</v>
      </c>
      <c r="K74" s="1125">
        <f t="shared" si="39"/>
        <v>10532.819812500002</v>
      </c>
      <c r="L74" s="1125">
        <f t="shared" si="39"/>
        <v>10901.468505937502</v>
      </c>
      <c r="M74" s="1125">
        <f t="shared" si="39"/>
        <v>11283.019903645316</v>
      </c>
      <c r="N74" s="1125">
        <f t="shared" si="39"/>
        <v>11677.925600272902</v>
      </c>
      <c r="O74" s="1125">
        <f t="shared" si="39"/>
        <v>12086.652996282453</v>
      </c>
      <c r="P74" s="1125">
        <f t="shared" si="39"/>
        <v>12509.685851152339</v>
      </c>
      <c r="Q74" s="1125">
        <f t="shared" si="39"/>
        <v>12947.524855942671</v>
      </c>
      <c r="R74" s="1125">
        <f t="shared" si="39"/>
        <v>13400.688225900665</v>
      </c>
      <c r="S74" s="1125">
        <f t="shared" si="39"/>
        <v>13869.712313807189</v>
      </c>
      <c r="T74" s="1125">
        <f t="shared" si="39"/>
        <v>14355.152244790441</v>
      </c>
      <c r="U74" s="1125">
        <f t="shared" si="39"/>
        <v>14857.582573358106</v>
      </c>
      <c r="V74" s="1126">
        <f t="shared" si="39"/>
        <v>15377.59796342564</v>
      </c>
      <c r="W74" s="1527"/>
    </row>
    <row r="75" spans="2:23" x14ac:dyDescent="0.3">
      <c r="B75" s="260"/>
      <c r="C75" s="280" t="s">
        <v>379</v>
      </c>
      <c r="D75" s="282"/>
      <c r="E75" s="785"/>
      <c r="F75" s="790">
        <v>3.5000000000000003E-2</v>
      </c>
      <c r="G75" s="1607">
        <f>IFERROR(H75/'2A'!$L$14,"")</f>
        <v>10.855421686746988</v>
      </c>
      <c r="H75" s="2415">
        <v>1802</v>
      </c>
      <c r="I75" s="1125">
        <f t="shared" ref="I75:V75" si="40">H75+(H75*$F75)</f>
        <v>1865.07</v>
      </c>
      <c r="J75" s="1125">
        <f t="shared" si="40"/>
        <v>1930.34745</v>
      </c>
      <c r="K75" s="1125">
        <f>J75+(J75*$F75)</f>
        <v>1997.90961075</v>
      </c>
      <c r="L75" s="1125">
        <f t="shared" si="40"/>
        <v>2067.8364471262498</v>
      </c>
      <c r="M75" s="1125">
        <f t="shared" si="40"/>
        <v>2140.2107227756687</v>
      </c>
      <c r="N75" s="1125">
        <f t="shared" si="40"/>
        <v>2215.1180980728172</v>
      </c>
      <c r="O75" s="1125">
        <f t="shared" si="40"/>
        <v>2292.6472315053657</v>
      </c>
      <c r="P75" s="1125">
        <f t="shared" si="40"/>
        <v>2372.8898846080533</v>
      </c>
      <c r="Q75" s="1125">
        <f t="shared" si="40"/>
        <v>2455.941030569335</v>
      </c>
      <c r="R75" s="1125">
        <f t="shared" si="40"/>
        <v>2541.8989666392617</v>
      </c>
      <c r="S75" s="1125">
        <f t="shared" si="40"/>
        <v>2630.865430471636</v>
      </c>
      <c r="T75" s="1125">
        <f t="shared" si="40"/>
        <v>2722.9457205381432</v>
      </c>
      <c r="U75" s="1125">
        <f t="shared" si="40"/>
        <v>2818.2488207569781</v>
      </c>
      <c r="V75" s="1126">
        <f t="shared" si="40"/>
        <v>2916.8875294834725</v>
      </c>
      <c r="W75" s="1527"/>
    </row>
    <row r="76" spans="2:23" x14ac:dyDescent="0.3">
      <c r="B76" s="260"/>
      <c r="C76" s="280" t="s">
        <v>380</v>
      </c>
      <c r="D76" s="281"/>
      <c r="E76" s="785"/>
      <c r="F76" s="790">
        <v>3.5000000000000003E-2</v>
      </c>
      <c r="G76" s="1607">
        <f>IFERROR(H76/'2A'!$L$14,"")</f>
        <v>275</v>
      </c>
      <c r="H76" s="2415">
        <v>45650</v>
      </c>
      <c r="I76" s="1125">
        <f t="shared" ref="I76:V76" si="41">H76+(H76*$F76)</f>
        <v>47247.75</v>
      </c>
      <c r="J76" s="1125">
        <f t="shared" si="41"/>
        <v>48901.421249999999</v>
      </c>
      <c r="K76" s="1125">
        <f t="shared" si="41"/>
        <v>50612.970993750001</v>
      </c>
      <c r="L76" s="1125">
        <f t="shared" si="41"/>
        <v>52384.42497853125</v>
      </c>
      <c r="M76" s="1125">
        <f t="shared" si="41"/>
        <v>54217.879852779843</v>
      </c>
      <c r="N76" s="1125">
        <f t="shared" si="41"/>
        <v>56115.505647627135</v>
      </c>
      <c r="O76" s="1125">
        <f t="shared" si="41"/>
        <v>58079.548345294083</v>
      </c>
      <c r="P76" s="1125">
        <f t="shared" si="41"/>
        <v>60112.332537379378</v>
      </c>
      <c r="Q76" s="1125">
        <f t="shared" si="41"/>
        <v>62216.264176187658</v>
      </c>
      <c r="R76" s="1125">
        <f t="shared" si="41"/>
        <v>64393.833422354226</v>
      </c>
      <c r="S76" s="1125">
        <f t="shared" si="41"/>
        <v>66647.617592136623</v>
      </c>
      <c r="T76" s="1125">
        <f t="shared" si="41"/>
        <v>68980.284207861405</v>
      </c>
      <c r="U76" s="1125">
        <f t="shared" si="41"/>
        <v>71394.594155136554</v>
      </c>
      <c r="V76" s="1126">
        <f t="shared" si="41"/>
        <v>73893.404950566328</v>
      </c>
      <c r="W76" s="1527"/>
    </row>
    <row r="77" spans="2:23" x14ac:dyDescent="0.3">
      <c r="B77" s="260"/>
      <c r="C77" s="280" t="s">
        <v>381</v>
      </c>
      <c r="D77" s="281"/>
      <c r="E77" s="785"/>
      <c r="F77" s="790">
        <v>3.5000000000000003E-2</v>
      </c>
      <c r="G77" s="1607">
        <f>IFERROR(H77/'2A'!$L$14,"")</f>
        <v>271.08433734939757</v>
      </c>
      <c r="H77" s="2415">
        <v>45000</v>
      </c>
      <c r="I77" s="1125">
        <f t="shared" ref="I77:V77" si="42">H77+(H77*$F77)</f>
        <v>46575</v>
      </c>
      <c r="J77" s="1125">
        <f t="shared" si="42"/>
        <v>48205.125</v>
      </c>
      <c r="K77" s="1125">
        <f t="shared" si="42"/>
        <v>49892.304375</v>
      </c>
      <c r="L77" s="1125">
        <f t="shared" si="42"/>
        <v>51638.535028124999</v>
      </c>
      <c r="M77" s="1125">
        <f t="shared" si="42"/>
        <v>53445.883754109374</v>
      </c>
      <c r="N77" s="1125">
        <f t="shared" si="42"/>
        <v>55316.489685503206</v>
      </c>
      <c r="O77" s="1125">
        <f t="shared" si="42"/>
        <v>57252.566824495821</v>
      </c>
      <c r="P77" s="1125">
        <f t="shared" si="42"/>
        <v>59256.406663353177</v>
      </c>
      <c r="Q77" s="1125">
        <f t="shared" si="42"/>
        <v>61330.380896570539</v>
      </c>
      <c r="R77" s="1125">
        <f t="shared" si="42"/>
        <v>63476.944227950509</v>
      </c>
      <c r="S77" s="1125">
        <f t="shared" si="42"/>
        <v>65698.637275928777</v>
      </c>
      <c r="T77" s="1125">
        <f t="shared" si="42"/>
        <v>67998.089580586282</v>
      </c>
      <c r="U77" s="1125">
        <f t="shared" si="42"/>
        <v>70378.022715906802</v>
      </c>
      <c r="V77" s="1126">
        <f t="shared" si="42"/>
        <v>72841.253510963536</v>
      </c>
      <c r="W77" s="1527"/>
    </row>
    <row r="78" spans="2:23" x14ac:dyDescent="0.3">
      <c r="B78" s="260"/>
      <c r="C78" s="280" t="s">
        <v>382</v>
      </c>
      <c r="D78" s="281"/>
      <c r="E78" s="785"/>
      <c r="F78" s="790">
        <v>3.5000000000000003E-2</v>
      </c>
      <c r="G78" s="1607">
        <f>IFERROR(H78/'2A'!$L$14,"")</f>
        <v>6.1204819277108431</v>
      </c>
      <c r="H78" s="2415">
        <v>1016</v>
      </c>
      <c r="I78" s="1125">
        <f t="shared" ref="I78:V78" si="43">H78+(H78*$F78)</f>
        <v>1051.56</v>
      </c>
      <c r="J78" s="1125">
        <f t="shared" si="43"/>
        <v>1088.3645999999999</v>
      </c>
      <c r="K78" s="1125">
        <f t="shared" si="43"/>
        <v>1126.457361</v>
      </c>
      <c r="L78" s="1125">
        <f t="shared" si="43"/>
        <v>1165.8833686349999</v>
      </c>
      <c r="M78" s="1125">
        <f t="shared" si="43"/>
        <v>1206.6892865372249</v>
      </c>
      <c r="N78" s="1125">
        <f t="shared" si="43"/>
        <v>1248.9234115660279</v>
      </c>
      <c r="O78" s="1125">
        <f t="shared" si="43"/>
        <v>1292.6357309708389</v>
      </c>
      <c r="P78" s="1125">
        <f t="shared" si="43"/>
        <v>1337.8779815548182</v>
      </c>
      <c r="Q78" s="1125">
        <f t="shared" si="43"/>
        <v>1384.7037109092369</v>
      </c>
      <c r="R78" s="1125">
        <f t="shared" si="43"/>
        <v>1433.1683407910602</v>
      </c>
      <c r="S78" s="1125">
        <f t="shared" si="43"/>
        <v>1483.3292327187473</v>
      </c>
      <c r="T78" s="1125">
        <f t="shared" si="43"/>
        <v>1535.2457558639035</v>
      </c>
      <c r="U78" s="1125">
        <f t="shared" si="43"/>
        <v>1588.97935731914</v>
      </c>
      <c r="V78" s="1126">
        <f t="shared" si="43"/>
        <v>1644.5936348253099</v>
      </c>
      <c r="W78" s="1527"/>
    </row>
    <row r="79" spans="2:23" x14ac:dyDescent="0.3">
      <c r="B79" s="260"/>
      <c r="C79" s="280" t="s">
        <v>383</v>
      </c>
      <c r="D79" s="282"/>
      <c r="E79" s="785"/>
      <c r="F79" s="790">
        <v>3.5000000000000003E-2</v>
      </c>
      <c r="G79" s="1607">
        <f>IFERROR(H79/'2A'!$L$14,"")</f>
        <v>0</v>
      </c>
      <c r="H79" s="1124">
        <v>0</v>
      </c>
      <c r="I79" s="1125">
        <f t="shared" ref="I79:V79" si="44">H79+(H79*$F79)</f>
        <v>0</v>
      </c>
      <c r="J79" s="1125">
        <f t="shared" si="44"/>
        <v>0</v>
      </c>
      <c r="K79" s="1125">
        <f t="shared" si="44"/>
        <v>0</v>
      </c>
      <c r="L79" s="1125">
        <f t="shared" si="44"/>
        <v>0</v>
      </c>
      <c r="M79" s="1125">
        <f t="shared" si="44"/>
        <v>0</v>
      </c>
      <c r="N79" s="1125">
        <f t="shared" si="44"/>
        <v>0</v>
      </c>
      <c r="O79" s="1125">
        <f t="shared" si="44"/>
        <v>0</v>
      </c>
      <c r="P79" s="1125">
        <f t="shared" si="44"/>
        <v>0</v>
      </c>
      <c r="Q79" s="1125">
        <f t="shared" si="44"/>
        <v>0</v>
      </c>
      <c r="R79" s="1125">
        <f t="shared" si="44"/>
        <v>0</v>
      </c>
      <c r="S79" s="1125">
        <f t="shared" si="44"/>
        <v>0</v>
      </c>
      <c r="T79" s="1125">
        <f t="shared" si="44"/>
        <v>0</v>
      </c>
      <c r="U79" s="1125">
        <f t="shared" si="44"/>
        <v>0</v>
      </c>
      <c r="V79" s="1126">
        <f t="shared" si="44"/>
        <v>0</v>
      </c>
      <c r="W79" s="1527"/>
    </row>
    <row r="80" spans="2:23" x14ac:dyDescent="0.3">
      <c r="B80" s="260"/>
      <c r="C80" s="280" t="s">
        <v>384</v>
      </c>
      <c r="D80" s="281"/>
      <c r="E80" s="785"/>
      <c r="F80" s="790">
        <v>3.5000000000000003E-2</v>
      </c>
      <c r="G80" s="1607">
        <f>IFERROR(H80/'2A'!$L$14,"")</f>
        <v>150</v>
      </c>
      <c r="H80" s="2415">
        <v>24900</v>
      </c>
      <c r="I80" s="1125">
        <f t="shared" ref="I80:V80" si="45">H80+(H80*$F80)</f>
        <v>25771.5</v>
      </c>
      <c r="J80" s="1125">
        <f t="shared" si="45"/>
        <v>26673.502499999999</v>
      </c>
      <c r="K80" s="1125">
        <f t="shared" si="45"/>
        <v>27607.075087499998</v>
      </c>
      <c r="L80" s="1125">
        <f t="shared" si="45"/>
        <v>28573.322715562499</v>
      </c>
      <c r="M80" s="1125">
        <f t="shared" si="45"/>
        <v>29573.389010607185</v>
      </c>
      <c r="N80" s="1125">
        <f t="shared" si="45"/>
        <v>30608.457625978437</v>
      </c>
      <c r="O80" s="1125">
        <f t="shared" si="45"/>
        <v>31679.753642887681</v>
      </c>
      <c r="P80" s="1125">
        <f t="shared" si="45"/>
        <v>32788.545020388752</v>
      </c>
      <c r="Q80" s="1125">
        <f t="shared" si="45"/>
        <v>33936.144096102362</v>
      </c>
      <c r="R80" s="1125">
        <f t="shared" si="45"/>
        <v>35123.909139465948</v>
      </c>
      <c r="S80" s="1125">
        <f t="shared" si="45"/>
        <v>36353.245959347259</v>
      </c>
      <c r="T80" s="1125">
        <f t="shared" si="45"/>
        <v>37625.609567924417</v>
      </c>
      <c r="U80" s="1125">
        <f t="shared" si="45"/>
        <v>38942.505902801771</v>
      </c>
      <c r="V80" s="1126">
        <f t="shared" si="45"/>
        <v>40305.493609399833</v>
      </c>
      <c r="W80" s="1527"/>
    </row>
    <row r="81" spans="2:23" x14ac:dyDescent="0.3">
      <c r="B81" s="260"/>
      <c r="C81" s="280" t="s">
        <v>385</v>
      </c>
      <c r="D81" s="282"/>
      <c r="E81" s="785"/>
      <c r="F81" s="790">
        <v>3.5000000000000003E-2</v>
      </c>
      <c r="G81" s="1607">
        <f>IFERROR(H81/'2A'!$L$14,"")</f>
        <v>200</v>
      </c>
      <c r="H81" s="2415">
        <v>33200</v>
      </c>
      <c r="I81" s="1125">
        <f t="shared" ref="I81:V81" si="46">H81+(H81*$F81)</f>
        <v>34362</v>
      </c>
      <c r="J81" s="1125">
        <f t="shared" si="46"/>
        <v>35564.67</v>
      </c>
      <c r="K81" s="1125">
        <f t="shared" si="46"/>
        <v>36809.433449999997</v>
      </c>
      <c r="L81" s="1125">
        <f t="shared" si="46"/>
        <v>38097.763620749996</v>
      </c>
      <c r="M81" s="1125">
        <f t="shared" si="46"/>
        <v>39431.185347476247</v>
      </c>
      <c r="N81" s="1125">
        <f t="shared" si="46"/>
        <v>40811.276834637916</v>
      </c>
      <c r="O81" s="1125">
        <f t="shared" si="46"/>
        <v>42239.671523850244</v>
      </c>
      <c r="P81" s="1125">
        <f t="shared" si="46"/>
        <v>43718.060027185005</v>
      </c>
      <c r="Q81" s="1125">
        <f t="shared" si="46"/>
        <v>45248.192128136478</v>
      </c>
      <c r="R81" s="1125">
        <f t="shared" si="46"/>
        <v>46831.878852621252</v>
      </c>
      <c r="S81" s="1125">
        <f t="shared" si="46"/>
        <v>48470.994612462993</v>
      </c>
      <c r="T81" s="1125">
        <f t="shared" si="46"/>
        <v>50167.479423899196</v>
      </c>
      <c r="U81" s="1125">
        <f t="shared" si="46"/>
        <v>51923.341203735668</v>
      </c>
      <c r="V81" s="1126">
        <f t="shared" si="46"/>
        <v>53740.658145866415</v>
      </c>
      <c r="W81" s="1527"/>
    </row>
    <row r="82" spans="2:23" x14ac:dyDescent="0.3">
      <c r="B82" s="260"/>
      <c r="C82" s="280" t="s">
        <v>386</v>
      </c>
      <c r="D82" s="281"/>
      <c r="E82" s="785"/>
      <c r="F82" s="790">
        <v>3.5000000000000003E-2</v>
      </c>
      <c r="G82" s="1607">
        <f>IFERROR(H82/'2A'!$L$14,"")</f>
        <v>150</v>
      </c>
      <c r="H82" s="2415">
        <v>24900</v>
      </c>
      <c r="I82" s="1125">
        <f t="shared" ref="I82:V82" si="47">H82+(H82*$F82)</f>
        <v>25771.5</v>
      </c>
      <c r="J82" s="1125">
        <f t="shared" si="47"/>
        <v>26673.502499999999</v>
      </c>
      <c r="K82" s="1125">
        <f t="shared" si="47"/>
        <v>27607.075087499998</v>
      </c>
      <c r="L82" s="1125">
        <f t="shared" si="47"/>
        <v>28573.322715562499</v>
      </c>
      <c r="M82" s="1125">
        <f t="shared" si="47"/>
        <v>29573.389010607185</v>
      </c>
      <c r="N82" s="1125">
        <f t="shared" si="47"/>
        <v>30608.457625978437</v>
      </c>
      <c r="O82" s="1125">
        <f t="shared" si="47"/>
        <v>31679.753642887681</v>
      </c>
      <c r="P82" s="1125">
        <f t="shared" si="47"/>
        <v>32788.545020388752</v>
      </c>
      <c r="Q82" s="1125">
        <f t="shared" si="47"/>
        <v>33936.144096102362</v>
      </c>
      <c r="R82" s="1125">
        <f t="shared" si="47"/>
        <v>35123.909139465948</v>
      </c>
      <c r="S82" s="1125">
        <f t="shared" si="47"/>
        <v>36353.245959347259</v>
      </c>
      <c r="T82" s="1125">
        <f t="shared" si="47"/>
        <v>37625.609567924417</v>
      </c>
      <c r="U82" s="1125">
        <f t="shared" si="47"/>
        <v>38942.505902801771</v>
      </c>
      <c r="V82" s="1126">
        <f t="shared" si="47"/>
        <v>40305.493609399833</v>
      </c>
      <c r="W82" s="1527"/>
    </row>
    <row r="83" spans="2:23" x14ac:dyDescent="0.3">
      <c r="B83" s="260"/>
      <c r="C83" s="280" t="s">
        <v>387</v>
      </c>
      <c r="D83" s="282"/>
      <c r="E83" s="785"/>
      <c r="F83" s="790">
        <v>3.5000000000000003E-2</v>
      </c>
      <c r="G83" s="1607">
        <f>IFERROR(H83/'2A'!$L$14,"")</f>
        <v>75</v>
      </c>
      <c r="H83" s="2415">
        <v>12450</v>
      </c>
      <c r="I83" s="1125">
        <f t="shared" ref="I83:V83" si="48">H83+(H83*$F83)</f>
        <v>12885.75</v>
      </c>
      <c r="J83" s="1125">
        <f t="shared" si="48"/>
        <v>13336.751249999999</v>
      </c>
      <c r="K83" s="1125">
        <f t="shared" si="48"/>
        <v>13803.537543749999</v>
      </c>
      <c r="L83" s="1125">
        <f t="shared" si="48"/>
        <v>14286.66135778125</v>
      </c>
      <c r="M83" s="1125">
        <f t="shared" si="48"/>
        <v>14786.694505303592</v>
      </c>
      <c r="N83" s="1125">
        <f t="shared" si="48"/>
        <v>15304.228812989219</v>
      </c>
      <c r="O83" s="1125">
        <f t="shared" si="48"/>
        <v>15839.876821443841</v>
      </c>
      <c r="P83" s="1125">
        <f t="shared" si="48"/>
        <v>16394.272510194376</v>
      </c>
      <c r="Q83" s="1125">
        <f t="shared" si="48"/>
        <v>16968.072048051181</v>
      </c>
      <c r="R83" s="1125">
        <f t="shared" si="48"/>
        <v>17561.954569732974</v>
      </c>
      <c r="S83" s="1125">
        <f t="shared" si="48"/>
        <v>18176.62297967363</v>
      </c>
      <c r="T83" s="1125">
        <f t="shared" si="48"/>
        <v>18812.804783962209</v>
      </c>
      <c r="U83" s="1125">
        <f t="shared" si="48"/>
        <v>19471.252951400886</v>
      </c>
      <c r="V83" s="1126">
        <f t="shared" si="48"/>
        <v>20152.746804699917</v>
      </c>
      <c r="W83" s="1527"/>
    </row>
    <row r="84" spans="2:23" x14ac:dyDescent="0.3">
      <c r="B84" s="260"/>
      <c r="C84" s="280" t="s">
        <v>388</v>
      </c>
      <c r="D84" s="282"/>
      <c r="E84" s="785"/>
      <c r="F84" s="790">
        <v>3.5000000000000003E-2</v>
      </c>
      <c r="G84" s="1607">
        <f>IFERROR(H84/'2A'!$L$14,"")</f>
        <v>100</v>
      </c>
      <c r="H84" s="2415">
        <v>16600</v>
      </c>
      <c r="I84" s="1125">
        <f t="shared" ref="I84:V84" si="49">H84+(H84*$F84)</f>
        <v>17181</v>
      </c>
      <c r="J84" s="1125">
        <f t="shared" si="49"/>
        <v>17782.334999999999</v>
      </c>
      <c r="K84" s="1125">
        <f t="shared" si="49"/>
        <v>18404.716724999998</v>
      </c>
      <c r="L84" s="1125">
        <f t="shared" si="49"/>
        <v>19048.881810374998</v>
      </c>
      <c r="M84" s="1125">
        <f t="shared" si="49"/>
        <v>19715.592673738123</v>
      </c>
      <c r="N84" s="1125">
        <f t="shared" si="49"/>
        <v>20405.638417318958</v>
      </c>
      <c r="O84" s="1125">
        <f t="shared" si="49"/>
        <v>21119.835761925122</v>
      </c>
      <c r="P84" s="1125">
        <f t="shared" si="49"/>
        <v>21859.030013592503</v>
      </c>
      <c r="Q84" s="1125">
        <f t="shared" si="49"/>
        <v>22624.096064068239</v>
      </c>
      <c r="R84" s="1125">
        <f t="shared" si="49"/>
        <v>23415.939426310626</v>
      </c>
      <c r="S84" s="1125">
        <f t="shared" si="49"/>
        <v>24235.497306231497</v>
      </c>
      <c r="T84" s="1125">
        <f t="shared" si="49"/>
        <v>25083.739711949598</v>
      </c>
      <c r="U84" s="1125">
        <f t="shared" si="49"/>
        <v>25961.670601867834</v>
      </c>
      <c r="V84" s="1126">
        <f t="shared" si="49"/>
        <v>26870.329072933207</v>
      </c>
      <c r="W84" s="1527"/>
    </row>
    <row r="85" spans="2:23" x14ac:dyDescent="0.3">
      <c r="B85" s="260"/>
      <c r="C85" s="280" t="s">
        <v>389</v>
      </c>
      <c r="D85" s="282"/>
      <c r="E85" s="785"/>
      <c r="F85" s="790">
        <v>3.5000000000000003E-2</v>
      </c>
      <c r="G85" s="1607">
        <f>IFERROR(H85/'2A'!$L$14,"")</f>
        <v>150</v>
      </c>
      <c r="H85" s="2415">
        <v>24900</v>
      </c>
      <c r="I85" s="1125">
        <f t="shared" ref="I85:V85" si="50">H85+(H85*$F85)</f>
        <v>25771.5</v>
      </c>
      <c r="J85" s="1125">
        <f t="shared" si="50"/>
        <v>26673.502499999999</v>
      </c>
      <c r="K85" s="1125">
        <f t="shared" si="50"/>
        <v>27607.075087499998</v>
      </c>
      <c r="L85" s="1125">
        <f t="shared" si="50"/>
        <v>28573.322715562499</v>
      </c>
      <c r="M85" s="1125">
        <f t="shared" si="50"/>
        <v>29573.389010607185</v>
      </c>
      <c r="N85" s="1125">
        <f t="shared" si="50"/>
        <v>30608.457625978437</v>
      </c>
      <c r="O85" s="1125">
        <f t="shared" si="50"/>
        <v>31679.753642887681</v>
      </c>
      <c r="P85" s="1125">
        <f t="shared" si="50"/>
        <v>32788.545020388752</v>
      </c>
      <c r="Q85" s="1125">
        <f t="shared" si="50"/>
        <v>33936.144096102362</v>
      </c>
      <c r="R85" s="1125">
        <f t="shared" si="50"/>
        <v>35123.909139465948</v>
      </c>
      <c r="S85" s="1125">
        <f t="shared" si="50"/>
        <v>36353.245959347259</v>
      </c>
      <c r="T85" s="1125">
        <f t="shared" si="50"/>
        <v>37625.609567924417</v>
      </c>
      <c r="U85" s="1125">
        <f t="shared" si="50"/>
        <v>38942.505902801771</v>
      </c>
      <c r="V85" s="1126">
        <f t="shared" si="50"/>
        <v>40305.493609399833</v>
      </c>
      <c r="W85" s="1527"/>
    </row>
    <row r="86" spans="2:23" x14ac:dyDescent="0.3">
      <c r="B86" s="260"/>
      <c r="C86" s="280" t="s">
        <v>390</v>
      </c>
      <c r="D86" s="282"/>
      <c r="E86" s="785"/>
      <c r="F86" s="790">
        <v>3.5000000000000003E-2</v>
      </c>
      <c r="G86" s="1607">
        <f>IFERROR(H86/'2A'!$L$14,"")</f>
        <v>120</v>
      </c>
      <c r="H86" s="2415">
        <v>19920</v>
      </c>
      <c r="I86" s="1125">
        <f t="shared" ref="I86:V86" si="51">H86+(H86*$F86)</f>
        <v>20617.2</v>
      </c>
      <c r="J86" s="1125">
        <f t="shared" si="51"/>
        <v>21338.802</v>
      </c>
      <c r="K86" s="1125">
        <f t="shared" si="51"/>
        <v>22085.660069999998</v>
      </c>
      <c r="L86" s="1125">
        <f t="shared" si="51"/>
        <v>22858.658172449999</v>
      </c>
      <c r="M86" s="1125">
        <f t="shared" si="51"/>
        <v>23658.711208485751</v>
      </c>
      <c r="N86" s="1125">
        <f t="shared" si="51"/>
        <v>24486.766100782752</v>
      </c>
      <c r="O86" s="1125">
        <f t="shared" si="51"/>
        <v>25343.802914310148</v>
      </c>
      <c r="P86" s="1125">
        <f t="shared" si="51"/>
        <v>26230.836016311005</v>
      </c>
      <c r="Q86" s="1125">
        <f t="shared" si="51"/>
        <v>27148.915276881889</v>
      </c>
      <c r="R86" s="1125">
        <f t="shared" si="51"/>
        <v>28099.127311572756</v>
      </c>
      <c r="S86" s="1125">
        <f t="shared" si="51"/>
        <v>29082.596767477804</v>
      </c>
      <c r="T86" s="1125">
        <f t="shared" si="51"/>
        <v>30100.487654339526</v>
      </c>
      <c r="U86" s="1125">
        <f t="shared" si="51"/>
        <v>31154.00472224141</v>
      </c>
      <c r="V86" s="1126">
        <f t="shared" si="51"/>
        <v>32244.394887519858</v>
      </c>
      <c r="W86" s="1527"/>
    </row>
    <row r="87" spans="2:23" x14ac:dyDescent="0.3">
      <c r="B87" s="260"/>
      <c r="C87" s="280" t="s">
        <v>391</v>
      </c>
      <c r="D87" s="281"/>
      <c r="E87" s="785"/>
      <c r="F87" s="790">
        <v>0.04</v>
      </c>
      <c r="G87" s="1607">
        <f>IFERROR(H87/'2A'!$L$14,"")</f>
        <v>635</v>
      </c>
      <c r="H87" s="2415">
        <v>105410</v>
      </c>
      <c r="I87" s="1125">
        <f t="shared" ref="I87:V87" si="52">H87+(H87*$F87)</f>
        <v>109626.4</v>
      </c>
      <c r="J87" s="1125">
        <f t="shared" si="52"/>
        <v>114011.45599999999</v>
      </c>
      <c r="K87" s="1125">
        <f t="shared" si="52"/>
        <v>118571.91423999998</v>
      </c>
      <c r="L87" s="1125">
        <f t="shared" si="52"/>
        <v>123314.79080959999</v>
      </c>
      <c r="M87" s="1125">
        <f t="shared" si="52"/>
        <v>128247.38244198399</v>
      </c>
      <c r="N87" s="1125">
        <f t="shared" si="52"/>
        <v>133377.27773966335</v>
      </c>
      <c r="O87" s="1125">
        <f t="shared" si="52"/>
        <v>138712.36884924988</v>
      </c>
      <c r="P87" s="1125">
        <f t="shared" si="52"/>
        <v>144260.86360321988</v>
      </c>
      <c r="Q87" s="1125">
        <f t="shared" si="52"/>
        <v>150031.29814734869</v>
      </c>
      <c r="R87" s="1125">
        <f t="shared" si="52"/>
        <v>156032.55007324263</v>
      </c>
      <c r="S87" s="1125">
        <f t="shared" si="52"/>
        <v>162273.85207617233</v>
      </c>
      <c r="T87" s="1125">
        <f t="shared" si="52"/>
        <v>168764.80615921924</v>
      </c>
      <c r="U87" s="1125">
        <f t="shared" si="52"/>
        <v>175515.398405588</v>
      </c>
      <c r="V87" s="1126">
        <f t="shared" si="52"/>
        <v>182536.01434181153</v>
      </c>
      <c r="W87" s="1527"/>
    </row>
    <row r="88" spans="2:23" x14ac:dyDescent="0.3">
      <c r="B88" s="260"/>
      <c r="C88" s="280" t="s">
        <v>392</v>
      </c>
      <c r="D88" s="281"/>
      <c r="E88" s="785"/>
      <c r="F88" s="790">
        <v>3.5000000000000003E-2</v>
      </c>
      <c r="G88" s="1607">
        <f>IFERROR(H88/'2A'!$L$14,"")</f>
        <v>140</v>
      </c>
      <c r="H88" s="2415">
        <v>23240</v>
      </c>
      <c r="I88" s="1125">
        <f t="shared" ref="I88:V88" si="53">H88+(H88*$F88)</f>
        <v>24053.4</v>
      </c>
      <c r="J88" s="1125">
        <f t="shared" si="53"/>
        <v>24895.269</v>
      </c>
      <c r="K88" s="1125">
        <f t="shared" si="53"/>
        <v>25766.603415000001</v>
      </c>
      <c r="L88" s="1125">
        <f t="shared" si="53"/>
        <v>26668.434534525</v>
      </c>
      <c r="M88" s="1125">
        <f t="shared" si="53"/>
        <v>27601.829743233375</v>
      </c>
      <c r="N88" s="1125">
        <f t="shared" si="53"/>
        <v>28567.893784246542</v>
      </c>
      <c r="O88" s="1125">
        <f t="shared" si="53"/>
        <v>29567.770066695171</v>
      </c>
      <c r="P88" s="1125">
        <f t="shared" si="53"/>
        <v>30602.642019029503</v>
      </c>
      <c r="Q88" s="1125">
        <f t="shared" si="53"/>
        <v>31673.734489695536</v>
      </c>
      <c r="R88" s="1125">
        <f t="shared" si="53"/>
        <v>32782.315196834883</v>
      </c>
      <c r="S88" s="1125">
        <f t="shared" si="53"/>
        <v>33929.696228724104</v>
      </c>
      <c r="T88" s="1125">
        <f t="shared" si="53"/>
        <v>35117.23559672945</v>
      </c>
      <c r="U88" s="1125">
        <f t="shared" si="53"/>
        <v>36346.338842614983</v>
      </c>
      <c r="V88" s="1126">
        <f t="shared" si="53"/>
        <v>37618.460702106509</v>
      </c>
      <c r="W88" s="1527"/>
    </row>
    <row r="89" spans="2:23" x14ac:dyDescent="0.3">
      <c r="B89" s="283"/>
      <c r="C89" s="280" t="s">
        <v>393</v>
      </c>
      <c r="D89" s="281"/>
      <c r="E89" s="785"/>
      <c r="F89" s="790">
        <v>3.5000000000000003E-2</v>
      </c>
      <c r="G89" s="1607">
        <f>IFERROR(H89/'2A'!$L$14,"")</f>
        <v>80</v>
      </c>
      <c r="H89" s="2416">
        <v>13280</v>
      </c>
      <c r="I89" s="1125">
        <f t="shared" ref="I89:V89" si="54">H89+(H89*$F89)</f>
        <v>13744.8</v>
      </c>
      <c r="J89" s="1125">
        <f t="shared" si="54"/>
        <v>14225.867999999999</v>
      </c>
      <c r="K89" s="1125">
        <f t="shared" si="54"/>
        <v>14723.773379999999</v>
      </c>
      <c r="L89" s="1125">
        <f t="shared" si="54"/>
        <v>15239.105448299999</v>
      </c>
      <c r="M89" s="1125">
        <f t="shared" si="54"/>
        <v>15772.474138990499</v>
      </c>
      <c r="N89" s="1125">
        <f t="shared" si="54"/>
        <v>16324.510733855166</v>
      </c>
      <c r="O89" s="1125">
        <f t="shared" si="54"/>
        <v>16895.868609540095</v>
      </c>
      <c r="P89" s="1125">
        <f t="shared" si="54"/>
        <v>17487.224010873997</v>
      </c>
      <c r="Q89" s="1125">
        <f t="shared" si="54"/>
        <v>18099.276851254588</v>
      </c>
      <c r="R89" s="1125">
        <f t="shared" si="54"/>
        <v>18732.751541048499</v>
      </c>
      <c r="S89" s="1125">
        <f t="shared" si="54"/>
        <v>19388.397844985197</v>
      </c>
      <c r="T89" s="1125">
        <f t="shared" si="54"/>
        <v>20066.991769559678</v>
      </c>
      <c r="U89" s="1125">
        <f t="shared" si="54"/>
        <v>20769.336481494265</v>
      </c>
      <c r="V89" s="1126">
        <f t="shared" si="54"/>
        <v>21496.263258346564</v>
      </c>
      <c r="W89" s="1527"/>
    </row>
    <row r="90" spans="2:23" x14ac:dyDescent="0.3">
      <c r="B90" s="260"/>
      <c r="C90" s="280" t="s">
        <v>394</v>
      </c>
      <c r="D90" s="282"/>
      <c r="E90" s="785"/>
      <c r="F90" s="790">
        <v>3.5000000000000003E-2</v>
      </c>
      <c r="G90" s="1607">
        <f>IFERROR(H90/'2A'!$L$14,"")</f>
        <v>125</v>
      </c>
      <c r="H90" s="2415">
        <v>20750</v>
      </c>
      <c r="I90" s="1125">
        <f t="shared" ref="I90:I91" si="55">H90+(H90*$F90)</f>
        <v>21476.25</v>
      </c>
      <c r="J90" s="1125">
        <f t="shared" ref="J90:J91" si="56">I90+(I90*$F90)</f>
        <v>22227.918750000001</v>
      </c>
      <c r="K90" s="1125">
        <f t="shared" ref="K90:K91" si="57">J90+(J90*$F90)</f>
        <v>23005.89590625</v>
      </c>
      <c r="L90" s="1125">
        <f t="shared" ref="L90:L91" si="58">K90+(K90*$F90)</f>
        <v>23811.10226296875</v>
      </c>
      <c r="M90" s="1125">
        <f t="shared" ref="M90:M91" si="59">L90+(L90*$F90)</f>
        <v>24644.490842172658</v>
      </c>
      <c r="N90" s="1125">
        <f t="shared" ref="N90:N91" si="60">M90+(M90*$F90)</f>
        <v>25507.048021648701</v>
      </c>
      <c r="O90" s="1125">
        <f t="shared" ref="O90:O91" si="61">N90+(N90*$F90)</f>
        <v>26399.794702406405</v>
      </c>
      <c r="P90" s="1125">
        <f t="shared" ref="P90:P91" si="62">O90+(O90*$F90)</f>
        <v>27323.787516990629</v>
      </c>
      <c r="Q90" s="1125">
        <f t="shared" ref="Q90:Q91" si="63">P90+(P90*$F90)</f>
        <v>28280.1200800853</v>
      </c>
      <c r="R90" s="1125">
        <f t="shared" ref="R90:R91" si="64">Q90+(Q90*$F90)</f>
        <v>29269.924282888285</v>
      </c>
      <c r="S90" s="1125">
        <f t="shared" ref="S90:S91" si="65">R90+(R90*$F90)</f>
        <v>30294.371632789374</v>
      </c>
      <c r="T90" s="1125">
        <f t="shared" ref="T90:T91" si="66">S90+(S90*$F90)</f>
        <v>31354.674639937002</v>
      </c>
      <c r="U90" s="1125">
        <f t="shared" ref="U90:U91" si="67">T90+(T90*$F90)</f>
        <v>32452.088252334797</v>
      </c>
      <c r="V90" s="1126">
        <f t="shared" ref="V90:V91" si="68">U90+(U90*$F90)</f>
        <v>33587.911341166517</v>
      </c>
      <c r="W90" s="1527"/>
    </row>
    <row r="91" spans="2:23" x14ac:dyDescent="0.3">
      <c r="B91" s="260"/>
      <c r="C91" s="280" t="s">
        <v>395</v>
      </c>
      <c r="D91" s="282"/>
      <c r="E91" s="785"/>
      <c r="F91" s="790">
        <v>3.5000000000000003E-2</v>
      </c>
      <c r="G91" s="1607">
        <f>IFERROR(H91/'2A'!$L$14,"")</f>
        <v>27.108433734939759</v>
      </c>
      <c r="H91" s="2415">
        <v>4500</v>
      </c>
      <c r="I91" s="1125">
        <f t="shared" si="55"/>
        <v>4657.5</v>
      </c>
      <c r="J91" s="1125">
        <f t="shared" si="56"/>
        <v>4820.5124999999998</v>
      </c>
      <c r="K91" s="1125">
        <f t="shared" si="57"/>
        <v>4989.2304374999994</v>
      </c>
      <c r="L91" s="1125">
        <f t="shared" si="58"/>
        <v>5163.8535028124998</v>
      </c>
      <c r="M91" s="1125">
        <f t="shared" si="59"/>
        <v>5344.5883754109373</v>
      </c>
      <c r="N91" s="1125">
        <f t="shared" si="60"/>
        <v>5531.6489685503202</v>
      </c>
      <c r="O91" s="1125">
        <f t="shared" si="61"/>
        <v>5725.2566824495816</v>
      </c>
      <c r="P91" s="1125">
        <f t="shared" si="62"/>
        <v>5925.6406663353173</v>
      </c>
      <c r="Q91" s="1125">
        <f t="shared" si="63"/>
        <v>6133.0380896570532</v>
      </c>
      <c r="R91" s="1125">
        <f t="shared" si="64"/>
        <v>6347.6944227950498</v>
      </c>
      <c r="S91" s="1125">
        <f t="shared" si="65"/>
        <v>6569.8637275928768</v>
      </c>
      <c r="T91" s="1125">
        <f t="shared" si="66"/>
        <v>6799.8089580586275</v>
      </c>
      <c r="U91" s="1125">
        <f t="shared" si="67"/>
        <v>7037.8022715906791</v>
      </c>
      <c r="V91" s="1126">
        <f t="shared" si="68"/>
        <v>7284.1253510963525</v>
      </c>
      <c r="W91" s="1527"/>
    </row>
    <row r="92" spans="2:23" ht="15" thickBot="1" x14ac:dyDescent="0.35">
      <c r="B92" s="260"/>
      <c r="C92" s="284" t="s">
        <v>226</v>
      </c>
      <c r="D92" s="285"/>
      <c r="E92" s="785"/>
      <c r="F92" s="791">
        <v>3.5000000000000003E-2</v>
      </c>
      <c r="G92" s="1608">
        <f>IFERROR(H92/'2A'!$L$14,"")</f>
        <v>618.18072289156623</v>
      </c>
      <c r="H92" s="1127">
        <f>74398+7470+20750</f>
        <v>102618</v>
      </c>
      <c r="I92" s="1128">
        <f t="shared" ref="I92:V92" si="69">H92+(H92*$F92)</f>
        <v>106209.63</v>
      </c>
      <c r="J92" s="1128">
        <f t="shared" si="69"/>
        <v>109926.96705000001</v>
      </c>
      <c r="K92" s="1128">
        <f t="shared" si="69"/>
        <v>113774.41089675001</v>
      </c>
      <c r="L92" s="1128">
        <f t="shared" si="69"/>
        <v>117756.51527813626</v>
      </c>
      <c r="M92" s="1128">
        <f t="shared" si="69"/>
        <v>121877.99331287103</v>
      </c>
      <c r="N92" s="1128">
        <f t="shared" si="69"/>
        <v>126143.72307882151</v>
      </c>
      <c r="O92" s="1128">
        <f t="shared" si="69"/>
        <v>130558.75338658027</v>
      </c>
      <c r="P92" s="1128">
        <f t="shared" si="69"/>
        <v>135128.30975511059</v>
      </c>
      <c r="Q92" s="1128">
        <f t="shared" si="69"/>
        <v>139857.80059653946</v>
      </c>
      <c r="R92" s="1128">
        <f t="shared" si="69"/>
        <v>144752.82361741833</v>
      </c>
      <c r="S92" s="1128">
        <f t="shared" si="69"/>
        <v>149819.17244402796</v>
      </c>
      <c r="T92" s="1128">
        <f t="shared" si="69"/>
        <v>155062.84347956895</v>
      </c>
      <c r="U92" s="1128">
        <f t="shared" si="69"/>
        <v>160490.04300135386</v>
      </c>
      <c r="V92" s="1129">
        <f t="shared" si="69"/>
        <v>166107.19450640125</v>
      </c>
      <c r="W92" s="1527"/>
    </row>
    <row r="93" spans="2:23" ht="15" thickBot="1" x14ac:dyDescent="0.35">
      <c r="B93" s="260"/>
      <c r="C93" s="251" t="s">
        <v>396</v>
      </c>
      <c r="D93" s="267"/>
      <c r="E93" s="268"/>
      <c r="F93" s="268"/>
      <c r="G93" s="1609">
        <f>IFERROR(H93/'2A'!$L$14,"")</f>
        <v>4724.4792963855416</v>
      </c>
      <c r="H93" s="1069">
        <f>SUM(H72:H92)</f>
        <v>784263.56319999998</v>
      </c>
      <c r="I93" s="1070">
        <f t="shared" ref="I93:N93" si="70">SUM(I72:I92)</f>
        <v>811040.16791200009</v>
      </c>
      <c r="J93" s="1070">
        <f t="shared" si="70"/>
        <v>838745.04403891985</v>
      </c>
      <c r="K93" s="1070">
        <f t="shared" si="70"/>
        <v>867410.77456653235</v>
      </c>
      <c r="L93" s="1070">
        <f t="shared" si="70"/>
        <v>897071.09787146724</v>
      </c>
      <c r="M93" s="1070">
        <f t="shared" si="70"/>
        <v>927760.94904052047</v>
      </c>
      <c r="N93" s="1070">
        <f t="shared" si="70"/>
        <v>959516.50267839001</v>
      </c>
      <c r="O93" s="1070">
        <f t="shared" ref="O93:V93" si="71">SUM(O72:O92)</f>
        <v>992375.21725780435</v>
      </c>
      <c r="P93" s="1070">
        <f t="shared" si="71"/>
        <v>1026375.8810679708</v>
      </c>
      <c r="Q93" s="1070">
        <f t="shared" si="71"/>
        <v>1061558.6598193103</v>
      </c>
      <c r="R93" s="1070">
        <f t="shared" si="71"/>
        <v>1097965.1459645659</v>
      </c>
      <c r="S93" s="1070">
        <f t="shared" si="71"/>
        <v>1135638.4097985555</v>
      </c>
      <c r="T93" s="1070">
        <f t="shared" si="71"/>
        <v>1174623.0524011217</v>
      </c>
      <c r="U93" s="1070">
        <f t="shared" si="71"/>
        <v>1214965.2604901735</v>
      </c>
      <c r="V93" s="1071">
        <f t="shared" si="71"/>
        <v>1256712.8632541792</v>
      </c>
      <c r="W93" s="1527"/>
    </row>
    <row r="94" spans="2:23" ht="15" thickBot="1" x14ac:dyDescent="0.35">
      <c r="B94" s="260"/>
      <c r="C94" s="251"/>
      <c r="D94" s="267"/>
      <c r="E94" s="276"/>
      <c r="F94" s="738" t="s">
        <v>364</v>
      </c>
      <c r="G94" s="258"/>
      <c r="H94" s="248"/>
      <c r="I94" s="249"/>
      <c r="J94" s="249"/>
      <c r="K94" s="249"/>
      <c r="L94" s="249"/>
      <c r="M94" s="249"/>
      <c r="N94" s="249"/>
      <c r="O94" s="249"/>
      <c r="P94" s="249"/>
      <c r="Q94" s="249"/>
      <c r="R94" s="249"/>
      <c r="S94" s="249"/>
      <c r="T94" s="249"/>
      <c r="U94" s="249"/>
      <c r="V94" s="250"/>
      <c r="W94" s="1527"/>
    </row>
    <row r="95" spans="2:23" x14ac:dyDescent="0.3">
      <c r="B95" s="279"/>
      <c r="C95" s="286" t="s">
        <v>397</v>
      </c>
      <c r="D95" s="287"/>
      <c r="E95" s="786"/>
      <c r="F95" s="789">
        <v>3.5000000000000003E-2</v>
      </c>
      <c r="G95" s="1606">
        <f>IFERROR(H95/'2A'!$L$14,"")</f>
        <v>350</v>
      </c>
      <c r="H95" s="2414">
        <f>350*166</f>
        <v>58100</v>
      </c>
      <c r="I95" s="1131">
        <f t="shared" ref="I95:V95" si="72">H95+(H95*$F95)</f>
        <v>60133.5</v>
      </c>
      <c r="J95" s="1131">
        <f t="shared" si="72"/>
        <v>62238.172500000001</v>
      </c>
      <c r="K95" s="1131">
        <f t="shared" si="72"/>
        <v>64416.508537499998</v>
      </c>
      <c r="L95" s="1131">
        <f t="shared" si="72"/>
        <v>66671.086336312495</v>
      </c>
      <c r="M95" s="1131">
        <f t="shared" si="72"/>
        <v>69004.574358083439</v>
      </c>
      <c r="N95" s="1131">
        <f t="shared" si="72"/>
        <v>71419.734460616353</v>
      </c>
      <c r="O95" s="1131">
        <f t="shared" si="72"/>
        <v>73919.425166737929</v>
      </c>
      <c r="P95" s="1131">
        <f t="shared" si="72"/>
        <v>76506.605047573757</v>
      </c>
      <c r="Q95" s="1131">
        <f t="shared" si="72"/>
        <v>79184.336224238839</v>
      </c>
      <c r="R95" s="1131">
        <f t="shared" si="72"/>
        <v>81955.787992087193</v>
      </c>
      <c r="S95" s="1131">
        <f t="shared" si="72"/>
        <v>84824.240571810238</v>
      </c>
      <c r="T95" s="1131">
        <f t="shared" si="72"/>
        <v>87793.088991823592</v>
      </c>
      <c r="U95" s="1131">
        <f t="shared" si="72"/>
        <v>90865.847106537418</v>
      </c>
      <c r="V95" s="1132">
        <f t="shared" si="72"/>
        <v>94046.151755266226</v>
      </c>
      <c r="W95" s="1527"/>
    </row>
    <row r="96" spans="2:23" ht="15" thickBot="1" x14ac:dyDescent="0.35">
      <c r="B96" s="279"/>
      <c r="C96" s="288" t="s">
        <v>398</v>
      </c>
      <c r="D96" s="285"/>
      <c r="E96" s="785"/>
      <c r="F96" s="791">
        <v>3.5000000000000003E-2</v>
      </c>
      <c r="G96" s="1608">
        <f>IFERROR(H96/'2A'!$L$14,"")</f>
        <v>0</v>
      </c>
      <c r="H96" s="1133">
        <v>0</v>
      </c>
      <c r="I96" s="1128">
        <f t="shared" ref="I96:V96" si="73">H96+(H96*$F96)</f>
        <v>0</v>
      </c>
      <c r="J96" s="1128">
        <f t="shared" si="73"/>
        <v>0</v>
      </c>
      <c r="K96" s="1128">
        <f t="shared" si="73"/>
        <v>0</v>
      </c>
      <c r="L96" s="1128">
        <f t="shared" si="73"/>
        <v>0</v>
      </c>
      <c r="M96" s="1128">
        <f t="shared" si="73"/>
        <v>0</v>
      </c>
      <c r="N96" s="1128">
        <f t="shared" si="73"/>
        <v>0</v>
      </c>
      <c r="O96" s="1128">
        <f t="shared" si="73"/>
        <v>0</v>
      </c>
      <c r="P96" s="1128">
        <f t="shared" si="73"/>
        <v>0</v>
      </c>
      <c r="Q96" s="1128">
        <f t="shared" si="73"/>
        <v>0</v>
      </c>
      <c r="R96" s="1128">
        <f t="shared" si="73"/>
        <v>0</v>
      </c>
      <c r="S96" s="1128">
        <f t="shared" si="73"/>
        <v>0</v>
      </c>
      <c r="T96" s="1128">
        <f t="shared" si="73"/>
        <v>0</v>
      </c>
      <c r="U96" s="1128">
        <f t="shared" si="73"/>
        <v>0</v>
      </c>
      <c r="V96" s="1129">
        <f t="shared" si="73"/>
        <v>0</v>
      </c>
      <c r="W96" s="1527"/>
    </row>
    <row r="97" spans="2:23" x14ac:dyDescent="0.3">
      <c r="B97" s="279"/>
      <c r="C97" s="251" t="s">
        <v>399</v>
      </c>
      <c r="D97" s="267"/>
      <c r="E97" s="267"/>
      <c r="F97" s="267"/>
      <c r="G97" s="289" t="str">
        <f>IFERROR(H97/#REF!,"")</f>
        <v/>
      </c>
      <c r="H97" s="1069">
        <f>SUM(H95:H96)</f>
        <v>58100</v>
      </c>
      <c r="I97" s="1070">
        <f t="shared" ref="I97:N97" si="74">SUM(I95:I96)</f>
        <v>60133.5</v>
      </c>
      <c r="J97" s="1070">
        <f t="shared" si="74"/>
        <v>62238.172500000001</v>
      </c>
      <c r="K97" s="1070">
        <f t="shared" si="74"/>
        <v>64416.508537499998</v>
      </c>
      <c r="L97" s="1070">
        <f t="shared" si="74"/>
        <v>66671.086336312495</v>
      </c>
      <c r="M97" s="1070">
        <f t="shared" si="74"/>
        <v>69004.574358083439</v>
      </c>
      <c r="N97" s="1070">
        <f t="shared" si="74"/>
        <v>71419.734460616353</v>
      </c>
      <c r="O97" s="1070">
        <f t="shared" ref="O97:V97" si="75">SUM(O95:O96)</f>
        <v>73919.425166737929</v>
      </c>
      <c r="P97" s="1070">
        <f t="shared" si="75"/>
        <v>76506.605047573757</v>
      </c>
      <c r="Q97" s="1070">
        <f t="shared" si="75"/>
        <v>79184.336224238839</v>
      </c>
      <c r="R97" s="1070">
        <f t="shared" si="75"/>
        <v>81955.787992087193</v>
      </c>
      <c r="S97" s="1070">
        <f t="shared" si="75"/>
        <v>84824.240571810238</v>
      </c>
      <c r="T97" s="1070">
        <f t="shared" si="75"/>
        <v>87793.088991823592</v>
      </c>
      <c r="U97" s="1070">
        <f t="shared" si="75"/>
        <v>90865.847106537418</v>
      </c>
      <c r="V97" s="1071">
        <f t="shared" si="75"/>
        <v>94046.151755266226</v>
      </c>
      <c r="W97" s="1527"/>
    </row>
    <row r="98" spans="2:23" ht="7.5" customHeight="1" thickBot="1" x14ac:dyDescent="0.35">
      <c r="B98" s="279"/>
      <c r="C98" s="251"/>
      <c r="D98" s="267"/>
      <c r="E98" s="267"/>
      <c r="F98" s="267"/>
      <c r="G98" s="289"/>
      <c r="H98" s="248"/>
      <c r="I98" s="249"/>
      <c r="J98" s="249"/>
      <c r="K98" s="249"/>
      <c r="L98" s="249"/>
      <c r="M98" s="249"/>
      <c r="N98" s="249"/>
      <c r="O98" s="249"/>
      <c r="P98" s="249"/>
      <c r="Q98" s="249"/>
      <c r="R98" s="249"/>
      <c r="S98" s="249"/>
      <c r="T98" s="249"/>
      <c r="U98" s="249"/>
      <c r="V98" s="250"/>
      <c r="W98" s="1527"/>
    </row>
    <row r="99" spans="2:23" ht="15" thickBot="1" x14ac:dyDescent="0.35">
      <c r="B99" s="260"/>
      <c r="C99" s="251" t="s">
        <v>400</v>
      </c>
      <c r="D99" s="267"/>
      <c r="E99" s="787"/>
      <c r="F99" s="698">
        <v>3.5000000000000003E-2</v>
      </c>
      <c r="G99" s="1610">
        <f>IFERROR(H99/'2A'!$L$14,"")</f>
        <v>446.86406626506022</v>
      </c>
      <c r="H99" s="1134">
        <f>'8C - 4% Building'!L43+'8C - 4% Building'!L56</f>
        <v>74179.434999999998</v>
      </c>
      <c r="I99" s="1135">
        <f t="shared" ref="I99:V99" si="76">H99+(H99*$F99)</f>
        <v>76775.715224999993</v>
      </c>
      <c r="J99" s="1135">
        <f t="shared" si="76"/>
        <v>79462.86525787499</v>
      </c>
      <c r="K99" s="1135">
        <f t="shared" si="76"/>
        <v>82244.065541900622</v>
      </c>
      <c r="L99" s="1135">
        <f t="shared" si="76"/>
        <v>85122.607835867137</v>
      </c>
      <c r="M99" s="1135">
        <f t="shared" si="76"/>
        <v>88101.899110122482</v>
      </c>
      <c r="N99" s="1135">
        <f t="shared" si="76"/>
        <v>91185.465578976771</v>
      </c>
      <c r="O99" s="1135">
        <f t="shared" si="76"/>
        <v>94376.956874240961</v>
      </c>
      <c r="P99" s="1135">
        <f t="shared" si="76"/>
        <v>97680.150364839399</v>
      </c>
      <c r="Q99" s="1135">
        <f t="shared" si="76"/>
        <v>101098.95562760878</v>
      </c>
      <c r="R99" s="1135">
        <f t="shared" si="76"/>
        <v>104637.4190745751</v>
      </c>
      <c r="S99" s="1135">
        <f t="shared" si="76"/>
        <v>108299.72874218522</v>
      </c>
      <c r="T99" s="1135">
        <f t="shared" si="76"/>
        <v>112090.21924816171</v>
      </c>
      <c r="U99" s="1135">
        <f t="shared" si="76"/>
        <v>116013.37692184738</v>
      </c>
      <c r="V99" s="1136">
        <f t="shared" si="76"/>
        <v>120073.84511411203</v>
      </c>
      <c r="W99" s="1527"/>
    </row>
    <row r="100" spans="2:23" ht="7.5" customHeight="1" thickBot="1" x14ac:dyDescent="0.35">
      <c r="B100" s="260"/>
      <c r="C100" s="251"/>
      <c r="D100" s="267"/>
      <c r="E100" s="267"/>
      <c r="F100" s="267"/>
      <c r="G100" s="289"/>
      <c r="H100" s="248"/>
      <c r="I100" s="249"/>
      <c r="J100" s="249"/>
      <c r="K100" s="249"/>
      <c r="L100" s="249"/>
      <c r="M100" s="249"/>
      <c r="N100" s="249"/>
      <c r="O100" s="249"/>
      <c r="P100" s="249"/>
      <c r="Q100" s="249"/>
      <c r="R100" s="249"/>
      <c r="S100" s="249"/>
      <c r="T100" s="249"/>
      <c r="U100" s="249"/>
      <c r="V100" s="250"/>
      <c r="W100" s="1527"/>
    </row>
    <row r="101" spans="2:23" ht="15" thickBot="1" x14ac:dyDescent="0.35">
      <c r="B101" s="260"/>
      <c r="C101" s="290" t="s">
        <v>401</v>
      </c>
      <c r="D101" s="270"/>
      <c r="E101" s="619"/>
      <c r="F101" s="699">
        <v>0</v>
      </c>
      <c r="G101" s="270"/>
      <c r="H101" s="1137">
        <v>0</v>
      </c>
      <c r="I101" s="1138">
        <f t="shared" ref="I101:V101" si="77">H101+(H101*$F101)</f>
        <v>0</v>
      </c>
      <c r="J101" s="1138">
        <f t="shared" si="77"/>
        <v>0</v>
      </c>
      <c r="K101" s="1138">
        <f t="shared" si="77"/>
        <v>0</v>
      </c>
      <c r="L101" s="1138">
        <f t="shared" si="77"/>
        <v>0</v>
      </c>
      <c r="M101" s="1138">
        <f t="shared" si="77"/>
        <v>0</v>
      </c>
      <c r="N101" s="1138">
        <f t="shared" si="77"/>
        <v>0</v>
      </c>
      <c r="O101" s="1138">
        <f t="shared" si="77"/>
        <v>0</v>
      </c>
      <c r="P101" s="1138">
        <f t="shared" si="77"/>
        <v>0</v>
      </c>
      <c r="Q101" s="1138">
        <f t="shared" si="77"/>
        <v>0</v>
      </c>
      <c r="R101" s="1138">
        <f t="shared" si="77"/>
        <v>0</v>
      </c>
      <c r="S101" s="1138">
        <f t="shared" si="77"/>
        <v>0</v>
      </c>
      <c r="T101" s="1138">
        <f t="shared" si="77"/>
        <v>0</v>
      </c>
      <c r="U101" s="1138">
        <f t="shared" si="77"/>
        <v>0</v>
      </c>
      <c r="V101" s="1139">
        <f t="shared" si="77"/>
        <v>0</v>
      </c>
      <c r="W101" s="1527"/>
    </row>
    <row r="102" spans="2:23" ht="15.6" thickTop="1" thickBot="1" x14ac:dyDescent="0.35">
      <c r="B102" s="260"/>
      <c r="C102" s="275" t="s">
        <v>402</v>
      </c>
      <c r="D102" s="267"/>
      <c r="E102" s="267"/>
      <c r="F102" s="267"/>
      <c r="G102" s="268" t="s">
        <v>366</v>
      </c>
      <c r="H102" s="1140">
        <f>H93+H97+H99+H101</f>
        <v>916542.99820000003</v>
      </c>
      <c r="I102" s="1141">
        <f t="shared" ref="I102:N102" si="78">I93+I97+I99+I101</f>
        <v>947949.38313700003</v>
      </c>
      <c r="J102" s="1141">
        <f t="shared" si="78"/>
        <v>980446.08179679478</v>
      </c>
      <c r="K102" s="1141">
        <f t="shared" si="78"/>
        <v>1014071.348645933</v>
      </c>
      <c r="L102" s="1141">
        <f t="shared" si="78"/>
        <v>1048864.7920436468</v>
      </c>
      <c r="M102" s="1141">
        <f t="shared" si="78"/>
        <v>1084867.4225087264</v>
      </c>
      <c r="N102" s="1141">
        <f t="shared" si="78"/>
        <v>1122121.7027179832</v>
      </c>
      <c r="O102" s="1141">
        <f t="shared" ref="O102:V102" si="79">O93+O97+O99+O101</f>
        <v>1160671.5992987831</v>
      </c>
      <c r="P102" s="1141">
        <f t="shared" si="79"/>
        <v>1200562.636480384</v>
      </c>
      <c r="Q102" s="1141">
        <f t="shared" si="79"/>
        <v>1241841.951671158</v>
      </c>
      <c r="R102" s="1141">
        <f t="shared" si="79"/>
        <v>1284558.3530312283</v>
      </c>
      <c r="S102" s="1141">
        <f t="shared" si="79"/>
        <v>1328762.379112551</v>
      </c>
      <c r="T102" s="1141">
        <f t="shared" si="79"/>
        <v>1374506.360641107</v>
      </c>
      <c r="U102" s="1141">
        <f t="shared" si="79"/>
        <v>1421844.4845185583</v>
      </c>
      <c r="V102" s="1142">
        <f t="shared" si="79"/>
        <v>1470832.8601235575</v>
      </c>
      <c r="W102" s="1527"/>
    </row>
    <row r="103" spans="2:23" ht="7.5" customHeight="1" thickBot="1" x14ac:dyDescent="0.35">
      <c r="B103" s="260"/>
      <c r="C103" s="267"/>
      <c r="D103" s="267"/>
      <c r="E103" s="267"/>
      <c r="F103" s="267"/>
      <c r="G103" s="267"/>
      <c r="H103" s="739"/>
      <c r="I103" s="739"/>
      <c r="J103" s="739"/>
      <c r="K103" s="739"/>
      <c r="L103" s="739"/>
      <c r="M103" s="739"/>
      <c r="N103" s="739"/>
      <c r="O103" s="739"/>
      <c r="P103" s="739"/>
      <c r="Q103" s="739"/>
      <c r="R103" s="739"/>
      <c r="S103" s="739"/>
      <c r="T103" s="739"/>
      <c r="U103" s="739"/>
      <c r="V103" s="739"/>
      <c r="W103" s="1527"/>
    </row>
    <row r="104" spans="2:23" ht="15" thickBot="1" x14ac:dyDescent="0.35">
      <c r="B104" s="260"/>
      <c r="C104" s="384"/>
      <c r="D104" s="267"/>
      <c r="E104" s="267"/>
      <c r="F104" s="2133" t="s">
        <v>403</v>
      </c>
      <c r="G104" s="268" t="s">
        <v>366</v>
      </c>
      <c r="H104" s="1087">
        <f>(H38+H40)-H102</f>
        <v>1082899.2017999999</v>
      </c>
      <c r="I104" s="1088">
        <f t="shared" ref="I104:V104" si="80">(I38+I40)-I102</f>
        <v>1101478.8718629999</v>
      </c>
      <c r="J104" s="1088">
        <f t="shared" si="80"/>
        <v>1120217.8795782048</v>
      </c>
      <c r="K104" s="1088">
        <f t="shared" si="80"/>
        <v>1139109.2117634416</v>
      </c>
      <c r="L104" s="1088">
        <f t="shared" si="80"/>
        <v>1158145.2823759625</v>
      </c>
      <c r="M104" s="1088">
        <f t="shared" si="80"/>
        <v>1177317.9037713725</v>
      </c>
      <c r="N104" s="1088">
        <f t="shared" si="80"/>
        <v>1196618.256719118</v>
      </c>
      <c r="O104" s="1088">
        <f t="shared" si="80"/>
        <v>1216036.8591242461</v>
      </c>
      <c r="P104" s="1088">
        <f t="shared" si="80"/>
        <v>1235563.5334032211</v>
      </c>
      <c r="Q104" s="1088">
        <f t="shared" si="80"/>
        <v>1255187.3724595373</v>
      </c>
      <c r="R104" s="1088">
        <f t="shared" si="80"/>
        <v>1274896.7042027344</v>
      </c>
      <c r="S104" s="1088">
        <f t="shared" si="80"/>
        <v>1294679.0545522608</v>
      </c>
      <c r="T104" s="1088">
        <f t="shared" si="80"/>
        <v>1314521.1088653253</v>
      </c>
      <c r="U104" s="1088">
        <f t="shared" si="80"/>
        <v>1334408.6717255344</v>
      </c>
      <c r="V104" s="1089">
        <f t="shared" si="80"/>
        <v>1354326.6250266377</v>
      </c>
      <c r="W104" s="1527"/>
    </row>
    <row r="105" spans="2:23" s="399" customFormat="1" ht="7.5" customHeight="1" x14ac:dyDescent="0.3">
      <c r="B105" s="1538"/>
      <c r="C105" s="1030"/>
      <c r="D105" s="1030"/>
      <c r="E105" s="1030"/>
      <c r="F105" s="1030"/>
      <c r="G105" s="1030"/>
      <c r="H105" s="1030"/>
      <c r="I105" s="1030"/>
      <c r="J105" s="1030"/>
      <c r="K105" s="1030"/>
      <c r="L105" s="1030"/>
      <c r="M105" s="1030"/>
      <c r="N105" s="1030"/>
      <c r="O105" s="1030"/>
      <c r="P105" s="1030"/>
      <c r="Q105" s="1030"/>
      <c r="R105" s="1030"/>
      <c r="S105" s="1030"/>
      <c r="T105" s="1030"/>
      <c r="U105" s="1030"/>
      <c r="V105" s="1030"/>
      <c r="W105" s="1539"/>
    </row>
    <row r="106" spans="2:23" s="399" customFormat="1" x14ac:dyDescent="0.3">
      <c r="B106" s="1538"/>
      <c r="C106" s="1030"/>
      <c r="D106" s="1030"/>
      <c r="E106" s="1030"/>
      <c r="F106" s="1030"/>
      <c r="G106" s="1030"/>
      <c r="H106" s="1030"/>
      <c r="I106" s="1030"/>
      <c r="J106" s="1030"/>
      <c r="K106" s="1030"/>
      <c r="L106" s="1030"/>
      <c r="M106" s="1030"/>
      <c r="N106" s="1030"/>
      <c r="O106" s="1030"/>
      <c r="P106" s="1030"/>
      <c r="Q106" s="1030"/>
      <c r="R106" s="1030"/>
      <c r="S106" s="1030"/>
      <c r="T106" s="1030"/>
      <c r="U106" s="1030"/>
      <c r="V106" s="1030"/>
      <c r="W106" s="1539"/>
    </row>
    <row r="107" spans="2:23" s="399" customFormat="1" ht="15" thickBot="1" x14ac:dyDescent="0.35">
      <c r="B107" s="1538"/>
      <c r="C107" s="1030" t="s">
        <v>541</v>
      </c>
      <c r="D107" s="1030"/>
      <c r="E107" s="1030"/>
      <c r="F107" s="1030"/>
      <c r="G107" s="1030"/>
      <c r="H107" s="1030"/>
      <c r="I107" s="1030"/>
      <c r="J107" s="1030"/>
      <c r="K107" s="1030"/>
      <c r="L107" s="1030"/>
      <c r="M107" s="1030"/>
      <c r="N107" s="1030"/>
      <c r="O107" s="1030"/>
      <c r="P107" s="1030"/>
      <c r="Q107" s="1030"/>
      <c r="R107" s="1030"/>
      <c r="S107" s="1030"/>
      <c r="T107" s="1030"/>
      <c r="U107" s="1030"/>
      <c r="V107" s="1030"/>
      <c r="W107" s="1539"/>
    </row>
    <row r="108" spans="2:23" s="399" customFormat="1" x14ac:dyDescent="0.3">
      <c r="B108" s="1538"/>
      <c r="C108" s="2891" t="s">
        <v>2153</v>
      </c>
      <c r="D108" s="2892"/>
      <c r="E108" s="2892"/>
      <c r="F108" s="2892"/>
      <c r="G108" s="2892"/>
      <c r="H108" s="2892"/>
      <c r="I108" s="2892"/>
      <c r="J108" s="2892"/>
      <c r="K108" s="2892"/>
      <c r="L108" s="2892"/>
      <c r="M108" s="2892"/>
      <c r="N108" s="2892"/>
      <c r="O108" s="2892"/>
      <c r="P108" s="2892"/>
      <c r="Q108" s="2892"/>
      <c r="R108" s="2892"/>
      <c r="S108" s="2892"/>
      <c r="T108" s="2892"/>
      <c r="U108" s="2892"/>
      <c r="V108" s="2893"/>
      <c r="W108" s="1539"/>
    </row>
    <row r="109" spans="2:23" s="399" customFormat="1" x14ac:dyDescent="0.3">
      <c r="B109" s="1538"/>
      <c r="C109" s="2894"/>
      <c r="D109" s="2895"/>
      <c r="E109" s="2895"/>
      <c r="F109" s="2895"/>
      <c r="G109" s="2895"/>
      <c r="H109" s="2895"/>
      <c r="I109" s="2895"/>
      <c r="J109" s="2895"/>
      <c r="K109" s="2895"/>
      <c r="L109" s="2895"/>
      <c r="M109" s="2895"/>
      <c r="N109" s="2895"/>
      <c r="O109" s="2895"/>
      <c r="P109" s="2895"/>
      <c r="Q109" s="2895"/>
      <c r="R109" s="2895"/>
      <c r="S109" s="2895"/>
      <c r="T109" s="2895"/>
      <c r="U109" s="2895"/>
      <c r="V109" s="2896"/>
      <c r="W109" s="1539"/>
    </row>
    <row r="110" spans="2:23" s="399" customFormat="1" x14ac:dyDescent="0.3">
      <c r="B110" s="1538"/>
      <c r="C110" s="2894"/>
      <c r="D110" s="2895"/>
      <c r="E110" s="2895"/>
      <c r="F110" s="2895"/>
      <c r="G110" s="2895"/>
      <c r="H110" s="2895"/>
      <c r="I110" s="2895"/>
      <c r="J110" s="2895"/>
      <c r="K110" s="2895"/>
      <c r="L110" s="2895"/>
      <c r="M110" s="2895"/>
      <c r="N110" s="2895"/>
      <c r="O110" s="2895"/>
      <c r="P110" s="2895"/>
      <c r="Q110" s="2895"/>
      <c r="R110" s="2895"/>
      <c r="S110" s="2895"/>
      <c r="T110" s="2895"/>
      <c r="U110" s="2895"/>
      <c r="V110" s="2896"/>
      <c r="W110" s="1539"/>
    </row>
    <row r="111" spans="2:23" s="399" customFormat="1" x14ac:dyDescent="0.3">
      <c r="B111" s="1538"/>
      <c r="C111" s="2894"/>
      <c r="D111" s="2895"/>
      <c r="E111" s="2895"/>
      <c r="F111" s="2895"/>
      <c r="G111" s="2895"/>
      <c r="H111" s="2895"/>
      <c r="I111" s="2895"/>
      <c r="J111" s="2895"/>
      <c r="K111" s="2895"/>
      <c r="L111" s="2895"/>
      <c r="M111" s="2895"/>
      <c r="N111" s="2895"/>
      <c r="O111" s="2895"/>
      <c r="P111" s="2895"/>
      <c r="Q111" s="2895"/>
      <c r="R111" s="2895"/>
      <c r="S111" s="2895"/>
      <c r="T111" s="2895"/>
      <c r="U111" s="2895"/>
      <c r="V111" s="2896"/>
      <c r="W111" s="1539"/>
    </row>
    <row r="112" spans="2:23" s="399" customFormat="1" ht="15" thickBot="1" x14ac:dyDescent="0.35">
      <c r="B112" s="1538"/>
      <c r="C112" s="2897"/>
      <c r="D112" s="2898"/>
      <c r="E112" s="2898"/>
      <c r="F112" s="2898"/>
      <c r="G112" s="2898"/>
      <c r="H112" s="2898"/>
      <c r="I112" s="2898"/>
      <c r="J112" s="2898"/>
      <c r="K112" s="2898"/>
      <c r="L112" s="2898"/>
      <c r="M112" s="2898"/>
      <c r="N112" s="2898"/>
      <c r="O112" s="2898"/>
      <c r="P112" s="2898"/>
      <c r="Q112" s="2898"/>
      <c r="R112" s="2898"/>
      <c r="S112" s="2898"/>
      <c r="T112" s="2898"/>
      <c r="U112" s="2898"/>
      <c r="V112" s="2899"/>
      <c r="W112" s="1539"/>
    </row>
    <row r="113" spans="2:23" s="399" customFormat="1" ht="15" thickBot="1" x14ac:dyDescent="0.35">
      <c r="B113" s="1540"/>
      <c r="C113" s="1541"/>
      <c r="D113" s="1541"/>
      <c r="E113" s="1541"/>
      <c r="F113" s="1541"/>
      <c r="G113" s="1541"/>
      <c r="H113" s="1541"/>
      <c r="I113" s="1541"/>
      <c r="J113" s="1541"/>
      <c r="K113" s="1541"/>
      <c r="L113" s="1541"/>
      <c r="M113" s="1541"/>
      <c r="N113" s="1541"/>
      <c r="O113" s="1541"/>
      <c r="P113" s="1541"/>
      <c r="Q113" s="1541"/>
      <c r="R113" s="1541"/>
      <c r="S113" s="1541"/>
      <c r="T113" s="1541"/>
      <c r="U113" s="1541"/>
      <c r="V113" s="1541"/>
      <c r="W113" s="1542"/>
    </row>
    <row r="114" spans="2:23" s="399" customFormat="1" ht="7.5" customHeight="1" x14ac:dyDescent="0.3"/>
    <row r="115" spans="2:23" s="399" customFormat="1" x14ac:dyDescent="0.3"/>
    <row r="116" spans="2:23" s="399" customFormat="1" x14ac:dyDescent="0.3"/>
    <row r="117" spans="2:23" s="399" customFormat="1" x14ac:dyDescent="0.3"/>
    <row r="118" spans="2:23" s="399" customFormat="1" ht="7.5" customHeight="1" x14ac:dyDescent="0.3"/>
    <row r="119" spans="2:23" s="399" customFormat="1" x14ac:dyDescent="0.3"/>
    <row r="120" spans="2:23" s="399" customFormat="1" ht="7.5" customHeight="1" x14ac:dyDescent="0.3"/>
    <row r="121" spans="2:23" s="399" customFormat="1" x14ac:dyDescent="0.3"/>
    <row r="122" spans="2:23" s="399" customFormat="1" x14ac:dyDescent="0.3"/>
    <row r="123" spans="2:23" s="399" customFormat="1" ht="7.5" customHeight="1" x14ac:dyDescent="0.3"/>
    <row r="124" spans="2:23" s="399" customFormat="1" x14ac:dyDescent="0.3"/>
    <row r="125" spans="2:23" s="399" customFormat="1" x14ac:dyDescent="0.3"/>
    <row r="126" spans="2:23" s="399" customFormat="1" x14ac:dyDescent="0.3"/>
    <row r="127" spans="2:23" s="399" customFormat="1" x14ac:dyDescent="0.3"/>
    <row r="128" spans="2:23" s="399" customFormat="1" x14ac:dyDescent="0.3"/>
    <row r="129" s="399" customFormat="1" x14ac:dyDescent="0.3"/>
    <row r="130" s="399" customFormat="1" x14ac:dyDescent="0.3"/>
    <row r="131" s="399" customFormat="1" x14ac:dyDescent="0.3"/>
    <row r="132" s="399" customFormat="1" x14ac:dyDescent="0.3"/>
    <row r="133" s="399" customFormat="1" x14ac:dyDescent="0.3"/>
    <row r="134" s="399" customFormat="1" x14ac:dyDescent="0.3"/>
    <row r="135" s="399" customFormat="1" x14ac:dyDescent="0.3"/>
    <row r="136" s="399" customFormat="1" x14ac:dyDescent="0.3"/>
    <row r="137" s="399" customFormat="1" x14ac:dyDescent="0.3"/>
    <row r="138" s="399" customFormat="1" x14ac:dyDescent="0.3"/>
    <row r="139" s="399" customFormat="1" x14ac:dyDescent="0.3"/>
    <row r="140" s="399" customFormat="1" x14ac:dyDescent="0.3"/>
    <row r="141" s="399" customFormat="1" ht="7.5" customHeight="1" x14ac:dyDescent="0.3"/>
    <row r="142" s="399" customFormat="1" x14ac:dyDescent="0.3"/>
    <row r="143" s="399" customFormat="1" x14ac:dyDescent="0.3"/>
    <row r="144" s="399" customFormat="1" ht="9" customHeight="1" x14ac:dyDescent="0.3"/>
  </sheetData>
  <sheetProtection algorithmName="SHA-512" hashValue="t9GN6bVjnnyIy8x9XjpZdwGanpxGlRjjJ0WpRHVVau30Pk05veNrBMA+pXXsQIxE9kKMTtNgHzava9kZSKgIhA==" saltValue="cdY9Zlpl8lNY0CTqld2Z6A==" spinCount="100000" sheet="1" formatCells="0" formatColumns="0" formatRows="0"/>
  <mergeCells count="26">
    <mergeCell ref="C108:V112"/>
    <mergeCell ref="F55:G55"/>
    <mergeCell ref="F56:G56"/>
    <mergeCell ref="F58:G58"/>
    <mergeCell ref="F57:G57"/>
    <mergeCell ref="C55:E55"/>
    <mergeCell ref="C56:E56"/>
    <mergeCell ref="C57:E57"/>
    <mergeCell ref="C58:E58"/>
    <mergeCell ref="C14:V14"/>
    <mergeCell ref="F48:G48"/>
    <mergeCell ref="C47:E47"/>
    <mergeCell ref="C48:E48"/>
    <mergeCell ref="C16:M16"/>
    <mergeCell ref="C30:F30"/>
    <mergeCell ref="C31:F31"/>
    <mergeCell ref="C26:F26"/>
    <mergeCell ref="C27:F27"/>
    <mergeCell ref="C18:M18"/>
    <mergeCell ref="F49:G49"/>
    <mergeCell ref="F54:G54"/>
    <mergeCell ref="C49:E49"/>
    <mergeCell ref="E52:G52"/>
    <mergeCell ref="C45:D45"/>
    <mergeCell ref="F46:G46"/>
    <mergeCell ref="F47:G47"/>
  </mergeCells>
  <conditionalFormatting sqref="H52:V52">
    <cfRule type="cellIs" dxfId="40" priority="8" operator="lessThan">
      <formula>0</formula>
    </cfRule>
  </conditionalFormatting>
  <conditionalFormatting sqref="H38:V38 H43:V43 H52:V52 H62:V62 H104:V104">
    <cfRule type="cellIs" dxfId="39" priority="7" operator="lessThan">
      <formula>0</formula>
    </cfRule>
  </conditionalFormatting>
  <conditionalFormatting sqref="G25:G26">
    <cfRule type="cellIs" dxfId="38" priority="6" operator="notEqual">
      <formula>0.025</formula>
    </cfRule>
  </conditionalFormatting>
  <conditionalFormatting sqref="G36">
    <cfRule type="cellIs" dxfId="37" priority="5" operator="notEqual">
      <formula>0.05</formula>
    </cfRule>
  </conditionalFormatting>
  <conditionalFormatting sqref="G37">
    <cfRule type="cellIs" dxfId="36" priority="4" operator="notEqual">
      <formula>0.1</formula>
    </cfRule>
  </conditionalFormatting>
  <conditionalFormatting sqref="F72:F92">
    <cfRule type="cellIs" dxfId="35" priority="3" operator="notEqual">
      <formula>0.035</formula>
    </cfRule>
  </conditionalFormatting>
  <conditionalFormatting sqref="F95:F96">
    <cfRule type="cellIs" dxfId="34" priority="2" operator="notEqual">
      <formula>0.035</formula>
    </cfRule>
  </conditionalFormatting>
  <conditionalFormatting sqref="F99">
    <cfRule type="cellIs" dxfId="33" priority="1" operator="notEqual">
      <formula>0.035</formula>
    </cfRule>
  </conditionalFormatting>
  <pageMargins left="1" right="1" top="0.75" bottom="0.75" header="0.3" footer="0.3"/>
  <pageSetup paperSize="17" scale="81" fitToHeight="0" orientation="landscape" r:id="rId1"/>
  <headerFooter>
    <oddFooter>&amp;LForm 8D
Operating Pro Forma&amp;CCFA Forms&amp;REdition: 2017
Version: 1.0</oddFooter>
  </headerFooter>
  <rowBreaks count="1" manualBreakCount="1">
    <brk id="63" min="1" max="22"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6:K52"/>
  <sheetViews>
    <sheetView showGridLines="0" topLeftCell="A5" zoomScaleNormal="100" workbookViewId="0">
      <selection activeCell="E44" sqref="E44:E45"/>
    </sheetView>
  </sheetViews>
  <sheetFormatPr defaultColWidth="9.109375" defaultRowHeight="14.4" x14ac:dyDescent="0.3"/>
  <cols>
    <col min="1" max="2" width="1.6640625" style="403" customWidth="1"/>
    <col min="3" max="3" width="14.33203125" style="403" customWidth="1"/>
    <col min="4" max="4" width="10" style="403" customWidth="1"/>
    <col min="5" max="5" width="74.33203125" style="403" customWidth="1"/>
    <col min="6" max="6" width="1.6640625" style="403" customWidth="1"/>
    <col min="7" max="16384" width="9.109375" style="403"/>
  </cols>
  <sheetData>
    <row r="6" spans="2:6" ht="15" thickBot="1" x14ac:dyDescent="0.35"/>
    <row r="7" spans="2:6" ht="9" customHeight="1" x14ac:dyDescent="0.3">
      <c r="B7" s="626"/>
      <c r="C7" s="627"/>
      <c r="D7" s="627"/>
      <c r="E7" s="628"/>
      <c r="F7" s="629"/>
    </row>
    <row r="8" spans="2:6" ht="18" x14ac:dyDescent="0.35">
      <c r="B8" s="630"/>
      <c r="C8" s="2657" t="s">
        <v>1520</v>
      </c>
      <c r="D8" s="2657"/>
      <c r="E8" s="2657"/>
      <c r="F8" s="631"/>
    </row>
    <row r="9" spans="2:6" x14ac:dyDescent="0.3">
      <c r="B9" s="630"/>
      <c r="C9" s="2124"/>
      <c r="D9" s="2124"/>
      <c r="E9" s="234"/>
      <c r="F9" s="631"/>
    </row>
    <row r="10" spans="2:6" ht="15" thickBot="1" x14ac:dyDescent="0.35">
      <c r="B10" s="630"/>
      <c r="C10" s="2754" t="str">
        <f>IF('1'!G5="","Enter Project Name on Form 1",(CONCATENATE("Project Name: ",'1'!G5)))</f>
        <v>Project Name: 6600 Roosevelt Way NE</v>
      </c>
      <c r="D10" s="2754"/>
      <c r="E10" s="2754"/>
      <c r="F10" s="631"/>
    </row>
    <row r="11" spans="2:6" ht="7.5" customHeight="1" x14ac:dyDescent="0.3">
      <c r="B11" s="630"/>
      <c r="C11" s="2117"/>
      <c r="D11" s="2117"/>
      <c r="E11" s="2117"/>
      <c r="F11" s="631"/>
    </row>
    <row r="12" spans="2:6" ht="15" thickBot="1" x14ac:dyDescent="0.35">
      <c r="B12" s="630"/>
      <c r="C12" s="2753" t="str">
        <f>IF('1'!G29="","Enter Site Name/ID Number on Form 1",(CONCATENATE("Site Name/ID: ",'1'!G29)))</f>
        <v>Site Name/ID: Site A - 4% Building</v>
      </c>
      <c r="D12" s="2753"/>
      <c r="E12" s="2753"/>
      <c r="F12" s="631"/>
    </row>
    <row r="13" spans="2:6" ht="7.5" customHeight="1" x14ac:dyDescent="0.3">
      <c r="B13" s="630"/>
      <c r="C13" s="292"/>
      <c r="D13" s="292"/>
      <c r="E13" s="424"/>
      <c r="F13" s="631"/>
    </row>
    <row r="14" spans="2:6" x14ac:dyDescent="0.3">
      <c r="B14" s="630"/>
      <c r="C14" s="632" t="s">
        <v>423</v>
      </c>
      <c r="D14" s="632"/>
      <c r="E14" s="234"/>
      <c r="F14" s="631"/>
    </row>
    <row r="15" spans="2:6" ht="15" thickBot="1" x14ac:dyDescent="0.35">
      <c r="B15" s="630"/>
      <c r="C15" s="130" t="s">
        <v>424</v>
      </c>
      <c r="D15" s="130"/>
      <c r="E15" s="633"/>
      <c r="F15" s="631"/>
    </row>
    <row r="16" spans="2:6" x14ac:dyDescent="0.3">
      <c r="B16" s="630"/>
      <c r="C16" s="2907" t="s">
        <v>2136</v>
      </c>
      <c r="D16" s="2908"/>
      <c r="E16" s="2909"/>
      <c r="F16" s="631"/>
    </row>
    <row r="17" spans="1:11" x14ac:dyDescent="0.3">
      <c r="B17" s="630"/>
      <c r="C17" s="2910"/>
      <c r="D17" s="2911"/>
      <c r="E17" s="2912"/>
      <c r="F17" s="631"/>
    </row>
    <row r="18" spans="1:11" x14ac:dyDescent="0.3">
      <c r="B18" s="630"/>
      <c r="C18" s="2910"/>
      <c r="D18" s="2911"/>
      <c r="E18" s="2912"/>
      <c r="F18" s="631"/>
    </row>
    <row r="19" spans="1:11" ht="15" thickBot="1" x14ac:dyDescent="0.35">
      <c r="B19" s="630"/>
      <c r="C19" s="2913"/>
      <c r="D19" s="2914"/>
      <c r="E19" s="2915"/>
      <c r="F19" s="631"/>
    </row>
    <row r="20" spans="1:11" x14ac:dyDescent="0.3">
      <c r="B20" s="630"/>
      <c r="C20" s="134"/>
      <c r="D20" s="134"/>
      <c r="E20" s="633"/>
      <c r="F20" s="631"/>
    </row>
    <row r="21" spans="1:11" x14ac:dyDescent="0.3">
      <c r="A21" s="400"/>
      <c r="B21" s="630"/>
      <c r="C21" s="632" t="s">
        <v>425</v>
      </c>
      <c r="D21" s="632"/>
      <c r="E21" s="350"/>
      <c r="F21" s="634"/>
      <c r="G21" s="400"/>
      <c r="H21" s="400"/>
      <c r="I21" s="400"/>
      <c r="J21" s="400"/>
      <c r="K21" s="400"/>
    </row>
    <row r="22" spans="1:11" ht="7.5" customHeight="1" x14ac:dyDescent="0.3">
      <c r="A22" s="400"/>
      <c r="B22" s="630"/>
      <c r="C22" s="635"/>
      <c r="D22" s="635"/>
      <c r="E22" s="350"/>
      <c r="F22" s="634"/>
      <c r="G22" s="400"/>
      <c r="H22" s="400"/>
      <c r="I22" s="400"/>
      <c r="J22" s="400"/>
      <c r="K22" s="400"/>
    </row>
    <row r="23" spans="1:11" ht="15" thickBot="1" x14ac:dyDescent="0.35">
      <c r="A23" s="400"/>
      <c r="B23" s="630"/>
      <c r="C23" s="265" t="s">
        <v>374</v>
      </c>
      <c r="D23" s="265"/>
      <c r="E23" s="570"/>
      <c r="F23" s="634"/>
      <c r="G23" s="400"/>
      <c r="H23" s="400"/>
      <c r="I23" s="400"/>
      <c r="J23" s="400"/>
      <c r="K23" s="400"/>
    </row>
    <row r="24" spans="1:11" x14ac:dyDescent="0.3">
      <c r="A24" s="400"/>
      <c r="B24" s="630"/>
      <c r="C24" s="291" t="s">
        <v>376</v>
      </c>
      <c r="D24" s="291"/>
      <c r="E24" s="920" t="s">
        <v>2114</v>
      </c>
      <c r="F24" s="634"/>
      <c r="G24" s="400"/>
      <c r="H24" s="400"/>
      <c r="I24" s="400"/>
      <c r="J24" s="400"/>
      <c r="K24" s="400"/>
    </row>
    <row r="25" spans="1:11" x14ac:dyDescent="0.3">
      <c r="A25" s="400"/>
      <c r="B25" s="630"/>
      <c r="C25" s="291" t="s">
        <v>377</v>
      </c>
      <c r="D25" s="291"/>
      <c r="E25" s="921" t="s">
        <v>2112</v>
      </c>
      <c r="F25" s="634"/>
      <c r="G25" s="400"/>
      <c r="H25" s="400"/>
      <c r="I25" s="400"/>
      <c r="J25" s="400"/>
      <c r="K25" s="400"/>
    </row>
    <row r="26" spans="1:11" x14ac:dyDescent="0.3">
      <c r="A26" s="400"/>
      <c r="B26" s="630"/>
      <c r="C26" s="291" t="s">
        <v>378</v>
      </c>
      <c r="D26" s="291"/>
      <c r="E26" s="921" t="s">
        <v>2113</v>
      </c>
      <c r="F26" s="634"/>
      <c r="G26" s="400"/>
      <c r="H26" s="400"/>
      <c r="I26" s="400"/>
      <c r="J26" s="400"/>
      <c r="K26" s="400"/>
    </row>
    <row r="27" spans="1:11" x14ac:dyDescent="0.3">
      <c r="A27" s="400"/>
      <c r="B27" s="630"/>
      <c r="C27" s="291" t="s">
        <v>379</v>
      </c>
      <c r="D27" s="291"/>
      <c r="E27" s="921" t="s">
        <v>2113</v>
      </c>
      <c r="F27" s="634"/>
      <c r="G27" s="400"/>
      <c r="H27" s="400"/>
      <c r="I27" s="400"/>
      <c r="J27" s="400"/>
      <c r="K27" s="400"/>
    </row>
    <row r="28" spans="1:11" x14ac:dyDescent="0.3">
      <c r="A28" s="400"/>
      <c r="B28" s="630"/>
      <c r="C28" s="291" t="s">
        <v>380</v>
      </c>
      <c r="D28" s="291"/>
      <c r="E28" s="921" t="s">
        <v>2113</v>
      </c>
      <c r="F28" s="634"/>
      <c r="G28" s="400"/>
      <c r="H28" s="400"/>
      <c r="I28" s="400"/>
      <c r="J28" s="400"/>
      <c r="K28" s="400"/>
    </row>
    <row r="29" spans="1:11" ht="27.6" x14ac:dyDescent="0.3">
      <c r="A29" s="400"/>
      <c r="B29" s="630"/>
      <c r="C29" s="291" t="s">
        <v>381</v>
      </c>
      <c r="D29" s="291"/>
      <c r="E29" s="2457" t="s">
        <v>2152</v>
      </c>
      <c r="F29" s="634"/>
      <c r="G29" s="400"/>
      <c r="H29" s="400"/>
      <c r="I29" s="400"/>
      <c r="J29" s="400"/>
      <c r="K29" s="400"/>
    </row>
    <row r="30" spans="1:11" x14ac:dyDescent="0.3">
      <c r="A30" s="400"/>
      <c r="B30" s="630"/>
      <c r="C30" s="291" t="s">
        <v>382</v>
      </c>
      <c r="D30" s="291"/>
      <c r="E30" s="921" t="s">
        <v>2113</v>
      </c>
      <c r="F30" s="634"/>
      <c r="G30" s="400"/>
      <c r="H30" s="400"/>
      <c r="I30" s="400"/>
      <c r="J30" s="400"/>
      <c r="K30" s="400"/>
    </row>
    <row r="31" spans="1:11" x14ac:dyDescent="0.3">
      <c r="A31" s="400"/>
      <c r="B31" s="630"/>
      <c r="C31" s="291" t="s">
        <v>383</v>
      </c>
      <c r="D31" s="291"/>
      <c r="E31" s="921" t="s">
        <v>2113</v>
      </c>
      <c r="F31" s="634"/>
      <c r="G31" s="400"/>
      <c r="H31" s="400"/>
      <c r="I31" s="400"/>
      <c r="J31" s="400"/>
      <c r="K31" s="400"/>
    </row>
    <row r="32" spans="1:11" x14ac:dyDescent="0.3">
      <c r="A32" s="400"/>
      <c r="B32" s="630"/>
      <c r="C32" s="291" t="s">
        <v>384</v>
      </c>
      <c r="D32" s="291"/>
      <c r="E32" s="921" t="s">
        <v>2113</v>
      </c>
      <c r="F32" s="634"/>
      <c r="G32" s="400"/>
      <c r="H32" s="400"/>
      <c r="I32" s="400"/>
      <c r="J32" s="400"/>
      <c r="K32" s="400"/>
    </row>
    <row r="33" spans="1:11" x14ac:dyDescent="0.3">
      <c r="A33" s="400"/>
      <c r="B33" s="630"/>
      <c r="C33" s="291" t="s">
        <v>385</v>
      </c>
      <c r="D33" s="291"/>
      <c r="E33" s="921" t="s">
        <v>2113</v>
      </c>
      <c r="F33" s="634"/>
      <c r="G33" s="400"/>
      <c r="H33" s="400"/>
      <c r="I33" s="400"/>
      <c r="J33" s="400"/>
      <c r="K33" s="400"/>
    </row>
    <row r="34" spans="1:11" x14ac:dyDescent="0.3">
      <c r="A34" s="400"/>
      <c r="B34" s="630"/>
      <c r="C34" s="291" t="s">
        <v>386</v>
      </c>
      <c r="D34" s="291"/>
      <c r="E34" s="921" t="s">
        <v>2113</v>
      </c>
      <c r="F34" s="634"/>
      <c r="G34" s="400"/>
      <c r="H34" s="400"/>
      <c r="I34" s="400"/>
      <c r="J34" s="400"/>
      <c r="K34" s="400"/>
    </row>
    <row r="35" spans="1:11" x14ac:dyDescent="0.3">
      <c r="A35" s="400"/>
      <c r="B35" s="630"/>
      <c r="C35" s="291" t="s">
        <v>387</v>
      </c>
      <c r="D35" s="291"/>
      <c r="E35" s="921" t="s">
        <v>2113</v>
      </c>
      <c r="F35" s="634"/>
      <c r="G35" s="400"/>
      <c r="H35" s="400"/>
      <c r="I35" s="400"/>
      <c r="J35" s="400"/>
      <c r="K35" s="400"/>
    </row>
    <row r="36" spans="1:11" x14ac:dyDescent="0.3">
      <c r="A36" s="400"/>
      <c r="B36" s="630"/>
      <c r="C36" s="291" t="s">
        <v>388</v>
      </c>
      <c r="D36" s="291"/>
      <c r="E36" s="921" t="s">
        <v>2113</v>
      </c>
      <c r="F36" s="634"/>
      <c r="G36" s="400"/>
      <c r="H36" s="400"/>
      <c r="I36" s="400"/>
      <c r="J36" s="400"/>
      <c r="K36" s="400"/>
    </row>
    <row r="37" spans="1:11" x14ac:dyDescent="0.3">
      <c r="A37" s="400"/>
      <c r="B37" s="630"/>
      <c r="C37" s="291" t="s">
        <v>389</v>
      </c>
      <c r="D37" s="291"/>
      <c r="E37" s="921" t="s">
        <v>2113</v>
      </c>
      <c r="F37" s="634"/>
      <c r="G37" s="400"/>
      <c r="H37" s="400"/>
      <c r="I37" s="400"/>
      <c r="J37" s="400"/>
      <c r="K37" s="400"/>
    </row>
    <row r="38" spans="1:11" x14ac:dyDescent="0.3">
      <c r="A38" s="400"/>
      <c r="B38" s="630"/>
      <c r="C38" s="291" t="s">
        <v>390</v>
      </c>
      <c r="D38" s="291"/>
      <c r="E38" s="921" t="s">
        <v>2113</v>
      </c>
      <c r="F38" s="634"/>
      <c r="G38" s="400"/>
      <c r="H38" s="400"/>
      <c r="I38" s="400"/>
      <c r="J38" s="400"/>
      <c r="K38" s="400"/>
    </row>
    <row r="39" spans="1:11" x14ac:dyDescent="0.3">
      <c r="A39" s="400"/>
      <c r="B39" s="630"/>
      <c r="C39" s="291" t="s">
        <v>391</v>
      </c>
      <c r="D39" s="291"/>
      <c r="E39" s="921" t="s">
        <v>2113</v>
      </c>
      <c r="F39" s="634"/>
      <c r="G39" s="400"/>
      <c r="H39" s="400"/>
      <c r="I39" s="400"/>
      <c r="J39" s="400"/>
      <c r="K39" s="400"/>
    </row>
    <row r="40" spans="1:11" x14ac:dyDescent="0.3">
      <c r="A40" s="400"/>
      <c r="B40" s="630"/>
      <c r="C40" s="291" t="s">
        <v>392</v>
      </c>
      <c r="D40" s="291"/>
      <c r="E40" s="921" t="s">
        <v>2113</v>
      </c>
      <c r="F40" s="634"/>
      <c r="G40" s="400"/>
      <c r="H40" s="400"/>
      <c r="I40" s="400"/>
      <c r="J40" s="400"/>
      <c r="K40" s="400"/>
    </row>
    <row r="41" spans="1:11" x14ac:dyDescent="0.3">
      <c r="A41" s="400"/>
      <c r="B41" s="630"/>
      <c r="C41" s="291" t="s">
        <v>393</v>
      </c>
      <c r="D41" s="291"/>
      <c r="E41" s="921" t="s">
        <v>2113</v>
      </c>
      <c r="F41" s="634"/>
      <c r="G41" s="400"/>
      <c r="H41" s="400"/>
      <c r="I41" s="400"/>
      <c r="J41" s="400"/>
      <c r="K41" s="400"/>
    </row>
    <row r="42" spans="1:11" x14ac:dyDescent="0.3">
      <c r="A42" s="400"/>
      <c r="B42" s="630"/>
      <c r="C42" s="291" t="s">
        <v>394</v>
      </c>
      <c r="D42" s="291"/>
      <c r="E42" s="921" t="s">
        <v>2113</v>
      </c>
      <c r="F42" s="634"/>
      <c r="G42" s="400"/>
      <c r="H42" s="400"/>
      <c r="I42" s="400"/>
      <c r="J42" s="400"/>
      <c r="K42" s="400"/>
    </row>
    <row r="43" spans="1:11" x14ac:dyDescent="0.3">
      <c r="A43" s="400"/>
      <c r="B43" s="630"/>
      <c r="C43" s="291" t="s">
        <v>395</v>
      </c>
      <c r="D43" s="291"/>
      <c r="E43" s="921" t="s">
        <v>2113</v>
      </c>
      <c r="F43" s="634"/>
      <c r="G43" s="400"/>
      <c r="H43" s="400"/>
      <c r="I43" s="400"/>
      <c r="J43" s="400"/>
      <c r="K43" s="400"/>
    </row>
    <row r="44" spans="1:11" ht="30" customHeight="1" x14ac:dyDescent="0.3">
      <c r="A44" s="400"/>
      <c r="B44" s="630"/>
      <c r="C44" s="2903" t="s">
        <v>506</v>
      </c>
      <c r="D44" s="2904"/>
      <c r="E44" s="2905" t="s">
        <v>2157</v>
      </c>
      <c r="F44" s="634"/>
      <c r="G44" s="400"/>
      <c r="H44" s="400"/>
      <c r="I44" s="400"/>
      <c r="J44" s="400"/>
      <c r="K44" s="400"/>
    </row>
    <row r="45" spans="1:11" ht="15" thickBot="1" x14ac:dyDescent="0.35">
      <c r="A45" s="400"/>
      <c r="B45" s="630"/>
      <c r="C45" s="295"/>
      <c r="D45" s="296"/>
      <c r="E45" s="2906" t="str">
        <f>IF('8D - 4% Building'!H94&lt;&gt;0,"Cost listed on Form 8E. Please provide detail here. (Overwrite this text with your answer)","")</f>
        <v/>
      </c>
      <c r="F45" s="634"/>
      <c r="G45" s="400"/>
      <c r="H45" s="400"/>
      <c r="I45" s="400"/>
      <c r="J45" s="400"/>
      <c r="K45" s="400"/>
    </row>
    <row r="46" spans="1:11" ht="15" thickBot="1" x14ac:dyDescent="0.35">
      <c r="A46" s="400"/>
      <c r="B46" s="630"/>
      <c r="C46" s="265" t="s">
        <v>426</v>
      </c>
      <c r="D46" s="265"/>
      <c r="E46" s="297"/>
      <c r="F46" s="634"/>
      <c r="G46" s="400"/>
      <c r="H46" s="400"/>
      <c r="I46" s="400"/>
      <c r="J46" s="400"/>
      <c r="K46" s="400"/>
    </row>
    <row r="47" spans="1:11" x14ac:dyDescent="0.3">
      <c r="A47" s="400"/>
      <c r="B47" s="630"/>
      <c r="C47" s="294" t="s">
        <v>397</v>
      </c>
      <c r="D47" s="294"/>
      <c r="E47" s="920" t="s">
        <v>2115</v>
      </c>
      <c r="F47" s="634"/>
      <c r="G47" s="400"/>
      <c r="H47" s="400"/>
      <c r="I47" s="400"/>
      <c r="J47" s="400"/>
      <c r="K47" s="400"/>
    </row>
    <row r="48" spans="1:11" ht="15" thickBot="1" x14ac:dyDescent="0.35">
      <c r="A48" s="400"/>
      <c r="B48" s="630"/>
      <c r="C48" s="294" t="s">
        <v>398</v>
      </c>
      <c r="D48" s="294"/>
      <c r="E48" s="922"/>
      <c r="F48" s="634"/>
      <c r="G48" s="400"/>
      <c r="H48" s="400"/>
      <c r="I48" s="400"/>
      <c r="J48" s="400"/>
      <c r="K48" s="400"/>
    </row>
    <row r="49" spans="1:11" ht="15" thickBot="1" x14ac:dyDescent="0.35">
      <c r="A49" s="400"/>
      <c r="B49" s="636"/>
      <c r="C49" s="637"/>
      <c r="D49" s="637"/>
      <c r="E49" s="638"/>
      <c r="F49" s="639"/>
      <c r="G49" s="400"/>
      <c r="H49" s="400"/>
      <c r="I49" s="400"/>
      <c r="J49" s="400"/>
      <c r="K49" s="400"/>
    </row>
    <row r="50" spans="1:11" x14ac:dyDescent="0.3">
      <c r="A50" s="400"/>
      <c r="B50" s="400"/>
      <c r="C50" s="400"/>
      <c r="D50" s="400"/>
      <c r="E50" s="400"/>
      <c r="F50" s="400"/>
      <c r="G50" s="400"/>
      <c r="H50" s="400"/>
      <c r="I50" s="400"/>
      <c r="J50" s="400"/>
      <c r="K50" s="400"/>
    </row>
    <row r="51" spans="1:11" x14ac:dyDescent="0.3">
      <c r="A51" s="400"/>
      <c r="B51" s="400"/>
      <c r="C51" s="400"/>
      <c r="D51" s="400"/>
      <c r="E51" s="400"/>
      <c r="F51" s="400"/>
      <c r="G51" s="400"/>
      <c r="H51" s="400"/>
      <c r="I51" s="400"/>
      <c r="J51" s="400"/>
      <c r="K51" s="400"/>
    </row>
    <row r="52" spans="1:11" x14ac:dyDescent="0.3">
      <c r="A52" s="400"/>
      <c r="B52" s="400"/>
      <c r="C52" s="400"/>
      <c r="D52" s="400"/>
      <c r="E52" s="400"/>
      <c r="F52" s="400"/>
      <c r="G52" s="400"/>
      <c r="H52" s="400"/>
      <c r="I52" s="400"/>
      <c r="J52" s="400"/>
      <c r="K52" s="400"/>
    </row>
  </sheetData>
  <sheetProtection algorithmName="SHA-512" hashValue="r7dK5sW+phmzcLDxT+tJvFijhAU9RwPGkLhI+6chk2s5X+RS+Id51/QfEr/v8xVFg3mcM89Hj5SJwODN0GHpcg==" saltValue="6OFqXeSkmpWHpnZVuMUDbQ==" spinCount="100000" sheet="1" formatCells="0" formatColumns="0" formatRows="0"/>
  <mergeCells count="6">
    <mergeCell ref="C44:D44"/>
    <mergeCell ref="E44:E45"/>
    <mergeCell ref="C16:E19"/>
    <mergeCell ref="C8:E8"/>
    <mergeCell ref="C10:E10"/>
    <mergeCell ref="C12:E12"/>
  </mergeCells>
  <conditionalFormatting sqref="E24:E48">
    <cfRule type="containsText" dxfId="32" priority="1" operator="containsText" text="Cost listed on Form 8E. Please provide detail here. (Overwrite this text with your answer)">
      <formula>NOT(ISERROR(SEARCH("Cost listed on Form 8E. Please provide detail here. (Overwrite this text with your answer)",E24)))</formula>
    </cfRule>
  </conditionalFormatting>
  <pageMargins left="1" right="0.7" top="0.75" bottom="0.75" header="0.3" footer="0.3"/>
  <pageSetup scale="84" orientation="portrait" r:id="rId1"/>
  <headerFooter>
    <oddFooter>&amp;LForm 8E
Operating Pro Forma Details&amp;CCFA Forms&amp;REdition: 2017
Version: 1.0</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B9:H42"/>
  <sheetViews>
    <sheetView showGridLines="0" topLeftCell="A13" zoomScaleNormal="100" workbookViewId="0">
      <selection activeCell="O29" sqref="O29"/>
    </sheetView>
  </sheetViews>
  <sheetFormatPr defaultColWidth="9.109375" defaultRowHeight="14.4" x14ac:dyDescent="0.3"/>
  <cols>
    <col min="1" max="2" width="1.6640625" style="400" customWidth="1"/>
    <col min="3" max="3" width="52" style="400" customWidth="1"/>
    <col min="4" max="6" width="17.109375" style="400" customWidth="1"/>
    <col min="7" max="7" width="20" style="400" customWidth="1"/>
    <col min="8" max="8" width="1.6640625" style="400" customWidth="1"/>
    <col min="9" max="16384" width="9.109375" style="400"/>
  </cols>
  <sheetData>
    <row r="9" spans="2:8" ht="9" customHeight="1" thickBot="1" x14ac:dyDescent="0.35"/>
    <row r="10" spans="2:8" ht="9" customHeight="1" x14ac:dyDescent="0.35">
      <c r="B10" s="596"/>
      <c r="C10" s="597"/>
      <c r="D10" s="597"/>
      <c r="E10" s="597"/>
      <c r="F10" s="597"/>
      <c r="G10" s="597"/>
      <c r="H10" s="598"/>
    </row>
    <row r="11" spans="2:8" ht="18" x14ac:dyDescent="0.35">
      <c r="B11" s="599"/>
      <c r="C11" s="2657" t="s">
        <v>534</v>
      </c>
      <c r="D11" s="2657"/>
      <c r="E11" s="2657"/>
      <c r="F11" s="2657"/>
      <c r="G11" s="2657"/>
      <c r="H11" s="560"/>
    </row>
    <row r="12" spans="2:8" ht="18" x14ac:dyDescent="0.35">
      <c r="B12" s="599"/>
      <c r="C12" s="2124"/>
      <c r="D12" s="2124"/>
      <c r="E12" s="2124"/>
      <c r="F12" s="2124"/>
      <c r="G12" s="2124"/>
      <c r="H12" s="560"/>
    </row>
    <row r="13" spans="2:8" ht="15" thickBot="1" x14ac:dyDescent="0.35">
      <c r="B13" s="202"/>
      <c r="C13" s="2802" t="str">
        <f>IF('1'!G5="","Enter Project Name on Form 1",(CONCATENATE("Project Name: ",'1'!G5)))</f>
        <v>Project Name: 6600 Roosevelt Way NE</v>
      </c>
      <c r="D13" s="2802"/>
      <c r="E13" s="2802"/>
      <c r="F13" s="2802"/>
      <c r="G13" s="424"/>
      <c r="H13" s="201"/>
    </row>
    <row r="14" spans="2:8" ht="7.5" customHeight="1" x14ac:dyDescent="0.3">
      <c r="B14" s="202"/>
      <c r="C14" s="2123"/>
      <c r="D14" s="2123"/>
      <c r="E14" s="2123"/>
      <c r="F14" s="2123"/>
      <c r="G14" s="424"/>
      <c r="H14" s="201"/>
    </row>
    <row r="15" spans="2:8" ht="15" thickBot="1" x14ac:dyDescent="0.35">
      <c r="B15" s="202"/>
      <c r="C15" s="2804" t="str">
        <f>IF('1'!G55="","Enter Site Name/ID Number on Form 1",(CONCATENATE("Site Name/ID: ",'1'!G55)))</f>
        <v>Site Name/ID: Site B - 9% Building</v>
      </c>
      <c r="D15" s="2804"/>
      <c r="E15" s="2804"/>
      <c r="F15" s="2804"/>
      <c r="G15" s="424"/>
      <c r="H15" s="201"/>
    </row>
    <row r="16" spans="2:8" ht="7.5" customHeight="1" x14ac:dyDescent="0.3">
      <c r="B16" s="202"/>
      <c r="C16" s="385"/>
      <c r="D16" s="424"/>
      <c r="E16" s="424"/>
      <c r="F16" s="424"/>
      <c r="G16" s="424"/>
      <c r="H16" s="201"/>
    </row>
    <row r="17" spans="2:8" ht="15" thickBot="1" x14ac:dyDescent="0.35">
      <c r="B17" s="202"/>
      <c r="C17" s="600" t="s">
        <v>1511</v>
      </c>
      <c r="D17" s="424"/>
      <c r="E17" s="424"/>
      <c r="F17" s="424"/>
      <c r="G17" s="424"/>
      <c r="H17" s="201"/>
    </row>
    <row r="18" spans="2:8" ht="28.2" thickBot="1" x14ac:dyDescent="0.35">
      <c r="B18" s="202"/>
      <c r="C18" s="1499" t="s">
        <v>291</v>
      </c>
      <c r="D18" s="1050" t="s">
        <v>332</v>
      </c>
      <c r="E18" s="1050" t="s">
        <v>333</v>
      </c>
      <c r="F18" s="1050" t="s">
        <v>334</v>
      </c>
      <c r="G18" s="1500" t="s">
        <v>335</v>
      </c>
      <c r="H18" s="201"/>
    </row>
    <row r="19" spans="2:8" x14ac:dyDescent="0.3">
      <c r="B19" s="202"/>
      <c r="C19" s="1049" t="s">
        <v>2150</v>
      </c>
      <c r="D19" s="1159">
        <v>40000</v>
      </c>
      <c r="E19" s="1159">
        <v>0</v>
      </c>
      <c r="F19" s="1501">
        <f>SUM(D19:E19)</f>
        <v>40000</v>
      </c>
      <c r="G19" s="1638" t="s">
        <v>2151</v>
      </c>
      <c r="H19" s="201"/>
    </row>
    <row r="20" spans="2:8" x14ac:dyDescent="0.3">
      <c r="B20" s="202"/>
      <c r="C20" s="1002"/>
      <c r="D20" s="1160">
        <v>0</v>
      </c>
      <c r="E20" s="1160">
        <v>0</v>
      </c>
      <c r="F20" s="1502">
        <f>SUM(D20:E20)</f>
        <v>0</v>
      </c>
      <c r="G20" s="1639"/>
      <c r="H20" s="201"/>
    </row>
    <row r="21" spans="2:8" x14ac:dyDescent="0.3">
      <c r="B21" s="202"/>
      <c r="C21" s="1002"/>
      <c r="D21" s="1160">
        <v>0</v>
      </c>
      <c r="E21" s="1160">
        <v>0</v>
      </c>
      <c r="F21" s="1502">
        <f>SUM(D21:E21)</f>
        <v>0</v>
      </c>
      <c r="G21" s="1639"/>
      <c r="H21" s="201"/>
    </row>
    <row r="22" spans="2:8" ht="15" thickBot="1" x14ac:dyDescent="0.35">
      <c r="B22" s="202"/>
      <c r="C22" s="1002"/>
      <c r="D22" s="1160">
        <v>0</v>
      </c>
      <c r="E22" s="1160">
        <v>0</v>
      </c>
      <c r="F22" s="1502">
        <f>SUM(D22:E22)</f>
        <v>0</v>
      </c>
      <c r="G22" s="1639"/>
      <c r="H22" s="201"/>
    </row>
    <row r="23" spans="2:8" ht="15.6" thickTop="1" thickBot="1" x14ac:dyDescent="0.35">
      <c r="B23" s="202"/>
      <c r="C23" s="1004" t="s">
        <v>1517</v>
      </c>
      <c r="D23" s="1165">
        <f>SUM(D19:D22)</f>
        <v>40000</v>
      </c>
      <c r="E23" s="1165">
        <f>SUM(E19:E22)</f>
        <v>0</v>
      </c>
      <c r="F23" s="1166">
        <f>SUM(D23:E23)</f>
        <v>40000</v>
      </c>
      <c r="G23" s="1005"/>
      <c r="H23" s="201"/>
    </row>
    <row r="24" spans="2:8" x14ac:dyDescent="0.3">
      <c r="B24" s="202"/>
      <c r="C24" s="385"/>
      <c r="D24" s="424"/>
      <c r="E24" s="424"/>
      <c r="F24" s="203" t="s">
        <v>31</v>
      </c>
      <c r="G24" s="424"/>
      <c r="H24" s="201"/>
    </row>
    <row r="25" spans="2:8" ht="15" thickBot="1" x14ac:dyDescent="0.35">
      <c r="B25" s="202"/>
      <c r="C25" s="600" t="s">
        <v>336</v>
      </c>
      <c r="D25" s="424"/>
      <c r="E25" s="424"/>
      <c r="F25" s="424"/>
      <c r="G25" s="424"/>
      <c r="H25" s="201"/>
    </row>
    <row r="26" spans="2:8" ht="15" customHeight="1" x14ac:dyDescent="0.3">
      <c r="B26" s="202"/>
      <c r="C26" s="2799" t="s">
        <v>291</v>
      </c>
      <c r="D26" s="2797" t="s">
        <v>332</v>
      </c>
      <c r="E26" s="2797" t="s">
        <v>333</v>
      </c>
      <c r="F26" s="2797" t="s">
        <v>334</v>
      </c>
      <c r="G26" s="2797" t="s">
        <v>335</v>
      </c>
      <c r="H26" s="201"/>
    </row>
    <row r="27" spans="2:8" ht="15" thickBot="1" x14ac:dyDescent="0.35">
      <c r="B27" s="202"/>
      <c r="C27" s="2803"/>
      <c r="D27" s="2801"/>
      <c r="E27" s="2801"/>
      <c r="F27" s="2801"/>
      <c r="G27" s="2801"/>
      <c r="H27" s="201"/>
    </row>
    <row r="28" spans="2:8" x14ac:dyDescent="0.3">
      <c r="B28" s="202"/>
      <c r="C28" s="1051"/>
      <c r="D28" s="1161">
        <v>0</v>
      </c>
      <c r="E28" s="1161">
        <v>0</v>
      </c>
      <c r="F28" s="1503">
        <f>SUM(D28+E28)</f>
        <v>0</v>
      </c>
      <c r="G28" s="1640"/>
      <c r="H28" s="201"/>
    </row>
    <row r="29" spans="2:8" x14ac:dyDescent="0.3">
      <c r="B29" s="202"/>
      <c r="C29" s="1052"/>
      <c r="D29" s="1160">
        <v>0</v>
      </c>
      <c r="E29" s="1160">
        <v>0</v>
      </c>
      <c r="F29" s="1502">
        <f>SUM(D29+E29)</f>
        <v>0</v>
      </c>
      <c r="G29" s="1641"/>
      <c r="H29" s="201"/>
    </row>
    <row r="30" spans="2:8" x14ac:dyDescent="0.3">
      <c r="B30" s="202"/>
      <c r="C30" s="1053"/>
      <c r="D30" s="1162">
        <v>0</v>
      </c>
      <c r="E30" s="1162">
        <v>0</v>
      </c>
      <c r="F30" s="1502">
        <f>SUM(D30+E30)</f>
        <v>0</v>
      </c>
      <c r="G30" s="1642"/>
      <c r="H30" s="201"/>
    </row>
    <row r="31" spans="2:8" ht="15" thickBot="1" x14ac:dyDescent="0.35">
      <c r="B31" s="202"/>
      <c r="C31" s="1053"/>
      <c r="D31" s="1162">
        <v>0</v>
      </c>
      <c r="E31" s="1162">
        <v>0</v>
      </c>
      <c r="F31" s="1504">
        <f>SUM(D31+E31)</f>
        <v>0</v>
      </c>
      <c r="G31" s="1642"/>
      <c r="H31" s="201"/>
    </row>
    <row r="32" spans="2:8" ht="15.6" thickTop="1" thickBot="1" x14ac:dyDescent="0.35">
      <c r="B32" s="202"/>
      <c r="C32" s="723" t="s">
        <v>1515</v>
      </c>
      <c r="D32" s="1163">
        <f>SUM(D28:D31)</f>
        <v>0</v>
      </c>
      <c r="E32" s="1163">
        <f>SUM(E28:E31)</f>
        <v>0</v>
      </c>
      <c r="F32" s="1164">
        <f>SUM(D32:E32)</f>
        <v>0</v>
      </c>
      <c r="G32" s="1505"/>
      <c r="H32" s="201"/>
    </row>
    <row r="33" spans="2:8" x14ac:dyDescent="0.3">
      <c r="B33" s="202"/>
      <c r="C33" s="385"/>
      <c r="D33" s="424"/>
      <c r="E33" s="424"/>
      <c r="F33" s="203"/>
      <c r="G33" s="424"/>
      <c r="H33" s="201"/>
    </row>
    <row r="34" spans="2:8" ht="15" thickBot="1" x14ac:dyDescent="0.35">
      <c r="B34" s="202"/>
      <c r="C34" s="600" t="s">
        <v>337</v>
      </c>
      <c r="D34" s="424"/>
      <c r="E34" s="424"/>
      <c r="F34" s="424"/>
      <c r="G34" s="424"/>
      <c r="H34" s="201"/>
    </row>
    <row r="35" spans="2:8" ht="15" customHeight="1" x14ac:dyDescent="0.3">
      <c r="B35" s="202"/>
      <c r="C35" s="2799" t="s">
        <v>291</v>
      </c>
      <c r="D35" s="2797" t="s">
        <v>332</v>
      </c>
      <c r="E35" s="2797" t="s">
        <v>333</v>
      </c>
      <c r="F35" s="2797" t="s">
        <v>334</v>
      </c>
      <c r="G35" s="2797" t="s">
        <v>335</v>
      </c>
      <c r="H35" s="201"/>
    </row>
    <row r="36" spans="2:8" ht="15" thickBot="1" x14ac:dyDescent="0.35">
      <c r="B36" s="202"/>
      <c r="C36" s="2800"/>
      <c r="D36" s="2798"/>
      <c r="E36" s="2798"/>
      <c r="F36" s="2801"/>
      <c r="G36" s="2798"/>
      <c r="H36" s="201"/>
    </row>
    <row r="37" spans="2:8" x14ac:dyDescent="0.3">
      <c r="B37" s="202"/>
      <c r="C37" s="1049"/>
      <c r="D37" s="1159">
        <v>0</v>
      </c>
      <c r="E37" s="1159">
        <v>0</v>
      </c>
      <c r="F37" s="1501">
        <f>SUM(D37:E37)</f>
        <v>0</v>
      </c>
      <c r="G37" s="1638"/>
      <c r="H37" s="201"/>
    </row>
    <row r="38" spans="2:8" x14ac:dyDescent="0.3">
      <c r="B38" s="202"/>
      <c r="C38" s="1634"/>
      <c r="D38" s="1161">
        <v>0</v>
      </c>
      <c r="E38" s="1161">
        <v>0</v>
      </c>
      <c r="F38" s="1502">
        <f>SUM(D38:E38)</f>
        <v>0</v>
      </c>
      <c r="G38" s="1643"/>
      <c r="H38" s="201"/>
    </row>
    <row r="39" spans="2:8" x14ac:dyDescent="0.3">
      <c r="B39" s="202"/>
      <c r="C39" s="1002"/>
      <c r="D39" s="1160">
        <v>0</v>
      </c>
      <c r="E39" s="1160">
        <v>0</v>
      </c>
      <c r="F39" s="1502">
        <f>SUM(D39:E39)</f>
        <v>0</v>
      </c>
      <c r="G39" s="1639"/>
      <c r="H39" s="201"/>
    </row>
    <row r="40" spans="2:8" ht="15" thickBot="1" x14ac:dyDescent="0.35">
      <c r="B40" s="1506"/>
      <c r="C40" s="1003"/>
      <c r="D40" s="1162">
        <v>0</v>
      </c>
      <c r="E40" s="1162">
        <v>0</v>
      </c>
      <c r="F40" s="1504">
        <f>SUM(D40:E40)</f>
        <v>0</v>
      </c>
      <c r="G40" s="1644"/>
      <c r="H40" s="1507"/>
    </row>
    <row r="41" spans="2:8" ht="15.6" thickTop="1" thickBot="1" x14ac:dyDescent="0.35">
      <c r="B41" s="1506"/>
      <c r="C41" s="723" t="s">
        <v>1516</v>
      </c>
      <c r="D41" s="1163">
        <f>SUM(D37:D40)</f>
        <v>0</v>
      </c>
      <c r="E41" s="1163">
        <f>SUM(E37:E40)</f>
        <v>0</v>
      </c>
      <c r="F41" s="1166">
        <f>SUM(D41:E41)</f>
        <v>0</v>
      </c>
      <c r="G41" s="1508"/>
      <c r="H41" s="1507"/>
    </row>
    <row r="42" spans="2:8" ht="15" thickBot="1" x14ac:dyDescent="0.35">
      <c r="B42" s="204"/>
      <c r="C42" s="205"/>
      <c r="D42" s="206"/>
      <c r="E42" s="206"/>
      <c r="F42" s="206"/>
      <c r="G42" s="206"/>
      <c r="H42" s="207"/>
    </row>
  </sheetData>
  <sheetProtection algorithmName="SHA-512" hashValue="zMj7LYRo36sO4wnZUFEu0fw7bdnLKBtQuXQSuCiGYxnA4+GPu14PgyywDJcYCgQpmL7n0bCse985OxK2t7xJ4w==" saltValue="MVHpU9TkTLLn/e9VflARZw==" spinCount="100000" sheet="1" formatCells="0" formatColumns="0" formatRows="0" insertRows="0"/>
  <mergeCells count="13">
    <mergeCell ref="C35:C36"/>
    <mergeCell ref="D35:D36"/>
    <mergeCell ref="E35:E36"/>
    <mergeCell ref="F35:F36"/>
    <mergeCell ref="G35:G36"/>
    <mergeCell ref="C11:G11"/>
    <mergeCell ref="C13:F13"/>
    <mergeCell ref="C26:C27"/>
    <mergeCell ref="D26:D27"/>
    <mergeCell ref="E26:E27"/>
    <mergeCell ref="F26:F27"/>
    <mergeCell ref="G26:G27"/>
    <mergeCell ref="C15:F15"/>
  </mergeCells>
  <pageMargins left="0.7" right="0.7" top="1" bottom="0.75" header="0.3" footer="0.3"/>
  <pageSetup scale="96" orientation="landscape" r:id="rId1"/>
  <headerFooter>
    <oddFooter>&amp;LForm 8B
Operating, Service and Rent Subsidy Sources&amp;CCFA Forms&amp;REdition: 2017
Version: 1.0</odd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B8:S64"/>
  <sheetViews>
    <sheetView showGridLines="0" topLeftCell="A28" zoomScaleNormal="100" workbookViewId="0">
      <selection activeCell="G34" sqref="G34:G36"/>
    </sheetView>
  </sheetViews>
  <sheetFormatPr defaultColWidth="9.109375" defaultRowHeight="14.4" x14ac:dyDescent="0.3"/>
  <cols>
    <col min="1" max="2" width="1.6640625" style="400" customWidth="1"/>
    <col min="3" max="3" width="28.33203125" style="400" customWidth="1"/>
    <col min="4" max="4" width="11.5546875" style="400" bestFit="1" customWidth="1"/>
    <col min="5" max="5" width="14.33203125" style="400" customWidth="1"/>
    <col min="6" max="8" width="9.109375" style="400"/>
    <col min="9" max="9" width="7.33203125" style="400" bestFit="1" customWidth="1"/>
    <col min="10" max="10" width="6.88671875" style="400" bestFit="1" customWidth="1"/>
    <col min="11" max="11" width="10.6640625" style="400" bestFit="1" customWidth="1"/>
    <col min="12" max="12" width="10" style="400" customWidth="1"/>
    <col min="13" max="13" width="2.88671875" style="400" customWidth="1"/>
    <col min="14" max="14" width="11.44140625" style="400" customWidth="1"/>
    <col min="15" max="18" width="10" style="400" bestFit="1" customWidth="1"/>
    <col min="19" max="19" width="1.6640625" style="400" customWidth="1"/>
    <col min="20" max="16384" width="9.109375" style="400"/>
  </cols>
  <sheetData>
    <row r="8" spans="2:19" ht="9" customHeight="1" thickBot="1" x14ac:dyDescent="0.35"/>
    <row r="9" spans="2:19" ht="9" customHeight="1" x14ac:dyDescent="0.3">
      <c r="B9" s="208"/>
      <c r="C9" s="209"/>
      <c r="D9" s="209"/>
      <c r="E9" s="210"/>
      <c r="F9" s="210"/>
      <c r="G9" s="211"/>
      <c r="H9" s="212"/>
      <c r="I9" s="212"/>
      <c r="J9" s="212"/>
      <c r="K9" s="213"/>
      <c r="L9" s="211"/>
      <c r="M9" s="211"/>
      <c r="N9" s="214"/>
      <c r="O9" s="210"/>
      <c r="P9" s="211"/>
      <c r="Q9" s="211"/>
      <c r="R9" s="211"/>
      <c r="S9" s="215"/>
    </row>
    <row r="10" spans="2:19" ht="18" x14ac:dyDescent="0.35">
      <c r="B10" s="216"/>
      <c r="C10" s="2515" t="s">
        <v>1135</v>
      </c>
      <c r="D10" s="2515"/>
      <c r="E10" s="2515"/>
      <c r="F10" s="2515"/>
      <c r="G10" s="2515"/>
      <c r="H10" s="2515"/>
      <c r="I10" s="2515"/>
      <c r="J10" s="2515"/>
      <c r="K10" s="2515"/>
      <c r="L10" s="2515"/>
      <c r="M10" s="2515"/>
      <c r="N10" s="2515"/>
      <c r="O10" s="2515"/>
      <c r="P10" s="2515"/>
      <c r="Q10" s="2515"/>
      <c r="R10" s="2515"/>
      <c r="S10" s="201"/>
    </row>
    <row r="11" spans="2:19" x14ac:dyDescent="0.3">
      <c r="B11" s="216"/>
      <c r="C11" s="424"/>
      <c r="D11" s="424"/>
      <c r="E11" s="217"/>
      <c r="F11" s="217"/>
      <c r="G11" s="218"/>
      <c r="H11" s="219"/>
      <c r="I11" s="219"/>
      <c r="J11" s="219"/>
      <c r="K11" s="220"/>
      <c r="L11" s="218"/>
      <c r="M11" s="218"/>
      <c r="N11" s="221"/>
      <c r="O11" s="217"/>
      <c r="P11" s="218"/>
      <c r="Q11" s="218"/>
      <c r="R11" s="570"/>
      <c r="S11" s="201"/>
    </row>
    <row r="12" spans="2:19" ht="15" thickBot="1" x14ac:dyDescent="0.35">
      <c r="B12" s="216"/>
      <c r="C12" s="2804" t="str">
        <f>IF('1'!G5="","Enter Project Name on Form 1",(CONCATENATE("Project Name: ",'1'!G5)))</f>
        <v>Project Name: 6600 Roosevelt Way NE</v>
      </c>
      <c r="D12" s="2804"/>
      <c r="E12" s="2804"/>
      <c r="F12" s="2804"/>
      <c r="G12" s="2804"/>
      <c r="H12" s="2804"/>
      <c r="I12" s="2804"/>
      <c r="J12" s="2840"/>
      <c r="K12" s="2804"/>
      <c r="L12" s="2804"/>
      <c r="M12" s="2135"/>
      <c r="N12" s="2135"/>
      <c r="O12" s="424"/>
      <c r="P12" s="424"/>
      <c r="Q12" s="424"/>
      <c r="R12" s="570"/>
      <c r="S12" s="237"/>
    </row>
    <row r="13" spans="2:19" ht="7.5" customHeight="1" x14ac:dyDescent="0.3">
      <c r="B13" s="216"/>
      <c r="C13" s="384"/>
      <c r="D13" s="384"/>
      <c r="E13" s="384"/>
      <c r="F13" s="384"/>
      <c r="G13" s="384"/>
      <c r="H13" s="384"/>
      <c r="I13" s="384"/>
      <c r="J13" s="384"/>
      <c r="K13" s="384"/>
      <c r="L13" s="384"/>
      <c r="M13" s="222"/>
      <c r="N13" s="384"/>
      <c r="O13" s="384"/>
      <c r="P13" s="384"/>
      <c r="Q13" s="384"/>
      <c r="R13" s="384"/>
      <c r="S13" s="201"/>
    </row>
    <row r="14" spans="2:19" ht="15" thickBot="1" x14ac:dyDescent="0.35">
      <c r="B14" s="216"/>
      <c r="C14" s="2836" t="str">
        <f>IF('1'!G55="","Enter Site Name/ID Number on Form 1",(CONCATENATE("Site Name/ID: ",'1'!G55)))</f>
        <v>Site Name/ID: Site B - 9% Building</v>
      </c>
      <c r="D14" s="2836"/>
      <c r="E14" s="2836"/>
      <c r="F14" s="2836"/>
      <c r="G14" s="2836"/>
      <c r="H14" s="2836"/>
      <c r="I14" s="2836"/>
      <c r="J14" s="2836"/>
      <c r="K14" s="2836"/>
      <c r="L14" s="2836"/>
      <c r="M14" s="222"/>
      <c r="N14" s="384"/>
      <c r="O14" s="384"/>
      <c r="P14" s="384"/>
      <c r="Q14" s="384"/>
      <c r="R14" s="384"/>
      <c r="S14" s="201"/>
    </row>
    <row r="15" spans="2:19" ht="7.5" customHeight="1" thickBot="1" x14ac:dyDescent="0.35">
      <c r="B15" s="216"/>
      <c r="C15" s="384"/>
      <c r="D15" s="384"/>
      <c r="E15" s="384"/>
      <c r="F15" s="384"/>
      <c r="G15" s="384"/>
      <c r="H15" s="384"/>
      <c r="I15" s="384"/>
      <c r="J15" s="384"/>
      <c r="K15" s="384"/>
      <c r="L15" s="384"/>
      <c r="M15" s="222"/>
      <c r="N15" s="384"/>
      <c r="O15" s="384"/>
      <c r="P15" s="384"/>
      <c r="Q15" s="384"/>
      <c r="R15" s="384"/>
      <c r="S15" s="201"/>
    </row>
    <row r="16" spans="2:19" ht="16.2" thickBot="1" x14ac:dyDescent="0.35">
      <c r="B16" s="216"/>
      <c r="C16" s="2841" t="s">
        <v>624</v>
      </c>
      <c r="D16" s="2842"/>
      <c r="E16" s="2843"/>
      <c r="F16" s="2843"/>
      <c r="G16" s="2843"/>
      <c r="H16" s="2843"/>
      <c r="I16" s="2843"/>
      <c r="J16" s="2842"/>
      <c r="K16" s="2843"/>
      <c r="L16" s="2844"/>
      <c r="M16" s="222"/>
      <c r="N16" s="2845" t="s">
        <v>625</v>
      </c>
      <c r="O16" s="2846"/>
      <c r="P16" s="2846"/>
      <c r="Q16" s="2847"/>
      <c r="R16" s="2848"/>
      <c r="S16" s="201"/>
    </row>
    <row r="17" spans="2:19" ht="83.4" thickBot="1" x14ac:dyDescent="0.35">
      <c r="B17" s="223"/>
      <c r="C17" s="2129" t="s">
        <v>623</v>
      </c>
      <c r="D17" s="601" t="s">
        <v>629</v>
      </c>
      <c r="E17" s="601" t="s">
        <v>338</v>
      </c>
      <c r="F17" s="602" t="s">
        <v>339</v>
      </c>
      <c r="G17" s="603" t="s">
        <v>340</v>
      </c>
      <c r="H17" s="602" t="s">
        <v>341</v>
      </c>
      <c r="I17" s="1665" t="s">
        <v>1523</v>
      </c>
      <c r="J17" s="602" t="s">
        <v>1522</v>
      </c>
      <c r="K17" s="603" t="s">
        <v>342</v>
      </c>
      <c r="L17" s="604" t="s">
        <v>346</v>
      </c>
      <c r="M17" s="222"/>
      <c r="N17" s="695" t="s">
        <v>348</v>
      </c>
      <c r="O17" s="1006" t="str">
        <f>IF('8B - 9% Building'!C28="","Enter Source Name on Form 8B",'8B - 9% Building'!C28)</f>
        <v>Enter Source Name on Form 8B</v>
      </c>
      <c r="P17" s="1007" t="str">
        <f>IF('8B - 9% Building'!C29="","Enter Source Name on Form 8B",'8B - 9% Building'!C29)</f>
        <v>Enter Source Name on Form 8B</v>
      </c>
      <c r="Q17" s="1007" t="str">
        <f>IF('8B - 9% Building'!C30="","Enter Source Name on Form 8B",'8B - 9% Building'!C30)</f>
        <v>Enter Source Name on Form 8B</v>
      </c>
      <c r="R17" s="1008" t="str">
        <f>IF('8B - 9% Building'!C31="","Enter Source Name on Form 8B",'8B - 9% Building'!C31)</f>
        <v>Enter Source Name on Form 8B</v>
      </c>
      <c r="S17" s="201"/>
    </row>
    <row r="18" spans="2:19" ht="27.6" x14ac:dyDescent="0.3">
      <c r="B18" s="223"/>
      <c r="C18" s="2407" t="s">
        <v>2060</v>
      </c>
      <c r="D18" s="989" t="s">
        <v>626</v>
      </c>
      <c r="E18" s="793" t="s">
        <v>2061</v>
      </c>
      <c r="F18" s="1167">
        <v>39040</v>
      </c>
      <c r="G18" s="2417">
        <v>0.32200000000000001</v>
      </c>
      <c r="H18" s="1509">
        <f>F18*G18</f>
        <v>12570.880000000001</v>
      </c>
      <c r="I18" s="794" t="s">
        <v>1526</v>
      </c>
      <c r="J18" s="794">
        <v>0.36</v>
      </c>
      <c r="K18" s="2338">
        <f>H18*J18</f>
        <v>4525.5168000000003</v>
      </c>
      <c r="L18" s="1510">
        <f>H18+K18</f>
        <v>17096.396800000002</v>
      </c>
      <c r="M18" s="224"/>
      <c r="N18" s="1172">
        <f>L18</f>
        <v>17096.396800000002</v>
      </c>
      <c r="O18" s="1173">
        <v>0</v>
      </c>
      <c r="P18" s="1173">
        <v>0</v>
      </c>
      <c r="Q18" s="1628">
        <v>0</v>
      </c>
      <c r="R18" s="1174">
        <v>0</v>
      </c>
      <c r="S18" s="225"/>
    </row>
    <row r="19" spans="2:19" x14ac:dyDescent="0.3">
      <c r="B19" s="216"/>
      <c r="C19" s="2408" t="s">
        <v>2062</v>
      </c>
      <c r="D19" s="990" t="s">
        <v>626</v>
      </c>
      <c r="E19" s="933" t="s">
        <v>2061</v>
      </c>
      <c r="F19" s="1168">
        <v>41000</v>
      </c>
      <c r="G19" s="2418">
        <v>0.32200000000000001</v>
      </c>
      <c r="H19" s="1511">
        <f t="shared" ref="H19:H26" si="0">F19*G19</f>
        <v>13202</v>
      </c>
      <c r="I19" s="796" t="s">
        <v>1526</v>
      </c>
      <c r="J19" s="2339">
        <v>0.36</v>
      </c>
      <c r="K19" s="2340">
        <f t="shared" ref="K19:K26" si="1">H19*J19</f>
        <v>4752.72</v>
      </c>
      <c r="L19" s="1512">
        <f>H19+K19</f>
        <v>17954.72</v>
      </c>
      <c r="M19" s="224"/>
      <c r="N19" s="1175">
        <f>L19</f>
        <v>17954.72</v>
      </c>
      <c r="O19" s="1169">
        <v>0</v>
      </c>
      <c r="P19" s="1169">
        <v>0</v>
      </c>
      <c r="Q19" s="1629">
        <v>0</v>
      </c>
      <c r="R19" s="1176">
        <v>0</v>
      </c>
      <c r="S19" s="226"/>
    </row>
    <row r="20" spans="2:19" x14ac:dyDescent="0.3">
      <c r="B20" s="216"/>
      <c r="C20" s="2408" t="s">
        <v>2063</v>
      </c>
      <c r="D20" s="990" t="s">
        <v>626</v>
      </c>
      <c r="E20" s="933" t="s">
        <v>2061</v>
      </c>
      <c r="F20" s="1168">
        <v>35000</v>
      </c>
      <c r="G20" s="2418">
        <v>0.32200000000000001</v>
      </c>
      <c r="H20" s="1511">
        <f t="shared" si="0"/>
        <v>11270</v>
      </c>
      <c r="I20" s="796" t="s">
        <v>1526</v>
      </c>
      <c r="J20" s="796">
        <v>0.36</v>
      </c>
      <c r="K20" s="2341">
        <f t="shared" si="1"/>
        <v>4057.2</v>
      </c>
      <c r="L20" s="1512">
        <f t="shared" ref="L20:L26" si="2">H20+K20</f>
        <v>15327.2</v>
      </c>
      <c r="M20" s="224"/>
      <c r="N20" s="1175">
        <f>L20</f>
        <v>15327.2</v>
      </c>
      <c r="O20" s="1169">
        <v>0</v>
      </c>
      <c r="P20" s="1169">
        <v>0</v>
      </c>
      <c r="Q20" s="1629">
        <v>0</v>
      </c>
      <c r="R20" s="1176">
        <v>0</v>
      </c>
      <c r="S20" s="201"/>
    </row>
    <row r="21" spans="2:19" x14ac:dyDescent="0.3">
      <c r="B21" s="216"/>
      <c r="C21" s="2408" t="s">
        <v>2063</v>
      </c>
      <c r="D21" s="990" t="s">
        <v>626</v>
      </c>
      <c r="E21" s="933" t="s">
        <v>2061</v>
      </c>
      <c r="F21" s="1168">
        <v>31000</v>
      </c>
      <c r="G21" s="2418">
        <v>0.32200000000000001</v>
      </c>
      <c r="H21" s="1511">
        <f t="shared" si="0"/>
        <v>9982</v>
      </c>
      <c r="I21" s="796" t="s">
        <v>1526</v>
      </c>
      <c r="J21" s="796">
        <v>0.36</v>
      </c>
      <c r="K21" s="2340">
        <f t="shared" si="1"/>
        <v>3593.52</v>
      </c>
      <c r="L21" s="1512">
        <f t="shared" si="2"/>
        <v>13575.52</v>
      </c>
      <c r="M21" s="224"/>
      <c r="N21" s="1175">
        <f>L21</f>
        <v>13575.52</v>
      </c>
      <c r="O21" s="1169">
        <v>0</v>
      </c>
      <c r="P21" s="1169">
        <v>0</v>
      </c>
      <c r="Q21" s="1629">
        <v>0</v>
      </c>
      <c r="R21" s="1176">
        <v>0</v>
      </c>
      <c r="S21" s="201"/>
    </row>
    <row r="22" spans="2:19" x14ac:dyDescent="0.3">
      <c r="B22" s="216"/>
      <c r="C22" s="2408"/>
      <c r="D22" s="990"/>
      <c r="E22" s="933"/>
      <c r="F22" s="1168">
        <v>0</v>
      </c>
      <c r="G22" s="796">
        <v>0</v>
      </c>
      <c r="H22" s="1511">
        <f t="shared" si="0"/>
        <v>0</v>
      </c>
      <c r="I22" s="796"/>
      <c r="J22" s="796">
        <v>0</v>
      </c>
      <c r="K22" s="2340">
        <f t="shared" si="1"/>
        <v>0</v>
      </c>
      <c r="L22" s="1512">
        <f>H22+K22</f>
        <v>0</v>
      </c>
      <c r="M22" s="224"/>
      <c r="N22" s="1175">
        <v>0</v>
      </c>
      <c r="O22" s="1169">
        <v>0</v>
      </c>
      <c r="P22" s="1169">
        <v>0</v>
      </c>
      <c r="Q22" s="1629">
        <v>0</v>
      </c>
      <c r="R22" s="1176">
        <v>0</v>
      </c>
      <c r="S22" s="201"/>
    </row>
    <row r="23" spans="2:19" ht="41.4" x14ac:dyDescent="0.3">
      <c r="B23" s="216"/>
      <c r="C23" s="2408" t="s">
        <v>2065</v>
      </c>
      <c r="D23" s="990" t="s">
        <v>627</v>
      </c>
      <c r="E23" s="933" t="s">
        <v>2066</v>
      </c>
      <c r="F23" s="1169">
        <v>42947</v>
      </c>
      <c r="G23" s="796">
        <v>1</v>
      </c>
      <c r="H23" s="1511">
        <f t="shared" si="0"/>
        <v>42947</v>
      </c>
      <c r="I23" s="796"/>
      <c r="J23" s="796">
        <v>0</v>
      </c>
      <c r="K23" s="2340">
        <f t="shared" si="1"/>
        <v>0</v>
      </c>
      <c r="L23" s="1512">
        <f t="shared" si="2"/>
        <v>42947</v>
      </c>
      <c r="M23" s="224"/>
      <c r="N23" s="1175">
        <f>L23</f>
        <v>42947</v>
      </c>
      <c r="O23" s="1169">
        <v>0</v>
      </c>
      <c r="P23" s="1169">
        <v>0</v>
      </c>
      <c r="Q23" s="1629">
        <v>0</v>
      </c>
      <c r="R23" s="1176">
        <v>0</v>
      </c>
      <c r="S23" s="201"/>
    </row>
    <row r="24" spans="2:19" x14ac:dyDescent="0.3">
      <c r="B24" s="216"/>
      <c r="C24" s="2131"/>
      <c r="D24" s="990"/>
      <c r="E24" s="933"/>
      <c r="F24" s="1169">
        <v>0</v>
      </c>
      <c r="G24" s="796">
        <v>0</v>
      </c>
      <c r="H24" s="1511">
        <f t="shared" si="0"/>
        <v>0</v>
      </c>
      <c r="I24" s="796"/>
      <c r="J24" s="796">
        <v>0</v>
      </c>
      <c r="K24" s="2340">
        <f t="shared" si="1"/>
        <v>0</v>
      </c>
      <c r="L24" s="1512">
        <f t="shared" si="2"/>
        <v>0</v>
      </c>
      <c r="M24" s="224"/>
      <c r="N24" s="1175">
        <v>0</v>
      </c>
      <c r="O24" s="1169">
        <v>0</v>
      </c>
      <c r="P24" s="1169">
        <v>0</v>
      </c>
      <c r="Q24" s="1629">
        <v>0</v>
      </c>
      <c r="R24" s="1176">
        <v>0</v>
      </c>
      <c r="S24" s="201"/>
    </row>
    <row r="25" spans="2:19" x14ac:dyDescent="0.3">
      <c r="B25" s="216"/>
      <c r="C25" s="2131"/>
      <c r="D25" s="990"/>
      <c r="E25" s="933"/>
      <c r="F25" s="1169">
        <v>0</v>
      </c>
      <c r="G25" s="796">
        <v>0</v>
      </c>
      <c r="H25" s="1511">
        <f t="shared" si="0"/>
        <v>0</v>
      </c>
      <c r="I25" s="796"/>
      <c r="J25" s="796">
        <v>0</v>
      </c>
      <c r="K25" s="2340">
        <f t="shared" si="1"/>
        <v>0</v>
      </c>
      <c r="L25" s="1512">
        <f t="shared" si="2"/>
        <v>0</v>
      </c>
      <c r="M25" s="224"/>
      <c r="N25" s="1175">
        <v>0</v>
      </c>
      <c r="O25" s="1169">
        <v>0</v>
      </c>
      <c r="P25" s="1169">
        <v>0</v>
      </c>
      <c r="Q25" s="1629">
        <v>0</v>
      </c>
      <c r="R25" s="1176">
        <v>0</v>
      </c>
      <c r="S25" s="201"/>
    </row>
    <row r="26" spans="2:19" x14ac:dyDescent="0.3">
      <c r="B26" s="216"/>
      <c r="C26" s="994"/>
      <c r="D26" s="996"/>
      <c r="E26" s="977"/>
      <c r="F26" s="1170">
        <v>0</v>
      </c>
      <c r="G26" s="995">
        <v>0</v>
      </c>
      <c r="H26" s="1513">
        <f t="shared" si="0"/>
        <v>0</v>
      </c>
      <c r="I26" s="1397"/>
      <c r="J26" s="1397">
        <v>0</v>
      </c>
      <c r="K26" s="2342">
        <f t="shared" si="1"/>
        <v>0</v>
      </c>
      <c r="L26" s="1515">
        <f t="shared" si="2"/>
        <v>0</v>
      </c>
      <c r="M26" s="224"/>
      <c r="N26" s="1177">
        <v>0</v>
      </c>
      <c r="O26" s="1170">
        <v>0</v>
      </c>
      <c r="P26" s="1170">
        <v>0</v>
      </c>
      <c r="Q26" s="1630">
        <v>0</v>
      </c>
      <c r="R26" s="1178">
        <v>0</v>
      </c>
      <c r="S26" s="201"/>
    </row>
    <row r="27" spans="2:19" x14ac:dyDescent="0.3">
      <c r="B27" s="216"/>
      <c r="C27" s="1516"/>
      <c r="D27" s="1517"/>
      <c r="E27" s="1518"/>
      <c r="F27" s="1519"/>
      <c r="G27" s="1520"/>
      <c r="H27" s="1394"/>
      <c r="I27" s="2851" t="s">
        <v>1127</v>
      </c>
      <c r="J27" s="2851"/>
      <c r="K27" s="2852"/>
      <c r="L27" s="1521">
        <f>SUMIF(D18:D26,"On Site",L18:L26)</f>
        <v>63953.836800000005</v>
      </c>
      <c r="M27" s="224"/>
      <c r="N27" s="1522"/>
      <c r="O27" s="1523"/>
      <c r="P27" s="1523"/>
      <c r="Q27" s="1631"/>
      <c r="R27" s="1524"/>
      <c r="S27" s="201"/>
    </row>
    <row r="28" spans="2:19" ht="15" thickBot="1" x14ac:dyDescent="0.35">
      <c r="B28" s="216"/>
      <c r="C28" s="1516"/>
      <c r="D28" s="1517"/>
      <c r="E28" s="1518"/>
      <c r="F28" s="1519"/>
      <c r="G28" s="1520"/>
      <c r="H28" s="1394"/>
      <c r="I28" s="2851" t="s">
        <v>1128</v>
      </c>
      <c r="J28" s="2851"/>
      <c r="K28" s="2852"/>
      <c r="L28" s="1525">
        <f>SUMIF(D18:D26,"Off Site",L18:L26)</f>
        <v>42947</v>
      </c>
      <c r="M28" s="224"/>
      <c r="N28" s="1522"/>
      <c r="O28" s="1523"/>
      <c r="P28" s="1523"/>
      <c r="Q28" s="1631"/>
      <c r="R28" s="1524"/>
      <c r="S28" s="201"/>
    </row>
    <row r="29" spans="2:19" ht="16.8" thickTop="1" thickBot="1" x14ac:dyDescent="0.35">
      <c r="B29" s="227"/>
      <c r="C29" s="2849" t="s">
        <v>343</v>
      </c>
      <c r="D29" s="2850"/>
      <c r="E29" s="2850"/>
      <c r="F29" s="2850"/>
      <c r="G29" s="2850"/>
      <c r="H29" s="1395"/>
      <c r="I29" s="1395"/>
      <c r="J29" s="1395"/>
      <c r="K29" s="1396"/>
      <c r="L29" s="1171">
        <f>SUM(L18:L26)</f>
        <v>106900.8368</v>
      </c>
      <c r="M29" s="229"/>
      <c r="N29" s="1179">
        <f>SUM(N18:N26)</f>
        <v>106900.8368</v>
      </c>
      <c r="O29" s="1180">
        <f>SUM(O18:O26)</f>
        <v>0</v>
      </c>
      <c r="P29" s="1180">
        <f>SUM(P18:P26)</f>
        <v>0</v>
      </c>
      <c r="Q29" s="1180">
        <f>SUM(Q18:Q26)</f>
        <v>0</v>
      </c>
      <c r="R29" s="1181">
        <f>SUM(R18:R26)</f>
        <v>0</v>
      </c>
      <c r="S29" s="201"/>
    </row>
    <row r="30" spans="2:19" ht="15" customHeight="1" x14ac:dyDescent="0.3">
      <c r="B30" s="227"/>
      <c r="C30" s="232"/>
      <c r="D30" s="232"/>
      <c r="E30" s="232"/>
      <c r="F30" s="232"/>
      <c r="G30" s="232"/>
      <c r="H30" s="235"/>
      <c r="I30" s="235"/>
      <c r="J30" s="235"/>
      <c r="K30" s="230"/>
      <c r="L30" s="1979" t="str">
        <f>IF(L29&gt;(SUM(N29:R29)),"WARNING - Costs Exceed Listed Funding",(IF(L29&lt;(SUM(N29:R29)),"Costs Are Covered By Listed Funding","")))</f>
        <v/>
      </c>
      <c r="M30" s="230"/>
      <c r="N30" s="2856" t="str">
        <f>IF(SUM(O29:R29)&lt;&gt;'8B - 9% Building'!F32,"WARNING - Total for non-Cash Flow sources does not match Total for Operating Subsidy on 8B","")</f>
        <v/>
      </c>
      <c r="O30" s="2856"/>
      <c r="P30" s="2856"/>
      <c r="Q30" s="2856"/>
      <c r="R30" s="2856"/>
      <c r="S30" s="201"/>
    </row>
    <row r="31" spans="2:19" ht="15" customHeight="1" thickBot="1" x14ac:dyDescent="0.35">
      <c r="B31" s="227"/>
      <c r="C31" s="232"/>
      <c r="D31" s="232"/>
      <c r="E31" s="232"/>
      <c r="F31" s="232"/>
      <c r="G31" s="232"/>
      <c r="H31" s="235"/>
      <c r="I31" s="235"/>
      <c r="J31" s="235"/>
      <c r="K31" s="230"/>
      <c r="L31" s="230"/>
      <c r="M31" s="230"/>
      <c r="N31" s="2857"/>
      <c r="O31" s="2857"/>
      <c r="P31" s="2857"/>
      <c r="Q31" s="2857"/>
      <c r="R31" s="2857"/>
      <c r="S31" s="201"/>
    </row>
    <row r="32" spans="2:19" ht="16.2" thickBot="1" x14ac:dyDescent="0.35">
      <c r="B32" s="216"/>
      <c r="C32" s="2841" t="s">
        <v>344</v>
      </c>
      <c r="D32" s="2842"/>
      <c r="E32" s="2842"/>
      <c r="F32" s="2842"/>
      <c r="G32" s="2842"/>
      <c r="H32" s="2842"/>
      <c r="I32" s="2842"/>
      <c r="J32" s="2842"/>
      <c r="K32" s="2842"/>
      <c r="L32" s="2855"/>
      <c r="M32" s="384"/>
      <c r="N32" s="2845" t="s">
        <v>347</v>
      </c>
      <c r="O32" s="2846"/>
      <c r="P32" s="2846"/>
      <c r="Q32" s="2847"/>
      <c r="R32" s="2848"/>
      <c r="S32" s="201"/>
    </row>
    <row r="33" spans="2:19" ht="83.4" thickBot="1" x14ac:dyDescent="0.35">
      <c r="B33" s="227"/>
      <c r="C33" s="2859" t="s">
        <v>345</v>
      </c>
      <c r="D33" s="2860"/>
      <c r="E33" s="1417" t="s">
        <v>338</v>
      </c>
      <c r="F33" s="1418" t="s">
        <v>339</v>
      </c>
      <c r="G33" s="1419" t="s">
        <v>340</v>
      </c>
      <c r="H33" s="1418" t="s">
        <v>341</v>
      </c>
      <c r="I33" s="1665" t="s">
        <v>1523</v>
      </c>
      <c r="J33" s="602" t="s">
        <v>1522</v>
      </c>
      <c r="K33" s="1419" t="s">
        <v>342</v>
      </c>
      <c r="L33" s="1420" t="s">
        <v>346</v>
      </c>
      <c r="M33" s="222"/>
      <c r="N33" s="695" t="s">
        <v>348</v>
      </c>
      <c r="O33" s="606" t="str">
        <f>IF('8B - 9% Building'!C37="","Enter Source Name on Form 8B",'8B - 9% Building'!C37)</f>
        <v>Enter Source Name on Form 8B</v>
      </c>
      <c r="P33" s="606" t="str">
        <f>IF('8B - 9% Building'!C38="","Enter Source Name on Form 8B",'8B - 9% Building'!C38)</f>
        <v>Enter Source Name on Form 8B</v>
      </c>
      <c r="Q33" s="1632" t="str">
        <f>IF('8B - 9% Building'!C39="","Enter Source Name on Form 8B",'8B - 9% Building'!C39)</f>
        <v>Enter Source Name on Form 8B</v>
      </c>
      <c r="R33" s="607" t="str">
        <f>IF('8B - 9% Building'!C40="","Enter Source Name on Form 8B",'8B - 9% Building'!C40)</f>
        <v>Enter Source Name on Form 8B</v>
      </c>
      <c r="S33" s="201"/>
    </row>
    <row r="34" spans="2:19" ht="15" customHeight="1" x14ac:dyDescent="0.3">
      <c r="B34" s="227"/>
      <c r="C34" s="2861" t="s">
        <v>1943</v>
      </c>
      <c r="D34" s="2862"/>
      <c r="E34" s="793" t="s">
        <v>1946</v>
      </c>
      <c r="F34" s="1167">
        <v>54500</v>
      </c>
      <c r="G34" s="2411">
        <v>0.65569999999999995</v>
      </c>
      <c r="H34" s="1509">
        <f t="shared" ref="H34:H42" si="3">F34*G34</f>
        <v>35735.649999999994</v>
      </c>
      <c r="I34" s="794" t="s">
        <v>1526</v>
      </c>
      <c r="J34" s="794">
        <v>0.39</v>
      </c>
      <c r="K34" s="2338">
        <f>H34*J34</f>
        <v>13936.903499999999</v>
      </c>
      <c r="L34" s="1510">
        <f>H34+K34</f>
        <v>49672.553499999995</v>
      </c>
      <c r="M34" s="224"/>
      <c r="N34" s="1172">
        <f>L34</f>
        <v>49672.553499999995</v>
      </c>
      <c r="O34" s="1173">
        <v>0</v>
      </c>
      <c r="P34" s="1173">
        <v>0</v>
      </c>
      <c r="Q34" s="1628">
        <v>0</v>
      </c>
      <c r="R34" s="1174">
        <v>0</v>
      </c>
      <c r="S34" s="201"/>
    </row>
    <row r="35" spans="2:19" ht="15" customHeight="1" x14ac:dyDescent="0.3">
      <c r="B35" s="227"/>
      <c r="C35" s="2826" t="s">
        <v>1944</v>
      </c>
      <c r="D35" s="2827"/>
      <c r="E35" s="795" t="s">
        <v>1946</v>
      </c>
      <c r="F35" s="1168">
        <v>46000</v>
      </c>
      <c r="G35" s="2412">
        <f>G34</f>
        <v>0.65569999999999995</v>
      </c>
      <c r="H35" s="1511">
        <f t="shared" si="3"/>
        <v>30162.199999999997</v>
      </c>
      <c r="I35" s="796" t="s">
        <v>1526</v>
      </c>
      <c r="J35" s="2339">
        <v>0.39</v>
      </c>
      <c r="K35" s="2340">
        <f>H35*J35</f>
        <v>11763.258</v>
      </c>
      <c r="L35" s="1512">
        <f>H35+K35</f>
        <v>41925.457999999999</v>
      </c>
      <c r="M35" s="224"/>
      <c r="N35" s="1175">
        <f>L35</f>
        <v>41925.457999999999</v>
      </c>
      <c r="O35" s="1169">
        <v>0</v>
      </c>
      <c r="P35" s="1169">
        <v>0</v>
      </c>
      <c r="Q35" s="1629">
        <v>0</v>
      </c>
      <c r="R35" s="1176">
        <v>0</v>
      </c>
      <c r="S35" s="201"/>
    </row>
    <row r="36" spans="2:19" ht="15" customHeight="1" x14ac:dyDescent="0.3">
      <c r="B36" s="227"/>
      <c r="C36" s="2826" t="s">
        <v>1945</v>
      </c>
      <c r="D36" s="2827"/>
      <c r="E36" s="795" t="s">
        <v>1946</v>
      </c>
      <c r="F36" s="1168">
        <v>54500</v>
      </c>
      <c r="G36" s="2412">
        <f>G35</f>
        <v>0.65569999999999995</v>
      </c>
      <c r="H36" s="1511">
        <f t="shared" si="3"/>
        <v>35735.649999999994</v>
      </c>
      <c r="I36" s="796" t="s">
        <v>1526</v>
      </c>
      <c r="J36" s="796">
        <v>0.39</v>
      </c>
      <c r="K36" s="2341">
        <f t="shared" ref="K36:K42" si="4">H36*J36</f>
        <v>13936.903499999999</v>
      </c>
      <c r="L36" s="1512">
        <f t="shared" ref="L36:L42" si="5">H36+K36</f>
        <v>49672.553499999995</v>
      </c>
      <c r="M36" s="224"/>
      <c r="N36" s="1175">
        <f>L36</f>
        <v>49672.553499999995</v>
      </c>
      <c r="O36" s="1169">
        <v>0</v>
      </c>
      <c r="P36" s="1169">
        <v>0</v>
      </c>
      <c r="Q36" s="1629">
        <v>0</v>
      </c>
      <c r="R36" s="1176">
        <v>0</v>
      </c>
      <c r="S36" s="201"/>
    </row>
    <row r="37" spans="2:19" ht="15" customHeight="1" x14ac:dyDescent="0.3">
      <c r="B37" s="227"/>
      <c r="C37" s="2826"/>
      <c r="D37" s="2827"/>
      <c r="E37" s="795"/>
      <c r="F37" s="1168">
        <v>0</v>
      </c>
      <c r="G37" s="796">
        <v>0</v>
      </c>
      <c r="H37" s="1511">
        <f t="shared" si="3"/>
        <v>0</v>
      </c>
      <c r="I37" s="796" t="s">
        <v>533</v>
      </c>
      <c r="J37" s="796"/>
      <c r="K37" s="2340">
        <f t="shared" si="4"/>
        <v>0</v>
      </c>
      <c r="L37" s="1512">
        <f t="shared" si="5"/>
        <v>0</v>
      </c>
      <c r="M37" s="224"/>
      <c r="N37" s="1175">
        <v>0</v>
      </c>
      <c r="O37" s="1169">
        <v>0</v>
      </c>
      <c r="P37" s="1169">
        <v>0</v>
      </c>
      <c r="Q37" s="1629">
        <v>0</v>
      </c>
      <c r="R37" s="1176">
        <v>0</v>
      </c>
      <c r="S37" s="201"/>
    </row>
    <row r="38" spans="2:19" ht="15" customHeight="1" x14ac:dyDescent="0.3">
      <c r="B38" s="227"/>
      <c r="C38" s="2826"/>
      <c r="D38" s="2827"/>
      <c r="E38" s="795"/>
      <c r="F38" s="1168">
        <v>0</v>
      </c>
      <c r="G38" s="796">
        <v>0</v>
      </c>
      <c r="H38" s="1511">
        <f t="shared" si="3"/>
        <v>0</v>
      </c>
      <c r="I38" s="796"/>
      <c r="J38" s="796"/>
      <c r="K38" s="2340">
        <f t="shared" si="4"/>
        <v>0</v>
      </c>
      <c r="L38" s="1512">
        <f t="shared" si="5"/>
        <v>0</v>
      </c>
      <c r="M38" s="224"/>
      <c r="N38" s="1175">
        <v>0</v>
      </c>
      <c r="O38" s="1169">
        <v>0</v>
      </c>
      <c r="P38" s="1169">
        <v>0</v>
      </c>
      <c r="Q38" s="1629">
        <v>0</v>
      </c>
      <c r="R38" s="1176">
        <v>0</v>
      </c>
      <c r="S38" s="201"/>
    </row>
    <row r="39" spans="2:19" ht="15" customHeight="1" x14ac:dyDescent="0.3">
      <c r="B39" s="227"/>
      <c r="C39" s="2826"/>
      <c r="D39" s="2827"/>
      <c r="E39" s="795"/>
      <c r="F39" s="1169">
        <v>0</v>
      </c>
      <c r="G39" s="796">
        <v>0</v>
      </c>
      <c r="H39" s="1511">
        <f t="shared" si="3"/>
        <v>0</v>
      </c>
      <c r="I39" s="796"/>
      <c r="J39" s="796"/>
      <c r="K39" s="2340">
        <f t="shared" si="4"/>
        <v>0</v>
      </c>
      <c r="L39" s="1512">
        <f t="shared" si="5"/>
        <v>0</v>
      </c>
      <c r="M39" s="224"/>
      <c r="N39" s="1175">
        <v>0</v>
      </c>
      <c r="O39" s="1169">
        <v>0</v>
      </c>
      <c r="P39" s="1169">
        <v>0</v>
      </c>
      <c r="Q39" s="1629">
        <v>0</v>
      </c>
      <c r="R39" s="1176">
        <v>0</v>
      </c>
      <c r="S39" s="201"/>
    </row>
    <row r="40" spans="2:19" ht="15" customHeight="1" x14ac:dyDescent="0.3">
      <c r="B40" s="227"/>
      <c r="C40" s="2826"/>
      <c r="D40" s="2827"/>
      <c r="E40" s="795"/>
      <c r="F40" s="1169">
        <v>0</v>
      </c>
      <c r="G40" s="796">
        <v>0</v>
      </c>
      <c r="H40" s="1511">
        <f t="shared" si="3"/>
        <v>0</v>
      </c>
      <c r="I40" s="796"/>
      <c r="J40" s="796"/>
      <c r="K40" s="2340">
        <f t="shared" si="4"/>
        <v>0</v>
      </c>
      <c r="L40" s="1512">
        <f t="shared" si="5"/>
        <v>0</v>
      </c>
      <c r="M40" s="224"/>
      <c r="N40" s="1175">
        <v>0</v>
      </c>
      <c r="O40" s="1169">
        <v>0</v>
      </c>
      <c r="P40" s="1169">
        <v>0</v>
      </c>
      <c r="Q40" s="1629">
        <v>0</v>
      </c>
      <c r="R40" s="1176">
        <v>0</v>
      </c>
      <c r="S40" s="201"/>
    </row>
    <row r="41" spans="2:19" ht="15" customHeight="1" x14ac:dyDescent="0.3">
      <c r="B41" s="227"/>
      <c r="C41" s="2826"/>
      <c r="D41" s="2827"/>
      <c r="E41" s="795"/>
      <c r="F41" s="1169">
        <v>0</v>
      </c>
      <c r="G41" s="796">
        <v>0</v>
      </c>
      <c r="H41" s="1511">
        <f t="shared" si="3"/>
        <v>0</v>
      </c>
      <c r="I41" s="796"/>
      <c r="J41" s="796"/>
      <c r="K41" s="2340">
        <f t="shared" si="4"/>
        <v>0</v>
      </c>
      <c r="L41" s="1512">
        <f t="shared" si="5"/>
        <v>0</v>
      </c>
      <c r="M41" s="224"/>
      <c r="N41" s="1175">
        <v>0</v>
      </c>
      <c r="O41" s="1169">
        <v>0</v>
      </c>
      <c r="P41" s="1169">
        <v>0</v>
      </c>
      <c r="Q41" s="1629">
        <v>0</v>
      </c>
      <c r="R41" s="1176">
        <v>0</v>
      </c>
      <c r="S41" s="201"/>
    </row>
    <row r="42" spans="2:19" ht="15" customHeight="1" thickBot="1" x14ac:dyDescent="0.35">
      <c r="B42" s="227"/>
      <c r="C42" s="2834"/>
      <c r="D42" s="2835"/>
      <c r="E42" s="1627"/>
      <c r="F42" s="1190">
        <v>0</v>
      </c>
      <c r="G42" s="1397">
        <v>0</v>
      </c>
      <c r="H42" s="1514">
        <f t="shared" si="3"/>
        <v>0</v>
      </c>
      <c r="I42" s="1397"/>
      <c r="J42" s="1397"/>
      <c r="K42" s="2342">
        <f t="shared" si="4"/>
        <v>0</v>
      </c>
      <c r="L42" s="1515">
        <f t="shared" si="5"/>
        <v>0</v>
      </c>
      <c r="M42" s="224"/>
      <c r="N42" s="1177">
        <v>0</v>
      </c>
      <c r="O42" s="1170">
        <v>0</v>
      </c>
      <c r="P42" s="1170">
        <v>0</v>
      </c>
      <c r="Q42" s="1630">
        <v>0</v>
      </c>
      <c r="R42" s="1178">
        <v>0</v>
      </c>
      <c r="S42" s="201"/>
    </row>
    <row r="43" spans="2:19" ht="15" customHeight="1" thickTop="1" thickBot="1" x14ac:dyDescent="0.35">
      <c r="B43" s="227"/>
      <c r="C43" s="2853" t="s">
        <v>349</v>
      </c>
      <c r="D43" s="2854"/>
      <c r="E43" s="2854"/>
      <c r="F43" s="2854"/>
      <c r="G43" s="228"/>
      <c r="H43" s="228"/>
      <c r="I43" s="1395"/>
      <c r="J43" s="1395"/>
      <c r="K43" s="1396"/>
      <c r="L43" s="1171">
        <f>SUM(L34:L42)</f>
        <v>141270.565</v>
      </c>
      <c r="M43" s="229"/>
      <c r="N43" s="1635">
        <f>SUM(N34:N42)</f>
        <v>141270.565</v>
      </c>
      <c r="O43" s="1636">
        <f>SUM(O34:O42)</f>
        <v>0</v>
      </c>
      <c r="P43" s="1636">
        <f>SUM(P34:P42)</f>
        <v>0</v>
      </c>
      <c r="Q43" s="1636">
        <f>SUM(Q34:Q42)</f>
        <v>0</v>
      </c>
      <c r="R43" s="1637">
        <f>SUM(R34:R42)</f>
        <v>0</v>
      </c>
      <c r="S43" s="201"/>
    </row>
    <row r="44" spans="2:19" ht="15" customHeight="1" thickBot="1" x14ac:dyDescent="0.35">
      <c r="B44" s="227"/>
      <c r="C44" s="232"/>
      <c r="D44" s="232"/>
      <c r="E44" s="232"/>
      <c r="F44" s="232"/>
      <c r="G44" s="232"/>
      <c r="H44" s="235"/>
      <c r="I44" s="235"/>
      <c r="J44" s="235"/>
      <c r="K44" s="230"/>
      <c r="L44" s="230"/>
      <c r="M44" s="230"/>
      <c r="N44" s="2858"/>
      <c r="O44" s="2858"/>
      <c r="P44" s="2858"/>
      <c r="Q44" s="2858"/>
      <c r="R44" s="2858"/>
      <c r="S44" s="201"/>
    </row>
    <row r="45" spans="2:19" ht="37.200000000000003" thickBot="1" x14ac:dyDescent="0.35">
      <c r="B45" s="227"/>
      <c r="C45" s="2837" t="s">
        <v>1512</v>
      </c>
      <c r="D45" s="2838"/>
      <c r="E45" s="2838"/>
      <c r="F45" s="2838"/>
      <c r="G45" s="2838"/>
      <c r="H45" s="2838"/>
      <c r="I45" s="2838"/>
      <c r="J45" s="2838"/>
      <c r="K45" s="2838"/>
      <c r="L45" s="2839"/>
      <c r="M45" s="230"/>
      <c r="N45" s="696" t="s">
        <v>348</v>
      </c>
      <c r="O45" s="366" t="str">
        <f>O33</f>
        <v>Enter Source Name on Form 8B</v>
      </c>
      <c r="P45" s="366" t="str">
        <f>P33</f>
        <v>Enter Source Name on Form 8B</v>
      </c>
      <c r="Q45" s="366" t="str">
        <f>Q33</f>
        <v>Enter Source Name on Form 8B</v>
      </c>
      <c r="R45" s="367" t="str">
        <f>R33</f>
        <v>Enter Source Name on Form 8B</v>
      </c>
      <c r="S45" s="201"/>
    </row>
    <row r="46" spans="2:19" x14ac:dyDescent="0.3">
      <c r="B46" s="227"/>
      <c r="C46" s="384"/>
      <c r="D46" s="384"/>
      <c r="E46" s="384"/>
      <c r="F46" s="2830" t="s">
        <v>1132</v>
      </c>
      <c r="G46" s="2830"/>
      <c r="H46" s="2830"/>
      <c r="I46" s="1421"/>
      <c r="J46" s="1421"/>
      <c r="K46" s="1422"/>
      <c r="L46" s="1182">
        <v>0</v>
      </c>
      <c r="M46" s="233"/>
      <c r="N46" s="1185">
        <v>0</v>
      </c>
      <c r="O46" s="1173">
        <v>0</v>
      </c>
      <c r="P46" s="1173">
        <v>0</v>
      </c>
      <c r="Q46" s="1628">
        <v>0</v>
      </c>
      <c r="R46" s="1186">
        <v>0</v>
      </c>
      <c r="S46" s="201"/>
    </row>
    <row r="47" spans="2:19" x14ac:dyDescent="0.3">
      <c r="B47" s="227"/>
      <c r="C47" s="384"/>
      <c r="D47" s="384"/>
      <c r="E47" s="384"/>
      <c r="F47" s="1423" t="s">
        <v>350</v>
      </c>
      <c r="G47" s="1424"/>
      <c r="H47" s="1424"/>
      <c r="I47" s="1424"/>
      <c r="J47" s="1424"/>
      <c r="K47" s="1425"/>
      <c r="L47" s="1183">
        <v>0</v>
      </c>
      <c r="M47" s="233"/>
      <c r="N47" s="1187">
        <v>0</v>
      </c>
      <c r="O47" s="1169">
        <v>0</v>
      </c>
      <c r="P47" s="1169">
        <v>0</v>
      </c>
      <c r="Q47" s="1629">
        <v>0</v>
      </c>
      <c r="R47" s="1188">
        <v>0</v>
      </c>
      <c r="S47" s="201"/>
    </row>
    <row r="48" spans="2:19" ht="15.75" customHeight="1" x14ac:dyDescent="0.3">
      <c r="B48" s="227"/>
      <c r="C48" s="384"/>
      <c r="D48" s="384"/>
      <c r="E48" s="384"/>
      <c r="F48" s="2828" t="s">
        <v>1133</v>
      </c>
      <c r="G48" s="2828"/>
      <c r="H48" s="1424"/>
      <c r="I48" s="1424"/>
      <c r="J48" s="1424"/>
      <c r="K48" s="1425"/>
      <c r="L48" s="1183">
        <v>0</v>
      </c>
      <c r="M48" s="233"/>
      <c r="N48" s="1187">
        <v>0</v>
      </c>
      <c r="O48" s="1169">
        <v>0</v>
      </c>
      <c r="P48" s="1169">
        <v>0</v>
      </c>
      <c r="Q48" s="1629">
        <v>0</v>
      </c>
      <c r="R48" s="1188">
        <v>0</v>
      </c>
      <c r="S48" s="201"/>
    </row>
    <row r="49" spans="2:19" x14ac:dyDescent="0.3">
      <c r="B49" s="227"/>
      <c r="C49" s="384"/>
      <c r="D49" s="384"/>
      <c r="E49" s="384"/>
      <c r="F49" s="1423" t="s">
        <v>351</v>
      </c>
      <c r="G49" s="1424"/>
      <c r="H49" s="1424"/>
      <c r="I49" s="1424"/>
      <c r="J49" s="1424"/>
      <c r="K49" s="1425"/>
      <c r="L49" s="1183">
        <v>0</v>
      </c>
      <c r="M49" s="233"/>
      <c r="N49" s="1187">
        <v>0</v>
      </c>
      <c r="O49" s="1169">
        <v>0</v>
      </c>
      <c r="P49" s="1169">
        <v>0</v>
      </c>
      <c r="Q49" s="1629">
        <v>0</v>
      </c>
      <c r="R49" s="1188">
        <v>0</v>
      </c>
      <c r="S49" s="201"/>
    </row>
    <row r="50" spans="2:19" x14ac:dyDescent="0.3">
      <c r="B50" s="227"/>
      <c r="C50" s="384"/>
      <c r="D50" s="384"/>
      <c r="E50" s="384"/>
      <c r="F50" s="1423" t="s">
        <v>352</v>
      </c>
      <c r="G50" s="1424"/>
      <c r="H50" s="1424"/>
      <c r="I50" s="1424"/>
      <c r="J50" s="1424"/>
      <c r="K50" s="1425"/>
      <c r="L50" s="1183">
        <v>0</v>
      </c>
      <c r="M50" s="233"/>
      <c r="N50" s="1187">
        <v>0</v>
      </c>
      <c r="O50" s="1169">
        <v>0</v>
      </c>
      <c r="P50" s="1169">
        <v>0</v>
      </c>
      <c r="Q50" s="1629">
        <v>0</v>
      </c>
      <c r="R50" s="1188">
        <v>0</v>
      </c>
      <c r="S50" s="201"/>
    </row>
    <row r="51" spans="2:19" x14ac:dyDescent="0.3">
      <c r="B51" s="227"/>
      <c r="C51" s="384"/>
      <c r="D51" s="384"/>
      <c r="E51" s="384"/>
      <c r="F51" s="2132" t="s">
        <v>353</v>
      </c>
      <c r="G51" s="384"/>
      <c r="H51" s="384"/>
      <c r="I51" s="384"/>
      <c r="J51" s="384"/>
      <c r="K51" s="384"/>
      <c r="L51" s="1183">
        <v>0</v>
      </c>
      <c r="M51" s="233"/>
      <c r="N51" s="1187">
        <v>0</v>
      </c>
      <c r="O51" s="1169">
        <v>0</v>
      </c>
      <c r="P51" s="1169">
        <v>0</v>
      </c>
      <c r="Q51" s="1629">
        <v>0</v>
      </c>
      <c r="R51" s="1188">
        <v>0</v>
      </c>
      <c r="S51" s="201"/>
    </row>
    <row r="52" spans="2:19" x14ac:dyDescent="0.3">
      <c r="B52" s="227"/>
      <c r="C52" s="384"/>
      <c r="D52" s="384"/>
      <c r="E52" s="384"/>
      <c r="F52" s="2132" t="s">
        <v>422</v>
      </c>
      <c r="G52" s="2815"/>
      <c r="H52" s="2816"/>
      <c r="I52" s="2816"/>
      <c r="J52" s="2816"/>
      <c r="K52" s="2817"/>
      <c r="L52" s="1183">
        <v>0</v>
      </c>
      <c r="M52" s="233"/>
      <c r="N52" s="1187">
        <v>0</v>
      </c>
      <c r="O52" s="1169">
        <v>0</v>
      </c>
      <c r="P52" s="1169">
        <v>0</v>
      </c>
      <c r="Q52" s="1629">
        <v>0</v>
      </c>
      <c r="R52" s="1188">
        <v>0</v>
      </c>
      <c r="S52" s="201"/>
    </row>
    <row r="53" spans="2:19" x14ac:dyDescent="0.3">
      <c r="B53" s="227"/>
      <c r="C53" s="384"/>
      <c r="D53" s="384"/>
      <c r="E53" s="384"/>
      <c r="F53" s="2132" t="s">
        <v>422</v>
      </c>
      <c r="G53" s="2818"/>
      <c r="H53" s="2819"/>
      <c r="I53" s="2819"/>
      <c r="J53" s="2819"/>
      <c r="K53" s="2820"/>
      <c r="L53" s="1183">
        <v>0</v>
      </c>
      <c r="M53" s="233"/>
      <c r="N53" s="1187">
        <v>0</v>
      </c>
      <c r="O53" s="1169">
        <v>0</v>
      </c>
      <c r="P53" s="1169">
        <v>0</v>
      </c>
      <c r="Q53" s="1629">
        <v>0</v>
      </c>
      <c r="R53" s="1188">
        <v>0</v>
      </c>
      <c r="S53" s="201"/>
    </row>
    <row r="54" spans="2:19" x14ac:dyDescent="0.3">
      <c r="B54" s="227"/>
      <c r="C54" s="384"/>
      <c r="D54" s="384"/>
      <c r="E54" s="384"/>
      <c r="F54" s="2132" t="s">
        <v>422</v>
      </c>
      <c r="G54" s="2831"/>
      <c r="H54" s="2832"/>
      <c r="I54" s="2832"/>
      <c r="J54" s="2832"/>
      <c r="K54" s="2833"/>
      <c r="L54" s="1183">
        <v>0</v>
      </c>
      <c r="M54" s="233"/>
      <c r="N54" s="1187">
        <v>0</v>
      </c>
      <c r="O54" s="1169">
        <v>0</v>
      </c>
      <c r="P54" s="1169">
        <v>0</v>
      </c>
      <c r="Q54" s="1629">
        <v>0</v>
      </c>
      <c r="R54" s="1188">
        <v>0</v>
      </c>
      <c r="S54" s="201"/>
    </row>
    <row r="55" spans="2:19" ht="15" thickBot="1" x14ac:dyDescent="0.35">
      <c r="B55" s="227"/>
      <c r="C55" s="384"/>
      <c r="D55" s="384"/>
      <c r="E55" s="384"/>
      <c r="F55" s="2829" t="s">
        <v>1134</v>
      </c>
      <c r="G55" s="2829"/>
      <c r="H55" s="2829"/>
      <c r="I55" s="384"/>
      <c r="J55" s="384"/>
      <c r="K55" s="384"/>
      <c r="L55" s="1184">
        <v>0</v>
      </c>
      <c r="M55" s="233"/>
      <c r="N55" s="1189">
        <v>0</v>
      </c>
      <c r="O55" s="1190">
        <v>0</v>
      </c>
      <c r="P55" s="1190">
        <v>0</v>
      </c>
      <c r="Q55" s="1633">
        <v>0</v>
      </c>
      <c r="R55" s="1191">
        <v>0</v>
      </c>
      <c r="S55" s="201"/>
    </row>
    <row r="56" spans="2:19" ht="16.8" thickTop="1" thickBot="1" x14ac:dyDescent="0.35">
      <c r="B56" s="227"/>
      <c r="C56" s="231"/>
      <c r="D56" s="231"/>
      <c r="E56" s="232"/>
      <c r="F56" s="2823" t="s">
        <v>1513</v>
      </c>
      <c r="G56" s="2824"/>
      <c r="H56" s="2824"/>
      <c r="I56" s="2824"/>
      <c r="J56" s="2824"/>
      <c r="K56" s="2825"/>
      <c r="L56" s="1192">
        <f>(SUM(L46:L55))</f>
        <v>0</v>
      </c>
      <c r="M56" s="235"/>
      <c r="N56" s="1193">
        <f>(SUM(N46:N55))</f>
        <v>0</v>
      </c>
      <c r="O56" s="1194">
        <f>(SUM(O46:O55))</f>
        <v>0</v>
      </c>
      <c r="P56" s="1194">
        <f>(SUM(P46:P55))</f>
        <v>0</v>
      </c>
      <c r="Q56" s="1194">
        <f>(SUM(Q46:Q55))</f>
        <v>0</v>
      </c>
      <c r="R56" s="1195">
        <f>(SUM(R46:R55))</f>
        <v>0</v>
      </c>
      <c r="S56" s="201"/>
    </row>
    <row r="57" spans="2:19" ht="15.6" x14ac:dyDescent="0.3">
      <c r="B57" s="227"/>
      <c r="C57" s="231"/>
      <c r="D57" s="231"/>
      <c r="E57" s="232"/>
      <c r="F57" s="232"/>
      <c r="G57" s="360"/>
      <c r="H57" s="424"/>
      <c r="I57" s="424"/>
      <c r="J57" s="424"/>
      <c r="K57" s="236"/>
      <c r="L57" s="1979" t="str">
        <f>IF(L56&gt;(SUM(N56:R56)),"WARNING - non-personnel Costs Exceed Listed Funding",(IF(L56&lt;(SUM(N56:R56)),"non-personnel Costs Are Covered By Listed Funding","")))</f>
        <v/>
      </c>
      <c r="M57" s="993"/>
      <c r="N57" s="2821" t="str">
        <f>IF((ROUND(SUM(O56:R56),0))+(ROUND(SUM(O43:R43),0))&lt;&gt;(ROUND('8B - 9% Building'!F41,0)),"WARNING - Total for non-Cash Flow sources does not match Total for Services Subsidy on 8B","")</f>
        <v/>
      </c>
      <c r="O57" s="2821"/>
      <c r="P57" s="2821"/>
      <c r="Q57" s="2821"/>
      <c r="R57" s="2821"/>
      <c r="S57" s="201"/>
    </row>
    <row r="58" spans="2:19" ht="16.2" thickBot="1" x14ac:dyDescent="0.35">
      <c r="B58" s="216"/>
      <c r="C58" s="991" t="s">
        <v>505</v>
      </c>
      <c r="D58" s="991"/>
      <c r="E58" s="991"/>
      <c r="F58" s="991"/>
      <c r="G58" s="991"/>
      <c r="H58" s="991"/>
      <c r="I58" s="991"/>
      <c r="J58" s="1664"/>
      <c r="K58" s="991"/>
      <c r="L58" s="992"/>
      <c r="M58" s="991"/>
      <c r="N58" s="2822"/>
      <c r="O58" s="2822"/>
      <c r="P58" s="2822"/>
      <c r="Q58" s="2822"/>
      <c r="R58" s="2822"/>
      <c r="S58" s="201"/>
    </row>
    <row r="59" spans="2:19" x14ac:dyDescent="0.3">
      <c r="B59" s="216"/>
      <c r="C59" s="2805"/>
      <c r="D59" s="2806"/>
      <c r="E59" s="2806"/>
      <c r="F59" s="2806"/>
      <c r="G59" s="2806"/>
      <c r="H59" s="2806"/>
      <c r="I59" s="2806"/>
      <c r="J59" s="2806"/>
      <c r="K59" s="2806"/>
      <c r="L59" s="2806"/>
      <c r="M59" s="2806"/>
      <c r="N59" s="2806"/>
      <c r="O59" s="2806"/>
      <c r="P59" s="2807"/>
      <c r="Q59" s="1957"/>
      <c r="R59" s="570"/>
      <c r="S59" s="201"/>
    </row>
    <row r="60" spans="2:19" x14ac:dyDescent="0.3">
      <c r="B60" s="216"/>
      <c r="C60" s="2808"/>
      <c r="D60" s="2809"/>
      <c r="E60" s="2809"/>
      <c r="F60" s="2809"/>
      <c r="G60" s="2809"/>
      <c r="H60" s="2809"/>
      <c r="I60" s="2809"/>
      <c r="J60" s="2809"/>
      <c r="K60" s="2809"/>
      <c r="L60" s="2809"/>
      <c r="M60" s="2809"/>
      <c r="N60" s="2809"/>
      <c r="O60" s="2809"/>
      <c r="P60" s="2810"/>
      <c r="Q60" s="1957"/>
      <c r="R60" s="570"/>
      <c r="S60" s="201"/>
    </row>
    <row r="61" spans="2:19" x14ac:dyDescent="0.3">
      <c r="B61" s="216"/>
      <c r="C61" s="2808"/>
      <c r="D61" s="2809"/>
      <c r="E61" s="2809"/>
      <c r="F61" s="2809"/>
      <c r="G61" s="2809"/>
      <c r="H61" s="2809"/>
      <c r="I61" s="2809"/>
      <c r="J61" s="2809"/>
      <c r="K61" s="2809"/>
      <c r="L61" s="2809"/>
      <c r="M61" s="2809"/>
      <c r="N61" s="2809"/>
      <c r="O61" s="2809"/>
      <c r="P61" s="2810"/>
      <c r="Q61" s="1957"/>
      <c r="R61" s="570"/>
      <c r="S61" s="201"/>
    </row>
    <row r="62" spans="2:19" x14ac:dyDescent="0.3">
      <c r="B62" s="216"/>
      <c r="C62" s="2808"/>
      <c r="D62" s="2809"/>
      <c r="E62" s="2809"/>
      <c r="F62" s="2809"/>
      <c r="G62" s="2809"/>
      <c r="H62" s="2809"/>
      <c r="I62" s="2809"/>
      <c r="J62" s="2809"/>
      <c r="K62" s="2809"/>
      <c r="L62" s="2809"/>
      <c r="M62" s="2809"/>
      <c r="N62" s="2809"/>
      <c r="O62" s="2809"/>
      <c r="P62" s="2810"/>
      <c r="Q62" s="1957"/>
      <c r="R62" s="570"/>
      <c r="S62" s="201"/>
    </row>
    <row r="63" spans="2:19" ht="15" thickBot="1" x14ac:dyDescent="0.35">
      <c r="B63" s="216"/>
      <c r="C63" s="2811"/>
      <c r="D63" s="2812"/>
      <c r="E63" s="2812"/>
      <c r="F63" s="2812"/>
      <c r="G63" s="2812"/>
      <c r="H63" s="2812"/>
      <c r="I63" s="2812"/>
      <c r="J63" s="2813"/>
      <c r="K63" s="2812"/>
      <c r="L63" s="2812"/>
      <c r="M63" s="2812"/>
      <c r="N63" s="2812"/>
      <c r="O63" s="2812"/>
      <c r="P63" s="2814"/>
      <c r="Q63" s="1957"/>
      <c r="R63" s="570"/>
      <c r="S63" s="201"/>
    </row>
    <row r="64" spans="2:19" ht="9" customHeight="1" thickBot="1" x14ac:dyDescent="0.35">
      <c r="B64" s="605"/>
      <c r="C64" s="206"/>
      <c r="D64" s="206"/>
      <c r="E64" s="608"/>
      <c r="F64" s="608"/>
      <c r="G64" s="609"/>
      <c r="H64" s="610"/>
      <c r="I64" s="610"/>
      <c r="J64" s="610"/>
      <c r="K64" s="611"/>
      <c r="L64" s="609"/>
      <c r="M64" s="609"/>
      <c r="N64" s="612"/>
      <c r="O64" s="608"/>
      <c r="P64" s="609"/>
      <c r="Q64" s="609"/>
      <c r="R64" s="206"/>
      <c r="S64" s="207"/>
    </row>
  </sheetData>
  <sheetProtection algorithmName="SHA-512" hashValue="YouVxugtKCfqHt9X2VR4OFdCL8fTWH61iULWlpCW5JtMjZelymwyUQLHH+DhukavWMncL4Sz6La1PL1dt8TTWg==" saltValue="lukPVNm4um1c+XOHcAs96w==" spinCount="100000" sheet="1" formatCells="0" formatColumns="0" formatRows="0" insertRows="0"/>
  <mergeCells count="33">
    <mergeCell ref="N57:R58"/>
    <mergeCell ref="C59:P63"/>
    <mergeCell ref="C14:L14"/>
    <mergeCell ref="C16:L16"/>
    <mergeCell ref="N16:R16"/>
    <mergeCell ref="F48:G48"/>
    <mergeCell ref="G52:K52"/>
    <mergeCell ref="G53:K53"/>
    <mergeCell ref="G54:K54"/>
    <mergeCell ref="F55:H55"/>
    <mergeCell ref="F56:K56"/>
    <mergeCell ref="C41:D41"/>
    <mergeCell ref="C42:D42"/>
    <mergeCell ref="C43:F43"/>
    <mergeCell ref="N44:R44"/>
    <mergeCell ref="C45:L45"/>
    <mergeCell ref="F46:H46"/>
    <mergeCell ref="C35:D35"/>
    <mergeCell ref="C36:D36"/>
    <mergeCell ref="C37:D37"/>
    <mergeCell ref="C38:D38"/>
    <mergeCell ref="C39:D39"/>
    <mergeCell ref="C40:D40"/>
    <mergeCell ref="C34:D34"/>
    <mergeCell ref="C10:R10"/>
    <mergeCell ref="C12:L12"/>
    <mergeCell ref="I27:K27"/>
    <mergeCell ref="I28:K28"/>
    <mergeCell ref="C29:G29"/>
    <mergeCell ref="N30:R31"/>
    <mergeCell ref="C32:L32"/>
    <mergeCell ref="N32:R32"/>
    <mergeCell ref="C33:D33"/>
  </mergeCells>
  <conditionalFormatting sqref="K18:K26">
    <cfRule type="expression" dxfId="31" priority="9">
      <formula>$I18="Actual"</formula>
    </cfRule>
    <cfRule type="expression" dxfId="30" priority="12">
      <formula>$I18&lt;&gt;"Actual"</formula>
    </cfRule>
  </conditionalFormatting>
  <conditionalFormatting sqref="J18:J26">
    <cfRule type="expression" dxfId="29" priority="10">
      <formula>$I18="Actual"</formula>
    </cfRule>
    <cfRule type="expression" dxfId="28" priority="11">
      <formula>$I18&lt;&gt;"Percent"</formula>
    </cfRule>
  </conditionalFormatting>
  <conditionalFormatting sqref="K34:K42">
    <cfRule type="expression" dxfId="27" priority="5">
      <formula>$I34="Actual"</formula>
    </cfRule>
    <cfRule type="expression" dxfId="26" priority="8">
      <formula>$I34&lt;&gt;"Actual"</formula>
    </cfRule>
  </conditionalFormatting>
  <conditionalFormatting sqref="J34:J42">
    <cfRule type="expression" dxfId="25" priority="6">
      <formula>$I34="Actual"</formula>
    </cfRule>
    <cfRule type="expression" dxfId="24" priority="7">
      <formula>$I34&lt;&gt;"Percent"</formula>
    </cfRule>
  </conditionalFormatting>
  <conditionalFormatting sqref="L30">
    <cfRule type="expression" dxfId="23" priority="3">
      <formula>L30="Costs Are Covered By Listed Funding"</formula>
    </cfRule>
    <cfRule type="expression" dxfId="22" priority="4">
      <formula>L30="WARNING - Costs Exceed Listed Funding"</formula>
    </cfRule>
  </conditionalFormatting>
  <conditionalFormatting sqref="L57">
    <cfRule type="expression" dxfId="21" priority="1">
      <formula>L57="non-personnel Costs Are Covered By Listed Funding"</formula>
    </cfRule>
    <cfRule type="expression" dxfId="20" priority="2">
      <formula>L57="WARNING - non-personnel Costs Exceed Listed Funding"</formula>
    </cfRule>
  </conditionalFormatting>
  <dataValidations disablePrompts="1" count="2">
    <dataValidation type="list" allowBlank="1" showInputMessage="1" showErrorMessage="1" sqref="I18:I26 I34:I42" xr:uid="{00000000-0002-0000-2500-000000000000}">
      <formula1>Actual_or_Percent</formula1>
    </dataValidation>
    <dataValidation type="list" allowBlank="1" showInputMessage="1" showErrorMessage="1" sqref="D18:D26" xr:uid="{00000000-0002-0000-2500-000001000000}">
      <formula1>OnSite_OffSite</formula1>
    </dataValidation>
  </dataValidations>
  <pageMargins left="1" right="0.25" top="0.75" bottom="0.75" header="0.3" footer="0.3"/>
  <pageSetup paperSize="17" scale="70" orientation="landscape" r:id="rId1"/>
  <headerFooter>
    <oddFooter>&amp;LForm 8C
Personnel (Services and Operating) and Non-Personnel Expenses&amp;CCFA Forms&amp;REdition: 2017
Version: 1.0</oddFoot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B12:AT144"/>
  <sheetViews>
    <sheetView showGridLines="0" tabSelected="1" topLeftCell="A28" zoomScaleNormal="100" workbookViewId="0">
      <selection activeCell="H47" sqref="H47"/>
    </sheetView>
  </sheetViews>
  <sheetFormatPr defaultColWidth="9.109375" defaultRowHeight="14.4" x14ac:dyDescent="0.3"/>
  <cols>
    <col min="1" max="2" width="1.6640625" style="400" customWidth="1"/>
    <col min="3" max="3" width="14.33203125" style="400" customWidth="1"/>
    <col min="4" max="4" width="9.109375" style="400" customWidth="1"/>
    <col min="5" max="5" width="1.44140625" style="400" customWidth="1"/>
    <col min="6" max="7" width="9.109375" style="400"/>
    <col min="8" max="8" width="10.6640625" style="400" bestFit="1" customWidth="1"/>
    <col min="9" max="22" width="12.5546875" style="400" bestFit="1" customWidth="1"/>
    <col min="23" max="23" width="1.5546875" style="400" customWidth="1"/>
    <col min="24" max="25" width="9.109375" style="400"/>
    <col min="26" max="32" width="10" style="400" bestFit="1" customWidth="1"/>
    <col min="33" max="16384" width="9.109375" style="400"/>
  </cols>
  <sheetData>
    <row r="12" spans="2:23" ht="15" thickBot="1" x14ac:dyDescent="0.35"/>
    <row r="13" spans="2:23" ht="9" customHeight="1" x14ac:dyDescent="0.3">
      <c r="B13" s="255"/>
      <c r="C13" s="727"/>
      <c r="D13" s="727"/>
      <c r="E13" s="727"/>
      <c r="F13" s="727"/>
      <c r="G13" s="727"/>
      <c r="H13" s="727"/>
      <c r="I13" s="727"/>
      <c r="J13" s="727"/>
      <c r="K13" s="727"/>
      <c r="L13" s="727"/>
      <c r="M13" s="727"/>
      <c r="N13" s="727"/>
      <c r="O13" s="727"/>
      <c r="P13" s="727"/>
      <c r="Q13" s="727"/>
      <c r="R13" s="727"/>
      <c r="S13" s="727"/>
      <c r="T13" s="727"/>
      <c r="U13" s="727"/>
      <c r="V13" s="727"/>
      <c r="W13" s="256"/>
    </row>
    <row r="14" spans="2:23" ht="18" x14ac:dyDescent="0.35">
      <c r="B14" s="257"/>
      <c r="C14" s="2657" t="s">
        <v>1519</v>
      </c>
      <c r="D14" s="2657"/>
      <c r="E14" s="2657"/>
      <c r="F14" s="2657"/>
      <c r="G14" s="2657"/>
      <c r="H14" s="2657"/>
      <c r="I14" s="2657"/>
      <c r="J14" s="2657"/>
      <c r="K14" s="2657"/>
      <c r="L14" s="2657"/>
      <c r="M14" s="2657"/>
      <c r="N14" s="2657"/>
      <c r="O14" s="2657"/>
      <c r="P14" s="2657"/>
      <c r="Q14" s="2657"/>
      <c r="R14" s="2657"/>
      <c r="S14" s="2657"/>
      <c r="T14" s="2657"/>
      <c r="U14" s="2657"/>
      <c r="V14" s="2657"/>
      <c r="W14" s="259"/>
    </row>
    <row r="15" spans="2:23" ht="7.5" customHeight="1" x14ac:dyDescent="0.3">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 thickBot="1" x14ac:dyDescent="0.35">
      <c r="B16" s="257"/>
      <c r="C16" s="2646" t="str">
        <f>IF('1'!G5="","Enter Project Name on Form 1",(CONCATENATE("Project Name: ",'1'!G5)))</f>
        <v>Project Name: 6600 Roosevelt Way NE</v>
      </c>
      <c r="D16" s="2646"/>
      <c r="E16" s="2646"/>
      <c r="F16" s="2646"/>
      <c r="G16" s="2646"/>
      <c r="H16" s="2646"/>
      <c r="I16" s="2646"/>
      <c r="J16" s="2646"/>
      <c r="K16" s="2646"/>
      <c r="L16" s="2646"/>
      <c r="M16" s="2646"/>
      <c r="N16" s="493"/>
      <c r="O16" s="493"/>
      <c r="P16" s="493"/>
      <c r="Q16" s="493"/>
      <c r="R16" s="493"/>
      <c r="S16" s="493"/>
      <c r="T16" s="493"/>
      <c r="U16" s="493"/>
      <c r="V16" s="493"/>
      <c r="W16" s="259"/>
    </row>
    <row r="17" spans="2:23" ht="7.5" customHeight="1" x14ac:dyDescent="0.3">
      <c r="B17" s="257"/>
      <c r="C17" s="493"/>
      <c r="D17" s="493"/>
      <c r="E17" s="493"/>
      <c r="F17" s="493"/>
      <c r="G17" s="493"/>
      <c r="H17" s="424"/>
      <c r="I17" s="424"/>
      <c r="J17" s="424"/>
      <c r="K17" s="424"/>
      <c r="L17" s="493"/>
      <c r="M17" s="493"/>
      <c r="N17" s="493"/>
      <c r="O17" s="493"/>
      <c r="P17" s="493"/>
      <c r="Q17" s="493"/>
      <c r="R17" s="493"/>
      <c r="S17" s="493"/>
      <c r="T17" s="493"/>
      <c r="U17" s="493"/>
      <c r="V17" s="493"/>
      <c r="W17" s="259"/>
    </row>
    <row r="18" spans="2:23" ht="15" thickBot="1" x14ac:dyDescent="0.35">
      <c r="B18" s="257"/>
      <c r="C18" s="2557" t="str">
        <f>IF('1'!G55="","Enter Site Name/ID Number on Form 1",(CONCATENATE("Site Name/ID: ",'1'!G55)))</f>
        <v>Site Name/ID: Site B - 9% Building</v>
      </c>
      <c r="D18" s="2557"/>
      <c r="E18" s="2557"/>
      <c r="F18" s="2557"/>
      <c r="G18" s="2557"/>
      <c r="H18" s="2557"/>
      <c r="I18" s="2557"/>
      <c r="J18" s="2557"/>
      <c r="K18" s="2557"/>
      <c r="L18" s="2557"/>
      <c r="M18" s="2557"/>
      <c r="N18" s="493"/>
      <c r="O18" s="493"/>
      <c r="P18" s="493"/>
      <c r="Q18" s="493"/>
      <c r="R18" s="493"/>
      <c r="S18" s="493"/>
      <c r="T18" s="493"/>
      <c r="U18" s="493"/>
      <c r="V18" s="493"/>
      <c r="W18" s="259"/>
    </row>
    <row r="19" spans="2:23" ht="7.5" customHeight="1" x14ac:dyDescent="0.3">
      <c r="B19" s="257"/>
      <c r="C19" s="493"/>
      <c r="D19" s="493"/>
      <c r="E19" s="493"/>
      <c r="F19" s="493"/>
      <c r="G19" s="493"/>
      <c r="H19" s="424"/>
      <c r="I19" s="424"/>
      <c r="J19" s="424"/>
      <c r="K19" s="424"/>
      <c r="L19" s="493"/>
      <c r="M19" s="493"/>
      <c r="N19" s="493"/>
      <c r="O19" s="493"/>
      <c r="P19" s="493"/>
      <c r="Q19" s="493"/>
      <c r="R19" s="493"/>
      <c r="S19" s="493"/>
      <c r="T19" s="493"/>
      <c r="U19" s="493"/>
      <c r="V19" s="493"/>
      <c r="W19" s="259"/>
    </row>
    <row r="20" spans="2:23" x14ac:dyDescent="0.3">
      <c r="B20" s="260"/>
      <c r="C20" s="493" t="s">
        <v>354</v>
      </c>
      <c r="D20" s="728">
        <v>42987</v>
      </c>
      <c r="E20" s="258"/>
      <c r="F20" s="258"/>
      <c r="G20" s="258"/>
      <c r="H20" s="261"/>
      <c r="I20" s="261"/>
      <c r="J20" s="261"/>
      <c r="K20" s="261"/>
      <c r="L20" s="261"/>
      <c r="M20" s="262"/>
      <c r="N20" s="261"/>
      <c r="O20" s="261"/>
      <c r="P20" s="261"/>
      <c r="Q20" s="261"/>
      <c r="R20" s="261"/>
      <c r="S20" s="261"/>
      <c r="T20" s="261"/>
      <c r="U20" s="261"/>
      <c r="V20" s="261"/>
      <c r="W20" s="263"/>
    </row>
    <row r="21" spans="2:23" ht="7.5" customHeight="1" x14ac:dyDescent="0.3">
      <c r="B21" s="260"/>
      <c r="C21" s="264"/>
      <c r="D21" s="261"/>
      <c r="E21" s="258"/>
      <c r="F21" s="258"/>
      <c r="G21" s="258"/>
      <c r="H21" s="261"/>
      <c r="I21" s="261"/>
      <c r="J21" s="261"/>
      <c r="K21" s="261"/>
      <c r="L21" s="261"/>
      <c r="M21" s="262"/>
      <c r="N21" s="261"/>
      <c r="O21" s="261"/>
      <c r="P21" s="261"/>
      <c r="Q21" s="261"/>
      <c r="R21" s="261"/>
      <c r="S21" s="261"/>
      <c r="T21" s="261"/>
      <c r="U21" s="261"/>
      <c r="V21" s="261"/>
      <c r="W21" s="263"/>
    </row>
    <row r="22" spans="2:23" ht="15" thickBot="1" x14ac:dyDescent="0.35">
      <c r="B22" s="260"/>
      <c r="C22" s="293" t="s">
        <v>355</v>
      </c>
      <c r="D22" s="239"/>
      <c r="E22" s="238"/>
      <c r="F22" s="238"/>
      <c r="G22" s="238"/>
      <c r="H22" s="239"/>
      <c r="I22" s="239"/>
      <c r="J22" s="239"/>
      <c r="K22" s="239"/>
      <c r="L22" s="239"/>
      <c r="M22" s="240"/>
      <c r="N22" s="239"/>
      <c r="O22" s="239"/>
      <c r="P22" s="239"/>
      <c r="Q22" s="239"/>
      <c r="R22" s="239"/>
      <c r="S22" s="239"/>
      <c r="T22" s="239"/>
      <c r="U22" s="239"/>
      <c r="V22" s="239"/>
      <c r="W22" s="263"/>
    </row>
    <row r="23" spans="2:23" ht="15" thickBot="1" x14ac:dyDescent="0.35">
      <c r="B23" s="729"/>
      <c r="C23" s="424"/>
      <c r="D23" s="258"/>
      <c r="E23" s="424"/>
      <c r="F23" s="424"/>
      <c r="G23" s="424"/>
      <c r="H23" s="241" t="s">
        <v>356</v>
      </c>
      <c r="I23" s="730" t="s">
        <v>357</v>
      </c>
      <c r="J23" s="730" t="s">
        <v>358</v>
      </c>
      <c r="K23" s="730" t="s">
        <v>359</v>
      </c>
      <c r="L23" s="730" t="s">
        <v>360</v>
      </c>
      <c r="M23" s="730" t="s">
        <v>361</v>
      </c>
      <c r="N23" s="730" t="s">
        <v>362</v>
      </c>
      <c r="O23" s="730" t="s">
        <v>414</v>
      </c>
      <c r="P23" s="730" t="s">
        <v>415</v>
      </c>
      <c r="Q23" s="730" t="s">
        <v>416</v>
      </c>
      <c r="R23" s="730" t="s">
        <v>417</v>
      </c>
      <c r="S23" s="730" t="s">
        <v>418</v>
      </c>
      <c r="T23" s="730" t="s">
        <v>419</v>
      </c>
      <c r="U23" s="730" t="s">
        <v>420</v>
      </c>
      <c r="V23" s="731" t="s">
        <v>421</v>
      </c>
      <c r="W23" s="1527"/>
    </row>
    <row r="24" spans="2:23" ht="15" thickBot="1" x14ac:dyDescent="0.35">
      <c r="B24" s="729"/>
      <c r="C24" s="265" t="s">
        <v>363</v>
      </c>
      <c r="D24" s="424"/>
      <c r="E24" s="424"/>
      <c r="F24" s="384"/>
      <c r="G24" s="732" t="s">
        <v>364</v>
      </c>
      <c r="H24" s="733"/>
      <c r="I24" s="242"/>
      <c r="J24" s="242"/>
      <c r="K24" s="242"/>
      <c r="L24" s="242"/>
      <c r="M24" s="242"/>
      <c r="N24" s="242"/>
      <c r="O24" s="242"/>
      <c r="P24" s="242"/>
      <c r="Q24" s="242"/>
      <c r="R24" s="242"/>
      <c r="S24" s="242"/>
      <c r="T24" s="242"/>
      <c r="U24" s="242"/>
      <c r="V24" s="734"/>
      <c r="W24" s="1527"/>
    </row>
    <row r="25" spans="2:23" x14ac:dyDescent="0.3">
      <c r="B25" s="729"/>
      <c r="C25" s="266" t="s">
        <v>1508</v>
      </c>
      <c r="D25" s="613"/>
      <c r="E25" s="614"/>
      <c r="F25" s="1605"/>
      <c r="G25" s="789">
        <v>2.5000000000000001E-2</v>
      </c>
      <c r="H25" s="1054">
        <f>'8A'!M43</f>
        <v>737652</v>
      </c>
      <c r="I25" s="1055">
        <f t="shared" ref="I25:V27" si="0">H25+(H25*$G25)</f>
        <v>756093.3</v>
      </c>
      <c r="J25" s="1055">
        <f t="shared" si="0"/>
        <v>774995.63250000007</v>
      </c>
      <c r="K25" s="1055">
        <f t="shared" si="0"/>
        <v>794370.5233125001</v>
      </c>
      <c r="L25" s="1055">
        <f t="shared" si="0"/>
        <v>814229.78639531264</v>
      </c>
      <c r="M25" s="1055">
        <f t="shared" si="0"/>
        <v>834585.53105519549</v>
      </c>
      <c r="N25" s="1055">
        <f t="shared" si="0"/>
        <v>855450.16933157539</v>
      </c>
      <c r="O25" s="1055">
        <f t="shared" si="0"/>
        <v>876836.42356486479</v>
      </c>
      <c r="P25" s="1055">
        <f t="shared" si="0"/>
        <v>898757.33415398642</v>
      </c>
      <c r="Q25" s="1055">
        <f t="shared" si="0"/>
        <v>921226.26750783611</v>
      </c>
      <c r="R25" s="1055">
        <f t="shared" si="0"/>
        <v>944256.92419553199</v>
      </c>
      <c r="S25" s="1055">
        <f t="shared" si="0"/>
        <v>967863.34730042028</v>
      </c>
      <c r="T25" s="1055">
        <f t="shared" si="0"/>
        <v>992059.93098293082</v>
      </c>
      <c r="U25" s="1055">
        <f t="shared" si="0"/>
        <v>1016861.4292575041</v>
      </c>
      <c r="V25" s="1056">
        <f t="shared" si="0"/>
        <v>1042282.9649889417</v>
      </c>
      <c r="W25" s="1527"/>
    </row>
    <row r="26" spans="2:23" x14ac:dyDescent="0.3">
      <c r="B26" s="729"/>
      <c r="C26" s="2887" t="s">
        <v>1509</v>
      </c>
      <c r="D26" s="2887"/>
      <c r="E26" s="2887"/>
      <c r="F26" s="2888"/>
      <c r="G26" s="1645">
        <v>2.5000000000000001E-2</v>
      </c>
      <c r="H26" s="1057">
        <f>'8A'!N43</f>
        <v>0</v>
      </c>
      <c r="I26" s="1055">
        <f>H26+(H26*$G26)</f>
        <v>0</v>
      </c>
      <c r="J26" s="1055">
        <f t="shared" si="0"/>
        <v>0</v>
      </c>
      <c r="K26" s="1055">
        <f t="shared" si="0"/>
        <v>0</v>
      </c>
      <c r="L26" s="1055">
        <f t="shared" si="0"/>
        <v>0</v>
      </c>
      <c r="M26" s="1055">
        <f t="shared" si="0"/>
        <v>0</v>
      </c>
      <c r="N26" s="1055">
        <f t="shared" si="0"/>
        <v>0</v>
      </c>
      <c r="O26" s="1055">
        <f t="shared" si="0"/>
        <v>0</v>
      </c>
      <c r="P26" s="1055">
        <f t="shared" si="0"/>
        <v>0</v>
      </c>
      <c r="Q26" s="1055">
        <f t="shared" si="0"/>
        <v>0</v>
      </c>
      <c r="R26" s="1055">
        <f t="shared" si="0"/>
        <v>0</v>
      </c>
      <c r="S26" s="1055">
        <f t="shared" si="0"/>
        <v>0</v>
      </c>
      <c r="T26" s="1055">
        <f t="shared" si="0"/>
        <v>0</v>
      </c>
      <c r="U26" s="1055">
        <f t="shared" si="0"/>
        <v>0</v>
      </c>
      <c r="V26" s="1056">
        <f t="shared" si="0"/>
        <v>0</v>
      </c>
      <c r="W26" s="1527"/>
    </row>
    <row r="27" spans="2:23" ht="15" thickBot="1" x14ac:dyDescent="0.35">
      <c r="B27" s="729"/>
      <c r="C27" s="2889" t="s">
        <v>1510</v>
      </c>
      <c r="D27" s="2889"/>
      <c r="E27" s="2889"/>
      <c r="F27" s="2890"/>
      <c r="G27" s="792">
        <v>2.5000000000000001E-2</v>
      </c>
      <c r="H27" s="1057">
        <f>'8B - 9% Building'!F23</f>
        <v>40000</v>
      </c>
      <c r="I27" s="1058">
        <f>H27+(H27*$G27)</f>
        <v>41000</v>
      </c>
      <c r="J27" s="1058">
        <f t="shared" si="0"/>
        <v>42025</v>
      </c>
      <c r="K27" s="1058">
        <f t="shared" si="0"/>
        <v>43075.625</v>
      </c>
      <c r="L27" s="1058">
        <f t="shared" si="0"/>
        <v>44152.515625</v>
      </c>
      <c r="M27" s="1058">
        <f t="shared" si="0"/>
        <v>45256.328515624999</v>
      </c>
      <c r="N27" s="1058">
        <f t="shared" si="0"/>
        <v>46387.736728515622</v>
      </c>
      <c r="O27" s="1058">
        <f t="shared" si="0"/>
        <v>47547.430146728511</v>
      </c>
      <c r="P27" s="1058">
        <f t="shared" si="0"/>
        <v>48736.115900396726</v>
      </c>
      <c r="Q27" s="1058">
        <f t="shared" si="0"/>
        <v>49954.518797906647</v>
      </c>
      <c r="R27" s="1058">
        <f t="shared" si="0"/>
        <v>51203.381767854313</v>
      </c>
      <c r="S27" s="1058">
        <f t="shared" si="0"/>
        <v>52483.466312050674</v>
      </c>
      <c r="T27" s="1058">
        <f t="shared" si="0"/>
        <v>53795.552969851939</v>
      </c>
      <c r="U27" s="1058">
        <f t="shared" si="0"/>
        <v>55140.441794098238</v>
      </c>
      <c r="V27" s="1059">
        <f t="shared" si="0"/>
        <v>56518.952838950696</v>
      </c>
      <c r="W27" s="1527"/>
    </row>
    <row r="28" spans="2:23" x14ac:dyDescent="0.3">
      <c r="B28" s="729"/>
      <c r="C28" s="1646" t="s">
        <v>1514</v>
      </c>
      <c r="D28" s="1647"/>
      <c r="E28" s="782"/>
      <c r="F28" s="919"/>
      <c r="G28" s="1528"/>
      <c r="H28" s="1060">
        <f>'8B - 9% Building'!F32</f>
        <v>0</v>
      </c>
      <c r="I28" s="1061">
        <v>0</v>
      </c>
      <c r="J28" s="1061">
        <v>0</v>
      </c>
      <c r="K28" s="1061">
        <v>0</v>
      </c>
      <c r="L28" s="1061">
        <v>0</v>
      </c>
      <c r="M28" s="1061">
        <v>0</v>
      </c>
      <c r="N28" s="1061">
        <v>0</v>
      </c>
      <c r="O28" s="1061">
        <v>0</v>
      </c>
      <c r="P28" s="1061">
        <v>0</v>
      </c>
      <c r="Q28" s="1061">
        <v>0</v>
      </c>
      <c r="R28" s="1061">
        <v>0</v>
      </c>
      <c r="S28" s="1061">
        <v>0</v>
      </c>
      <c r="T28" s="1061">
        <v>0</v>
      </c>
      <c r="U28" s="1061">
        <v>0</v>
      </c>
      <c r="V28" s="1062">
        <v>0</v>
      </c>
      <c r="W28" s="1527"/>
    </row>
    <row r="29" spans="2:23" ht="15" thickBot="1" x14ac:dyDescent="0.35">
      <c r="B29" s="729"/>
      <c r="C29" s="267" t="s">
        <v>592</v>
      </c>
      <c r="D29" s="267"/>
      <c r="E29" s="424"/>
      <c r="F29" s="781"/>
      <c r="G29" s="1529"/>
      <c r="H29" s="788"/>
      <c r="I29" s="1530"/>
      <c r="J29" s="1530"/>
      <c r="K29" s="1530"/>
      <c r="L29" s="1530"/>
      <c r="M29" s="1530"/>
      <c r="N29" s="1530"/>
      <c r="O29" s="1530"/>
      <c r="P29" s="1530"/>
      <c r="Q29" s="1530"/>
      <c r="R29" s="1530"/>
      <c r="S29" s="1530"/>
      <c r="T29" s="1530"/>
      <c r="U29" s="1530"/>
      <c r="V29" s="1531"/>
      <c r="W29" s="1527"/>
    </row>
    <row r="30" spans="2:23" x14ac:dyDescent="0.3">
      <c r="B30" s="729"/>
      <c r="C30" s="2883" t="s">
        <v>1940</v>
      </c>
      <c r="D30" s="2883"/>
      <c r="E30" s="2883"/>
      <c r="F30" s="2884"/>
      <c r="G30" s="789">
        <v>2.5000000000000001E-2</v>
      </c>
      <c r="H30" s="1063">
        <v>9875</v>
      </c>
      <c r="I30" s="1064">
        <f t="shared" ref="I30:V31" si="1">H30+(H30*$G30)</f>
        <v>10121.875</v>
      </c>
      <c r="J30" s="1064">
        <f t="shared" si="1"/>
        <v>10374.921875</v>
      </c>
      <c r="K30" s="1064">
        <f t="shared" si="1"/>
        <v>10634.294921875</v>
      </c>
      <c r="L30" s="1064">
        <f t="shared" si="1"/>
        <v>10900.152294921874</v>
      </c>
      <c r="M30" s="1064">
        <f>L30+(L30*$G30)</f>
        <v>11172.656102294921</v>
      </c>
      <c r="N30" s="1064">
        <f t="shared" si="1"/>
        <v>11451.972504852294</v>
      </c>
      <c r="O30" s="1064">
        <f t="shared" si="1"/>
        <v>11738.271817473602</v>
      </c>
      <c r="P30" s="1064">
        <f t="shared" si="1"/>
        <v>12031.728612910441</v>
      </c>
      <c r="Q30" s="1064">
        <f t="shared" si="1"/>
        <v>12332.521828233203</v>
      </c>
      <c r="R30" s="1064">
        <f t="shared" si="1"/>
        <v>12640.834873939033</v>
      </c>
      <c r="S30" s="1064">
        <f t="shared" si="1"/>
        <v>12956.855745787509</v>
      </c>
      <c r="T30" s="1064">
        <f t="shared" si="1"/>
        <v>13280.777139432197</v>
      </c>
      <c r="U30" s="1064">
        <f t="shared" si="1"/>
        <v>13612.796567918002</v>
      </c>
      <c r="V30" s="1065">
        <f t="shared" si="1"/>
        <v>13953.116482115951</v>
      </c>
      <c r="W30" s="1527"/>
    </row>
    <row r="31" spans="2:23" ht="15" thickBot="1" x14ac:dyDescent="0.35">
      <c r="B31" s="729"/>
      <c r="C31" s="2885" t="s">
        <v>1942</v>
      </c>
      <c r="D31" s="2885"/>
      <c r="E31" s="2885"/>
      <c r="F31" s="2886"/>
      <c r="G31" s="792">
        <v>2.5000000000000001E-2</v>
      </c>
      <c r="H31" s="1066">
        <v>5925</v>
      </c>
      <c r="I31" s="1067">
        <f t="shared" si="1"/>
        <v>6073.125</v>
      </c>
      <c r="J31" s="1067">
        <f t="shared" si="1"/>
        <v>6224.953125</v>
      </c>
      <c r="K31" s="1067">
        <f t="shared" si="1"/>
        <v>6380.5769531249998</v>
      </c>
      <c r="L31" s="1067">
        <f t="shared" si="1"/>
        <v>6540.0913769531253</v>
      </c>
      <c r="M31" s="1067">
        <f t="shared" si="1"/>
        <v>6703.5936613769536</v>
      </c>
      <c r="N31" s="1067">
        <f t="shared" si="1"/>
        <v>6871.1835029113772</v>
      </c>
      <c r="O31" s="1067">
        <f t="shared" si="1"/>
        <v>7042.9630904841615</v>
      </c>
      <c r="P31" s="1067">
        <f t="shared" si="1"/>
        <v>7219.0371677462654</v>
      </c>
      <c r="Q31" s="1067">
        <f t="shared" si="1"/>
        <v>7399.5130969399224</v>
      </c>
      <c r="R31" s="1067">
        <f t="shared" si="1"/>
        <v>7584.5009243634204</v>
      </c>
      <c r="S31" s="1067">
        <f t="shared" si="1"/>
        <v>7774.1134474725059</v>
      </c>
      <c r="T31" s="1067">
        <f t="shared" si="1"/>
        <v>7968.4662836593188</v>
      </c>
      <c r="U31" s="1067">
        <f t="shared" si="1"/>
        <v>8167.677940750802</v>
      </c>
      <c r="V31" s="1068">
        <f t="shared" si="1"/>
        <v>8371.869889269572</v>
      </c>
      <c r="W31" s="1527"/>
    </row>
    <row r="32" spans="2:23" x14ac:dyDescent="0.3">
      <c r="B32" s="729"/>
      <c r="C32" s="267" t="s">
        <v>365</v>
      </c>
      <c r="D32" s="424"/>
      <c r="E32" s="424"/>
      <c r="F32" s="424"/>
      <c r="G32" s="268" t="s">
        <v>366</v>
      </c>
      <c r="H32" s="1069">
        <f>SUM(H25:H31)</f>
        <v>793452</v>
      </c>
      <c r="I32" s="1070">
        <f t="shared" ref="I32:V32" si="2">SUM(I25:I31)</f>
        <v>813288.3</v>
      </c>
      <c r="J32" s="1070">
        <f t="shared" si="2"/>
        <v>833620.50750000007</v>
      </c>
      <c r="K32" s="1070">
        <f t="shared" si="2"/>
        <v>854461.02018750005</v>
      </c>
      <c r="L32" s="1070">
        <f t="shared" si="2"/>
        <v>875822.54569218773</v>
      </c>
      <c r="M32" s="1070">
        <f t="shared" si="2"/>
        <v>897718.10933449236</v>
      </c>
      <c r="N32" s="1070">
        <f t="shared" si="2"/>
        <v>920161.06206785468</v>
      </c>
      <c r="O32" s="1070">
        <f t="shared" si="2"/>
        <v>943165.08861955104</v>
      </c>
      <c r="P32" s="1070">
        <f t="shared" si="2"/>
        <v>966744.21583503985</v>
      </c>
      <c r="Q32" s="1070">
        <f t="shared" si="2"/>
        <v>990912.82123091584</v>
      </c>
      <c r="R32" s="1070">
        <f t="shared" si="2"/>
        <v>1015685.6417616887</v>
      </c>
      <c r="S32" s="1070">
        <f t="shared" si="2"/>
        <v>1041077.7828057309</v>
      </c>
      <c r="T32" s="1070">
        <f t="shared" si="2"/>
        <v>1067104.7273758743</v>
      </c>
      <c r="U32" s="1070">
        <f t="shared" si="2"/>
        <v>1093782.3455602711</v>
      </c>
      <c r="V32" s="1071">
        <f t="shared" si="2"/>
        <v>1121126.904199278</v>
      </c>
      <c r="W32" s="1527"/>
    </row>
    <row r="33" spans="2:23" ht="15" thickBot="1" x14ac:dyDescent="0.35">
      <c r="B33" s="729"/>
      <c r="C33" s="270" t="s">
        <v>368</v>
      </c>
      <c r="D33" s="271"/>
      <c r="E33" s="616"/>
      <c r="F33" s="617"/>
      <c r="G33" s="618"/>
      <c r="H33" s="1072">
        <v>0</v>
      </c>
      <c r="I33" s="1073">
        <v>0</v>
      </c>
      <c r="J33" s="1073">
        <v>0</v>
      </c>
      <c r="K33" s="1073">
        <v>0</v>
      </c>
      <c r="L33" s="1073">
        <v>0</v>
      </c>
      <c r="M33" s="1073">
        <v>0</v>
      </c>
      <c r="N33" s="1073">
        <v>0</v>
      </c>
      <c r="O33" s="1073">
        <v>0</v>
      </c>
      <c r="P33" s="1073">
        <v>0</v>
      </c>
      <c r="Q33" s="1073">
        <v>0</v>
      </c>
      <c r="R33" s="1073">
        <v>0</v>
      </c>
      <c r="S33" s="1073">
        <v>0</v>
      </c>
      <c r="T33" s="1073">
        <v>0</v>
      </c>
      <c r="U33" s="1073">
        <v>0</v>
      </c>
      <c r="V33" s="1074">
        <v>0</v>
      </c>
      <c r="W33" s="1527"/>
    </row>
    <row r="34" spans="2:23" ht="15" thickTop="1" x14ac:dyDescent="0.3">
      <c r="B34" s="729"/>
      <c r="C34" s="265" t="s">
        <v>369</v>
      </c>
      <c r="D34" s="424"/>
      <c r="E34" s="424"/>
      <c r="F34" s="424"/>
      <c r="G34" s="269" t="s">
        <v>366</v>
      </c>
      <c r="H34" s="1075">
        <f>H32+H33</f>
        <v>793452</v>
      </c>
      <c r="I34" s="1076">
        <f t="shared" ref="I34:V34" si="3">I32+I33</f>
        <v>813288.3</v>
      </c>
      <c r="J34" s="1076">
        <f t="shared" si="3"/>
        <v>833620.50750000007</v>
      </c>
      <c r="K34" s="1076">
        <f t="shared" si="3"/>
        <v>854461.02018750005</v>
      </c>
      <c r="L34" s="1076">
        <f t="shared" si="3"/>
        <v>875822.54569218773</v>
      </c>
      <c r="M34" s="1076">
        <f t="shared" si="3"/>
        <v>897718.10933449236</v>
      </c>
      <c r="N34" s="1076">
        <f t="shared" si="3"/>
        <v>920161.06206785468</v>
      </c>
      <c r="O34" s="1076">
        <f t="shared" si="3"/>
        <v>943165.08861955104</v>
      </c>
      <c r="P34" s="1076">
        <f t="shared" si="3"/>
        <v>966744.21583503985</v>
      </c>
      <c r="Q34" s="1076">
        <f t="shared" si="3"/>
        <v>990912.82123091584</v>
      </c>
      <c r="R34" s="1076">
        <f t="shared" si="3"/>
        <v>1015685.6417616887</v>
      </c>
      <c r="S34" s="1076">
        <f t="shared" si="3"/>
        <v>1041077.7828057309</v>
      </c>
      <c r="T34" s="1076">
        <f t="shared" si="3"/>
        <v>1067104.7273758743</v>
      </c>
      <c r="U34" s="1076">
        <f t="shared" si="3"/>
        <v>1093782.3455602711</v>
      </c>
      <c r="V34" s="1077">
        <f t="shared" si="3"/>
        <v>1121126.904199278</v>
      </c>
      <c r="W34" s="1527"/>
    </row>
    <row r="35" spans="2:23" ht="15" thickBot="1" x14ac:dyDescent="0.35">
      <c r="B35" s="729"/>
      <c r="C35" s="265"/>
      <c r="D35" s="424"/>
      <c r="E35" s="424"/>
      <c r="F35" s="384"/>
      <c r="G35" s="272" t="s">
        <v>370</v>
      </c>
      <c r="H35" s="243"/>
      <c r="I35" s="244"/>
      <c r="J35" s="244"/>
      <c r="K35" s="244"/>
      <c r="L35" s="244"/>
      <c r="M35" s="244"/>
      <c r="N35" s="244"/>
      <c r="O35" s="244"/>
      <c r="P35" s="244"/>
      <c r="Q35" s="244"/>
      <c r="R35" s="244"/>
      <c r="S35" s="244"/>
      <c r="T35" s="244"/>
      <c r="U35" s="244"/>
      <c r="V35" s="254"/>
      <c r="W35" s="1527"/>
    </row>
    <row r="36" spans="2:23" x14ac:dyDescent="0.3">
      <c r="B36" s="729"/>
      <c r="C36" s="273" t="s">
        <v>371</v>
      </c>
      <c r="D36" s="613"/>
      <c r="E36" s="613"/>
      <c r="F36" s="1532"/>
      <c r="G36" s="2138">
        <v>0.05</v>
      </c>
      <c r="H36" s="1078">
        <f t="shared" ref="H36:V37" si="4">-H32*$G36</f>
        <v>-39672.600000000006</v>
      </c>
      <c r="I36" s="1079">
        <f t="shared" si="4"/>
        <v>-40664.415000000008</v>
      </c>
      <c r="J36" s="1079">
        <f t="shared" si="4"/>
        <v>-41681.025375000005</v>
      </c>
      <c r="K36" s="1079">
        <f t="shared" si="4"/>
        <v>-42723.051009375005</v>
      </c>
      <c r="L36" s="1079">
        <f t="shared" si="4"/>
        <v>-43791.127284609393</v>
      </c>
      <c r="M36" s="1079">
        <f t="shared" si="4"/>
        <v>-44885.905466724624</v>
      </c>
      <c r="N36" s="1079">
        <f t="shared" si="4"/>
        <v>-46008.05310339274</v>
      </c>
      <c r="O36" s="1079">
        <f t="shared" si="4"/>
        <v>-47158.254430977555</v>
      </c>
      <c r="P36" s="1079">
        <f t="shared" si="4"/>
        <v>-48337.210791751997</v>
      </c>
      <c r="Q36" s="1079">
        <f t="shared" si="4"/>
        <v>-49545.641061545793</v>
      </c>
      <c r="R36" s="1079">
        <f t="shared" si="4"/>
        <v>-50784.282088084437</v>
      </c>
      <c r="S36" s="1079">
        <f t="shared" si="4"/>
        <v>-52053.889140286548</v>
      </c>
      <c r="T36" s="1079">
        <f t="shared" si="4"/>
        <v>-53355.236368793718</v>
      </c>
      <c r="U36" s="1079">
        <f t="shared" si="4"/>
        <v>-54689.117278013553</v>
      </c>
      <c r="V36" s="1080">
        <f t="shared" si="4"/>
        <v>-56056.345209963903</v>
      </c>
      <c r="W36" s="1527"/>
    </row>
    <row r="37" spans="2:23" ht="15" thickBot="1" x14ac:dyDescent="0.35">
      <c r="B37" s="729"/>
      <c r="C37" s="274" t="s">
        <v>372</v>
      </c>
      <c r="D37" s="616"/>
      <c r="E37" s="616"/>
      <c r="F37" s="1533"/>
      <c r="G37" s="2156">
        <v>0.1</v>
      </c>
      <c r="H37" s="1081">
        <f t="shared" si="4"/>
        <v>0</v>
      </c>
      <c r="I37" s="1082">
        <f t="shared" si="4"/>
        <v>0</v>
      </c>
      <c r="J37" s="1082">
        <f t="shared" si="4"/>
        <v>0</v>
      </c>
      <c r="K37" s="1082">
        <f t="shared" si="4"/>
        <v>0</v>
      </c>
      <c r="L37" s="1082">
        <f t="shared" si="4"/>
        <v>0</v>
      </c>
      <c r="M37" s="1082">
        <f t="shared" si="4"/>
        <v>0</v>
      </c>
      <c r="N37" s="1082">
        <f t="shared" si="4"/>
        <v>0</v>
      </c>
      <c r="O37" s="1082">
        <f t="shared" si="4"/>
        <v>0</v>
      </c>
      <c r="P37" s="1082">
        <f t="shared" si="4"/>
        <v>0</v>
      </c>
      <c r="Q37" s="1082">
        <f t="shared" si="4"/>
        <v>0</v>
      </c>
      <c r="R37" s="1082">
        <f t="shared" si="4"/>
        <v>0</v>
      </c>
      <c r="S37" s="1082">
        <f t="shared" si="4"/>
        <v>0</v>
      </c>
      <c r="T37" s="1082">
        <f t="shared" si="4"/>
        <v>0</v>
      </c>
      <c r="U37" s="1082">
        <f t="shared" si="4"/>
        <v>0</v>
      </c>
      <c r="V37" s="1083">
        <f t="shared" si="4"/>
        <v>0</v>
      </c>
      <c r="W37" s="1527"/>
    </row>
    <row r="38" spans="2:23" ht="15.6" thickTop="1" thickBot="1" x14ac:dyDescent="0.35">
      <c r="B38" s="729"/>
      <c r="C38" s="275" t="s">
        <v>373</v>
      </c>
      <c r="D38" s="424"/>
      <c r="E38" s="424"/>
      <c r="F38" s="424"/>
      <c r="G38" s="268" t="s">
        <v>366</v>
      </c>
      <c r="H38" s="1084">
        <f>H34+H36+H37</f>
        <v>753779.4</v>
      </c>
      <c r="I38" s="1085">
        <f t="shared" ref="I38:V38" si="5">I34+I36+I37</f>
        <v>772623.88500000001</v>
      </c>
      <c r="J38" s="1085">
        <f t="shared" si="5"/>
        <v>791939.4821250001</v>
      </c>
      <c r="K38" s="1085">
        <f t="shared" si="5"/>
        <v>811737.96917812503</v>
      </c>
      <c r="L38" s="1085">
        <f t="shared" si="5"/>
        <v>832031.41840757837</v>
      </c>
      <c r="M38" s="1085">
        <f t="shared" si="5"/>
        <v>852832.2038677677</v>
      </c>
      <c r="N38" s="1085">
        <f t="shared" si="5"/>
        <v>874153.00896446197</v>
      </c>
      <c r="O38" s="1085">
        <f t="shared" si="5"/>
        <v>896006.83418857353</v>
      </c>
      <c r="P38" s="1085">
        <f t="shared" si="5"/>
        <v>918407.00504328788</v>
      </c>
      <c r="Q38" s="1085">
        <f t="shared" si="5"/>
        <v>941367.18016937003</v>
      </c>
      <c r="R38" s="1085">
        <f t="shared" si="5"/>
        <v>964901.35967360437</v>
      </c>
      <c r="S38" s="1085">
        <f t="shared" si="5"/>
        <v>989023.89366544434</v>
      </c>
      <c r="T38" s="1085">
        <f t="shared" si="5"/>
        <v>1013749.4910070805</v>
      </c>
      <c r="U38" s="1085">
        <f t="shared" si="5"/>
        <v>1039093.2282822574</v>
      </c>
      <c r="V38" s="1086">
        <f t="shared" si="5"/>
        <v>1065070.5589893141</v>
      </c>
      <c r="W38" s="1527"/>
    </row>
    <row r="39" spans="2:23" ht="7.5" customHeight="1" thickBot="1" x14ac:dyDescent="0.35">
      <c r="B39" s="729"/>
      <c r="C39" s="424"/>
      <c r="D39" s="424"/>
      <c r="E39" s="424"/>
      <c r="F39" s="424"/>
      <c r="G39" s="424"/>
      <c r="H39" s="424"/>
      <c r="I39" s="424"/>
      <c r="J39" s="424"/>
      <c r="K39" s="424"/>
      <c r="L39" s="424"/>
      <c r="M39" s="424"/>
      <c r="N39" s="424"/>
      <c r="O39" s="424"/>
      <c r="P39" s="424"/>
      <c r="Q39" s="424"/>
      <c r="R39" s="424"/>
      <c r="S39" s="424"/>
      <c r="T39" s="424"/>
      <c r="U39" s="424"/>
      <c r="V39" s="424"/>
      <c r="W39" s="1527"/>
    </row>
    <row r="40" spans="2:23" ht="15" thickBot="1" x14ac:dyDescent="0.35">
      <c r="B40" s="729"/>
      <c r="C40" s="267" t="s">
        <v>367</v>
      </c>
      <c r="D40" s="269"/>
      <c r="E40" s="424"/>
      <c r="F40" s="615"/>
      <c r="G40" s="424"/>
      <c r="H40" s="1685">
        <f>'8B - 9% Building'!F41</f>
        <v>0</v>
      </c>
      <c r="I40" s="1686">
        <v>0</v>
      </c>
      <c r="J40" s="1686">
        <v>0</v>
      </c>
      <c r="K40" s="1686">
        <v>0</v>
      </c>
      <c r="L40" s="1686">
        <v>0</v>
      </c>
      <c r="M40" s="1686">
        <v>0</v>
      </c>
      <c r="N40" s="1686">
        <v>0</v>
      </c>
      <c r="O40" s="1686">
        <v>0</v>
      </c>
      <c r="P40" s="1686">
        <v>0</v>
      </c>
      <c r="Q40" s="1686">
        <v>0</v>
      </c>
      <c r="R40" s="1686">
        <v>0</v>
      </c>
      <c r="S40" s="1686">
        <v>0</v>
      </c>
      <c r="T40" s="1686">
        <v>0</v>
      </c>
      <c r="U40" s="1686">
        <v>0</v>
      </c>
      <c r="V40" s="1687">
        <v>0</v>
      </c>
      <c r="W40" s="1527"/>
    </row>
    <row r="41" spans="2:23" ht="7.5" customHeight="1" x14ac:dyDescent="0.3">
      <c r="B41" s="729"/>
      <c r="C41" s="267"/>
      <c r="D41" s="269"/>
      <c r="E41" s="424"/>
      <c r="F41" s="424"/>
      <c r="G41" s="424"/>
      <c r="H41" s="1683"/>
      <c r="I41" s="1683"/>
      <c r="J41" s="1683"/>
      <c r="K41" s="1683"/>
      <c r="L41" s="1683"/>
      <c r="M41" s="1683"/>
      <c r="N41" s="1683"/>
      <c r="O41" s="1683"/>
      <c r="P41" s="1683"/>
      <c r="Q41" s="1683"/>
      <c r="R41" s="1683"/>
      <c r="S41" s="1683"/>
      <c r="T41" s="1683"/>
      <c r="U41" s="1683"/>
      <c r="V41" s="1684"/>
      <c r="W41" s="1527"/>
    </row>
    <row r="42" spans="2:23" ht="15" thickBot="1" x14ac:dyDescent="0.35">
      <c r="B42" s="260"/>
      <c r="C42" s="783" t="s">
        <v>540</v>
      </c>
      <c r="D42" s="245"/>
      <c r="E42" s="245"/>
      <c r="F42" s="245"/>
      <c r="G42" s="245"/>
      <c r="H42" s="245"/>
      <c r="I42" s="245"/>
      <c r="J42" s="245"/>
      <c r="K42" s="246"/>
      <c r="L42" s="245"/>
      <c r="M42" s="245"/>
      <c r="N42" s="245"/>
      <c r="O42" s="245"/>
      <c r="P42" s="245"/>
      <c r="Q42" s="245"/>
      <c r="R42" s="245"/>
      <c r="S42" s="245"/>
      <c r="T42" s="245"/>
      <c r="U42" s="245"/>
      <c r="V42" s="245"/>
      <c r="W42" s="1527"/>
    </row>
    <row r="43" spans="2:23" ht="15" thickBot="1" x14ac:dyDescent="0.35">
      <c r="B43" s="260"/>
      <c r="C43" s="384"/>
      <c r="D43" s="267"/>
      <c r="E43" s="267"/>
      <c r="F43" s="2133" t="s">
        <v>403</v>
      </c>
      <c r="G43" s="268" t="s">
        <v>366</v>
      </c>
      <c r="H43" s="1087">
        <f>H104</f>
        <v>241569.99820000003</v>
      </c>
      <c r="I43" s="1088">
        <f t="shared" ref="I43:V43" si="6">I104</f>
        <v>242665.79913699999</v>
      </c>
      <c r="J43" s="1088">
        <f t="shared" si="6"/>
        <v>243612.2120067951</v>
      </c>
      <c r="K43" s="1088">
        <f t="shared" si="6"/>
        <v>244399.16420453286</v>
      </c>
      <c r="L43" s="1088">
        <f t="shared" si="6"/>
        <v>245016.10346382915</v>
      </c>
      <c r="M43" s="1088">
        <f t="shared" si="6"/>
        <v>245451.97764981189</v>
      </c>
      <c r="N43" s="1088">
        <f t="shared" si="6"/>
        <v>245695.21374982351</v>
      </c>
      <c r="O43" s="1088">
        <f t="shared" si="6"/>
        <v>245733.6960309284</v>
      </c>
      <c r="P43" s="1088">
        <f t="shared" si="6"/>
        <v>245554.74333222618</v>
      </c>
      <c r="Q43" s="1088">
        <f t="shared" si="6"/>
        <v>245145.08545874676</v>
      </c>
      <c r="R43" s="1088">
        <f t="shared" si="6"/>
        <v>244490.83864246227</v>
      </c>
      <c r="S43" s="1088">
        <f t="shared" si="6"/>
        <v>243577.48003464355</v>
      </c>
      <c r="T43" s="1088">
        <f t="shared" si="6"/>
        <v>242389.82119245245</v>
      </c>
      <c r="U43" s="1088">
        <f t="shared" si="6"/>
        <v>240911.98052124411</v>
      </c>
      <c r="V43" s="1089">
        <f t="shared" si="6"/>
        <v>239127.35463262687</v>
      </c>
      <c r="W43" s="1527"/>
    </row>
    <row r="44" spans="2:23" x14ac:dyDescent="0.3">
      <c r="B44" s="260"/>
      <c r="C44" s="275"/>
      <c r="D44" s="267"/>
      <c r="E44" s="267"/>
      <c r="F44" s="267"/>
      <c r="G44" s="268"/>
      <c r="H44" s="289"/>
      <c r="I44" s="289"/>
      <c r="J44" s="289"/>
      <c r="K44" s="289"/>
      <c r="L44" s="289"/>
      <c r="M44" s="289"/>
      <c r="N44" s="289"/>
      <c r="O44" s="424"/>
      <c r="P44" s="424"/>
      <c r="Q44" s="424"/>
      <c r="R44" s="424"/>
      <c r="S44" s="424"/>
      <c r="T44" s="424"/>
      <c r="U44" s="424"/>
      <c r="V44" s="424"/>
      <c r="W44" s="1527"/>
    </row>
    <row r="45" spans="2:23" ht="15" thickBot="1" x14ac:dyDescent="0.35">
      <c r="B45" s="729"/>
      <c r="C45" s="2872" t="s">
        <v>404</v>
      </c>
      <c r="D45" s="2872"/>
      <c r="E45" s="252"/>
      <c r="F45" s="252"/>
      <c r="G45" s="252"/>
      <c r="H45" s="252"/>
      <c r="I45" s="252"/>
      <c r="J45" s="252"/>
      <c r="K45" s="252"/>
      <c r="L45" s="252"/>
      <c r="M45" s="252"/>
      <c r="N45" s="252"/>
      <c r="O45" s="252"/>
      <c r="P45" s="252"/>
      <c r="Q45" s="252"/>
      <c r="R45" s="252"/>
      <c r="S45" s="252"/>
      <c r="T45" s="252"/>
      <c r="U45" s="252"/>
      <c r="V45" s="252"/>
      <c r="W45" s="1527"/>
    </row>
    <row r="46" spans="2:23" ht="15" thickBot="1" x14ac:dyDescent="0.35">
      <c r="B46" s="729"/>
      <c r="C46" s="350" t="s">
        <v>405</v>
      </c>
      <c r="D46" s="424"/>
      <c r="E46" s="424"/>
      <c r="F46" s="2865" t="s">
        <v>406</v>
      </c>
      <c r="G46" s="2866"/>
      <c r="H46" s="241" t="s">
        <v>356</v>
      </c>
      <c r="I46" s="730" t="s">
        <v>357</v>
      </c>
      <c r="J46" s="730" t="s">
        <v>358</v>
      </c>
      <c r="K46" s="730" t="s">
        <v>359</v>
      </c>
      <c r="L46" s="730" t="s">
        <v>360</v>
      </c>
      <c r="M46" s="730" t="s">
        <v>361</v>
      </c>
      <c r="N46" s="730" t="s">
        <v>362</v>
      </c>
      <c r="O46" s="730" t="s">
        <v>414</v>
      </c>
      <c r="P46" s="730" t="s">
        <v>415</v>
      </c>
      <c r="Q46" s="730" t="s">
        <v>416</v>
      </c>
      <c r="R46" s="730" t="s">
        <v>417</v>
      </c>
      <c r="S46" s="730" t="s">
        <v>418</v>
      </c>
      <c r="T46" s="730" t="s">
        <v>419</v>
      </c>
      <c r="U46" s="730" t="s">
        <v>420</v>
      </c>
      <c r="V46" s="735" t="s">
        <v>421</v>
      </c>
      <c r="W46" s="1527"/>
    </row>
    <row r="47" spans="2:23" x14ac:dyDescent="0.3">
      <c r="B47" s="729"/>
      <c r="C47" s="2877" t="s">
        <v>407</v>
      </c>
      <c r="D47" s="2878"/>
      <c r="E47" s="2879"/>
      <c r="F47" s="2873">
        <v>2951351</v>
      </c>
      <c r="G47" s="2874"/>
      <c r="H47" s="1090">
        <v>201939</v>
      </c>
      <c r="I47" s="1091">
        <f t="shared" ref="I47:V47" si="7">H47</f>
        <v>201939</v>
      </c>
      <c r="J47" s="1091">
        <f t="shared" si="7"/>
        <v>201939</v>
      </c>
      <c r="K47" s="1091">
        <f t="shared" si="7"/>
        <v>201939</v>
      </c>
      <c r="L47" s="1091">
        <f t="shared" si="7"/>
        <v>201939</v>
      </c>
      <c r="M47" s="1091">
        <f t="shared" si="7"/>
        <v>201939</v>
      </c>
      <c r="N47" s="1091">
        <f t="shared" si="7"/>
        <v>201939</v>
      </c>
      <c r="O47" s="1091">
        <f t="shared" si="7"/>
        <v>201939</v>
      </c>
      <c r="P47" s="1091">
        <f t="shared" si="7"/>
        <v>201939</v>
      </c>
      <c r="Q47" s="1091">
        <f t="shared" si="7"/>
        <v>201939</v>
      </c>
      <c r="R47" s="1091">
        <f t="shared" si="7"/>
        <v>201939</v>
      </c>
      <c r="S47" s="1091">
        <f t="shared" si="7"/>
        <v>201939</v>
      </c>
      <c r="T47" s="1091">
        <f t="shared" si="7"/>
        <v>201939</v>
      </c>
      <c r="U47" s="1091">
        <f t="shared" si="7"/>
        <v>201939</v>
      </c>
      <c r="V47" s="1092">
        <f t="shared" si="7"/>
        <v>201939</v>
      </c>
      <c r="W47" s="1527"/>
    </row>
    <row r="48" spans="2:23" x14ac:dyDescent="0.3">
      <c r="B48" s="729"/>
      <c r="C48" s="2880" t="s">
        <v>408</v>
      </c>
      <c r="D48" s="2881"/>
      <c r="E48" s="2882"/>
      <c r="F48" s="2875">
        <v>0</v>
      </c>
      <c r="G48" s="2876"/>
      <c r="H48" s="1093">
        <v>0</v>
      </c>
      <c r="I48" s="1094">
        <v>0</v>
      </c>
      <c r="J48" s="1094">
        <v>0</v>
      </c>
      <c r="K48" s="1094">
        <v>0</v>
      </c>
      <c r="L48" s="1094">
        <v>0</v>
      </c>
      <c r="M48" s="1094">
        <v>0</v>
      </c>
      <c r="N48" s="1094">
        <v>0</v>
      </c>
      <c r="O48" s="1094">
        <v>0</v>
      </c>
      <c r="P48" s="1094">
        <v>0</v>
      </c>
      <c r="Q48" s="1094">
        <v>0</v>
      </c>
      <c r="R48" s="1094">
        <v>0</v>
      </c>
      <c r="S48" s="1094">
        <v>0</v>
      </c>
      <c r="T48" s="1094">
        <v>0</v>
      </c>
      <c r="U48" s="1094">
        <v>0</v>
      </c>
      <c r="V48" s="1095">
        <v>0</v>
      </c>
      <c r="W48" s="1527"/>
    </row>
    <row r="49" spans="2:46" ht="15" thickBot="1" x14ac:dyDescent="0.35">
      <c r="B49" s="729"/>
      <c r="C49" s="2867" t="s">
        <v>409</v>
      </c>
      <c r="D49" s="2868"/>
      <c r="E49" s="2869"/>
      <c r="F49" s="2863">
        <v>0</v>
      </c>
      <c r="G49" s="2864"/>
      <c r="H49" s="1096">
        <v>0</v>
      </c>
      <c r="I49" s="1097">
        <v>0</v>
      </c>
      <c r="J49" s="1097">
        <v>0</v>
      </c>
      <c r="K49" s="1097">
        <v>0</v>
      </c>
      <c r="L49" s="1097">
        <v>0</v>
      </c>
      <c r="M49" s="1097">
        <v>0</v>
      </c>
      <c r="N49" s="1097">
        <v>0</v>
      </c>
      <c r="O49" s="1097">
        <v>0</v>
      </c>
      <c r="P49" s="1097">
        <v>0</v>
      </c>
      <c r="Q49" s="1097">
        <v>0</v>
      </c>
      <c r="R49" s="1097">
        <v>0</v>
      </c>
      <c r="S49" s="1097">
        <v>0</v>
      </c>
      <c r="T49" s="1097">
        <v>0</v>
      </c>
      <c r="U49" s="1097">
        <v>0</v>
      </c>
      <c r="V49" s="1098">
        <v>0</v>
      </c>
      <c r="W49" s="1527"/>
    </row>
    <row r="50" spans="2:46" ht="15" thickTop="1" x14ac:dyDescent="0.3">
      <c r="B50" s="729"/>
      <c r="C50" s="620"/>
      <c r="D50" s="620"/>
      <c r="E50" s="620"/>
      <c r="F50" s="621"/>
      <c r="G50" s="622" t="s">
        <v>410</v>
      </c>
      <c r="H50" s="1099">
        <f>SUM(H47:H49)</f>
        <v>201939</v>
      </c>
      <c r="I50" s="1100">
        <f t="shared" ref="I50:N50" si="8">SUM(I47:I49)</f>
        <v>201939</v>
      </c>
      <c r="J50" s="1100">
        <f t="shared" si="8"/>
        <v>201939</v>
      </c>
      <c r="K50" s="1100">
        <f t="shared" si="8"/>
        <v>201939</v>
      </c>
      <c r="L50" s="1100">
        <f t="shared" si="8"/>
        <v>201939</v>
      </c>
      <c r="M50" s="1100">
        <f t="shared" si="8"/>
        <v>201939</v>
      </c>
      <c r="N50" s="1100">
        <f t="shared" si="8"/>
        <v>201939</v>
      </c>
      <c r="O50" s="1100">
        <f>SUM(O47:O49)</f>
        <v>201939</v>
      </c>
      <c r="P50" s="1100">
        <f t="shared" ref="P50:V50" si="9">SUM(P47:P49)</f>
        <v>201939</v>
      </c>
      <c r="Q50" s="1100">
        <f t="shared" si="9"/>
        <v>201939</v>
      </c>
      <c r="R50" s="1100">
        <f t="shared" si="9"/>
        <v>201939</v>
      </c>
      <c r="S50" s="1100">
        <f t="shared" si="9"/>
        <v>201939</v>
      </c>
      <c r="T50" s="1100">
        <f t="shared" si="9"/>
        <v>201939</v>
      </c>
      <c r="U50" s="1100">
        <f t="shared" si="9"/>
        <v>201939</v>
      </c>
      <c r="V50" s="1101">
        <f t="shared" si="9"/>
        <v>201939</v>
      </c>
      <c r="W50" s="1527"/>
    </row>
    <row r="51" spans="2:46" x14ac:dyDescent="0.3">
      <c r="B51" s="729"/>
      <c r="C51" s="620"/>
      <c r="D51" s="620"/>
      <c r="E51" s="1143"/>
      <c r="F51" s="2133"/>
      <c r="G51" s="2133" t="s">
        <v>411</v>
      </c>
      <c r="H51" s="1116">
        <f>IFERROR(H43/H50,"0 ")</f>
        <v>1.1962523247119181</v>
      </c>
      <c r="I51" s="1117">
        <f>IFERROR(I43/I50,"0 ")</f>
        <v>1.2016787204898509</v>
      </c>
      <c r="J51" s="1117">
        <f t="shared" ref="J51:V51" si="10">IFERROR(J43/J50,"0 ")</f>
        <v>1.2063653479852585</v>
      </c>
      <c r="K51" s="1117">
        <f t="shared" si="10"/>
        <v>1.2102623277550788</v>
      </c>
      <c r="L51" s="1117">
        <f t="shared" si="10"/>
        <v>1.2133174050769249</v>
      </c>
      <c r="M51" s="1117">
        <f t="shared" si="10"/>
        <v>1.2154758498844298</v>
      </c>
      <c r="N51" s="1117">
        <f t="shared" si="10"/>
        <v>1.2166803527294059</v>
      </c>
      <c r="O51" s="1117">
        <f t="shared" si="10"/>
        <v>1.2168709166180303</v>
      </c>
      <c r="P51" s="1117">
        <f t="shared" si="10"/>
        <v>1.2159847445625964</v>
      </c>
      <c r="Q51" s="1117">
        <f t="shared" si="10"/>
        <v>1.2139561226843094</v>
      </c>
      <c r="R51" s="1117">
        <f t="shared" si="10"/>
        <v>1.2107162986964493</v>
      </c>
      <c r="S51" s="1117">
        <f t="shared" si="10"/>
        <v>1.2061933555907653</v>
      </c>
      <c r="T51" s="1117">
        <f t="shared" si="10"/>
        <v>1.2003120803433336</v>
      </c>
      <c r="U51" s="1117">
        <f t="shared" si="10"/>
        <v>1.1929938274491014</v>
      </c>
      <c r="V51" s="1118">
        <f t="shared" si="10"/>
        <v>1.1841563770872732</v>
      </c>
      <c r="W51" s="1527"/>
    </row>
    <row r="52" spans="2:46" ht="15" thickBot="1" x14ac:dyDescent="0.35">
      <c r="B52" s="729"/>
      <c r="C52" s="620"/>
      <c r="D52" s="620"/>
      <c r="E52" s="2870" t="s">
        <v>648</v>
      </c>
      <c r="F52" s="2870"/>
      <c r="G52" s="2871"/>
      <c r="H52" s="1102">
        <f>H43-H50</f>
        <v>39630.998200000031</v>
      </c>
      <c r="I52" s="1103">
        <f t="shared" ref="I52:N52" si="11">I43-I50</f>
        <v>40726.799136999995</v>
      </c>
      <c r="J52" s="1103">
        <f t="shared" si="11"/>
        <v>41673.212006795104</v>
      </c>
      <c r="K52" s="1103">
        <f>K43-K50</f>
        <v>42460.164204532863</v>
      </c>
      <c r="L52" s="1103">
        <f t="shared" si="11"/>
        <v>43077.103463829146</v>
      </c>
      <c r="M52" s="1103">
        <f t="shared" si="11"/>
        <v>43512.977649811888</v>
      </c>
      <c r="N52" s="1103">
        <f t="shared" si="11"/>
        <v>43756.21374982351</v>
      </c>
      <c r="O52" s="1103">
        <f>O43-O50</f>
        <v>43794.696030928404</v>
      </c>
      <c r="P52" s="1103">
        <f t="shared" ref="P52:V52" si="12">P43-P50</f>
        <v>43615.743332226179</v>
      </c>
      <c r="Q52" s="1103">
        <f t="shared" si="12"/>
        <v>43206.085458746762</v>
      </c>
      <c r="R52" s="1103">
        <f t="shared" si="12"/>
        <v>42551.838642462273</v>
      </c>
      <c r="S52" s="1103">
        <f t="shared" si="12"/>
        <v>41638.480034643551</v>
      </c>
      <c r="T52" s="1103">
        <f t="shared" si="12"/>
        <v>40450.821192452451</v>
      </c>
      <c r="U52" s="1103">
        <f t="shared" si="12"/>
        <v>38972.980521244113</v>
      </c>
      <c r="V52" s="1104">
        <f t="shared" si="12"/>
        <v>37188.35463262687</v>
      </c>
      <c r="W52" s="1527"/>
      <c r="AA52" s="400" t="s">
        <v>2161</v>
      </c>
      <c r="AB52" s="400" t="s">
        <v>2162</v>
      </c>
      <c r="AC52" s="400" t="s">
        <v>2163</v>
      </c>
      <c r="AD52" s="400" t="s">
        <v>2164</v>
      </c>
      <c r="AE52" s="400" t="s">
        <v>2165</v>
      </c>
      <c r="AF52" s="400" t="s">
        <v>2166</v>
      </c>
      <c r="AG52" s="400" t="s">
        <v>2167</v>
      </c>
      <c r="AH52" s="400" t="s">
        <v>2168</v>
      </c>
      <c r="AI52" s="400" t="s">
        <v>2169</v>
      </c>
      <c r="AJ52" s="400" t="s">
        <v>2170</v>
      </c>
      <c r="AK52" s="400" t="s">
        <v>2171</v>
      </c>
      <c r="AL52" s="400" t="s">
        <v>2172</v>
      </c>
      <c r="AM52" s="400" t="s">
        <v>2173</v>
      </c>
      <c r="AN52" s="400" t="s">
        <v>2174</v>
      </c>
      <c r="AO52" s="400" t="s">
        <v>2175</v>
      </c>
    </row>
    <row r="53" spans="2:46" ht="15" customHeight="1" thickBot="1" x14ac:dyDescent="0.35">
      <c r="B53" s="729"/>
      <c r="C53" s="620"/>
      <c r="D53" s="620"/>
      <c r="E53" s="620"/>
      <c r="F53" s="621"/>
      <c r="G53" s="621"/>
      <c r="H53" s="623"/>
      <c r="I53" s="623"/>
      <c r="J53" s="623"/>
      <c r="K53" s="623"/>
      <c r="L53" s="623"/>
      <c r="M53" s="623"/>
      <c r="N53" s="623"/>
      <c r="O53" s="424"/>
      <c r="P53" s="424"/>
      <c r="Q53" s="424"/>
      <c r="R53" s="424"/>
      <c r="S53" s="424"/>
      <c r="T53" s="424"/>
      <c r="U53" s="424"/>
      <c r="V53" s="424"/>
      <c r="W53" s="1527"/>
      <c r="X53" s="2459" t="s">
        <v>2159</v>
      </c>
      <c r="Y53" s="2460"/>
      <c r="Z53" s="2465">
        <v>0.02</v>
      </c>
      <c r="AA53" s="2460"/>
      <c r="AB53" s="2460"/>
      <c r="AC53" s="2460"/>
      <c r="AD53" s="2460"/>
      <c r="AE53" s="2460"/>
      <c r="AF53" s="2460"/>
      <c r="AG53" s="2460"/>
      <c r="AH53" s="2460"/>
      <c r="AI53" s="2460"/>
      <c r="AJ53" s="2460"/>
      <c r="AK53" s="2460"/>
      <c r="AL53" s="2460"/>
      <c r="AM53" s="2460"/>
      <c r="AN53" s="2460"/>
      <c r="AO53" s="2460"/>
      <c r="AP53" s="2460"/>
      <c r="AQ53" s="2460"/>
      <c r="AR53" s="2460"/>
      <c r="AS53" s="2460"/>
    </row>
    <row r="54" spans="2:46" ht="15" thickBot="1" x14ac:dyDescent="0.35">
      <c r="B54" s="729"/>
      <c r="C54" s="350" t="s">
        <v>412</v>
      </c>
      <c r="D54" s="424"/>
      <c r="E54" s="424"/>
      <c r="F54" s="2865" t="s">
        <v>406</v>
      </c>
      <c r="G54" s="2866"/>
      <c r="H54" s="241" t="s">
        <v>356</v>
      </c>
      <c r="I54" s="730" t="s">
        <v>357</v>
      </c>
      <c r="J54" s="730" t="s">
        <v>358</v>
      </c>
      <c r="K54" s="730" t="s">
        <v>359</v>
      </c>
      <c r="L54" s="730" t="s">
        <v>360</v>
      </c>
      <c r="M54" s="730" t="s">
        <v>361</v>
      </c>
      <c r="N54" s="730" t="s">
        <v>362</v>
      </c>
      <c r="O54" s="730" t="s">
        <v>414</v>
      </c>
      <c r="P54" s="730" t="s">
        <v>415</v>
      </c>
      <c r="Q54" s="730" t="s">
        <v>416</v>
      </c>
      <c r="R54" s="730" t="s">
        <v>417</v>
      </c>
      <c r="S54" s="730" t="s">
        <v>418</v>
      </c>
      <c r="T54" s="730" t="s">
        <v>419</v>
      </c>
      <c r="U54" s="730" t="s">
        <v>420</v>
      </c>
      <c r="V54" s="735" t="s">
        <v>421</v>
      </c>
      <c r="W54" s="1527"/>
      <c r="X54" s="400">
        <v>674168</v>
      </c>
      <c r="Z54" s="2462">
        <f>(100%+Z53)*X54</f>
        <v>687651.36</v>
      </c>
      <c r="AA54" s="2462">
        <f>(100%+2%)*Z56</f>
        <v>701404.3872</v>
      </c>
      <c r="AB54" s="2462">
        <f>(100%+Z53)*AA56</f>
        <v>715432.47494400002</v>
      </c>
      <c r="AC54" s="2462">
        <f>(100%+$Z$53)*AB56</f>
        <v>729741.12444288004</v>
      </c>
      <c r="AD54" s="2462">
        <f>(100%+$Z$53)*AC56</f>
        <v>744335.94693173771</v>
      </c>
      <c r="AE54" s="2462">
        <f>(100%+$Z$53)*AD56</f>
        <v>759222.66587037244</v>
      </c>
      <c r="AF54" s="2462">
        <f>(100%+$Z$53)*AE56</f>
        <v>774407.11918777996</v>
      </c>
      <c r="AG54" s="400">
        <f t="shared" ref="AG54:AO54" si="13">(100%+$Z$53)*AF56</f>
        <v>749095.26157153561</v>
      </c>
      <c r="AH54" s="400">
        <f t="shared" si="13"/>
        <v>723277.16680296639</v>
      </c>
      <c r="AI54" s="400">
        <f t="shared" si="13"/>
        <v>696942.7101390257</v>
      </c>
      <c r="AJ54" s="400">
        <f t="shared" si="13"/>
        <v>670081.56434180622</v>
      </c>
      <c r="AK54" s="400">
        <f t="shared" si="13"/>
        <v>642683.19562864234</v>
      </c>
      <c r="AL54" s="400">
        <f t="shared" si="13"/>
        <v>614736.85954121524</v>
      </c>
      <c r="AM54" s="400">
        <f t="shared" si="13"/>
        <v>586231.59673203959</v>
      </c>
      <c r="AN54" s="400">
        <f t="shared" si="13"/>
        <v>562256.2286666804</v>
      </c>
      <c r="AO54" s="400">
        <f t="shared" si="13"/>
        <v>537801.35324001405</v>
      </c>
    </row>
    <row r="55" spans="2:46" ht="15" thickBot="1" x14ac:dyDescent="0.35">
      <c r="B55" s="729"/>
      <c r="C55" s="2877" t="s">
        <v>2045</v>
      </c>
      <c r="D55" s="2878"/>
      <c r="E55" s="2879"/>
      <c r="F55" s="2873">
        <v>200000</v>
      </c>
      <c r="G55" s="2874"/>
      <c r="H55" s="1090">
        <v>35000</v>
      </c>
      <c r="I55" s="1091">
        <v>35000</v>
      </c>
      <c r="J55" s="1091">
        <v>35000</v>
      </c>
      <c r="K55" s="1091">
        <v>35000</v>
      </c>
      <c r="L55" s="1091">
        <v>35000</v>
      </c>
      <c r="M55" s="1091">
        <v>39448</v>
      </c>
      <c r="N55" s="1091">
        <v>0</v>
      </c>
      <c r="O55" s="1091">
        <v>0</v>
      </c>
      <c r="P55" s="1091">
        <v>0</v>
      </c>
      <c r="Q55" s="1091">
        <v>0</v>
      </c>
      <c r="R55" s="1091">
        <v>0</v>
      </c>
      <c r="S55" s="1091">
        <v>0</v>
      </c>
      <c r="T55" s="1091">
        <v>0</v>
      </c>
      <c r="U55" s="1091">
        <v>0</v>
      </c>
      <c r="V55" s="1105">
        <v>0</v>
      </c>
      <c r="W55" s="1527"/>
      <c r="X55" s="400" t="s">
        <v>2160</v>
      </c>
      <c r="Z55" s="400">
        <v>0</v>
      </c>
      <c r="AA55" s="400">
        <v>0</v>
      </c>
      <c r="AB55" s="400">
        <v>0</v>
      </c>
      <c r="AC55" s="400">
        <v>0</v>
      </c>
      <c r="AD55" s="400">
        <v>0</v>
      </c>
      <c r="AE55" s="400">
        <v>0</v>
      </c>
      <c r="AF55" s="400">
        <v>40000</v>
      </c>
      <c r="AG55" s="400">
        <v>40000</v>
      </c>
      <c r="AH55" s="400">
        <v>40000</v>
      </c>
      <c r="AI55" s="400">
        <v>40000</v>
      </c>
      <c r="AJ55" s="400">
        <v>40000</v>
      </c>
      <c r="AK55" s="400">
        <v>40000</v>
      </c>
      <c r="AL55" s="400">
        <v>40000</v>
      </c>
      <c r="AM55" s="400">
        <v>35000</v>
      </c>
      <c r="AN55" s="400">
        <v>35000</v>
      </c>
      <c r="AO55" s="400">
        <v>35000</v>
      </c>
    </row>
    <row r="56" spans="2:46" x14ac:dyDescent="0.3">
      <c r="B56" s="729"/>
      <c r="C56" s="2900" t="s">
        <v>2047</v>
      </c>
      <c r="D56" s="2901"/>
      <c r="E56" s="2902"/>
      <c r="F56" s="2875">
        <v>674168</v>
      </c>
      <c r="G56" s="2876"/>
      <c r="H56" s="1093">
        <v>0</v>
      </c>
      <c r="I56" s="1094">
        <v>0</v>
      </c>
      <c r="J56" s="1094">
        <v>0</v>
      </c>
      <c r="K56" s="1094">
        <v>0</v>
      </c>
      <c r="L56" s="1094">
        <v>0</v>
      </c>
      <c r="M56" s="1094">
        <v>0</v>
      </c>
      <c r="N56" s="1094">
        <v>40000</v>
      </c>
      <c r="O56" s="1094">
        <v>40000</v>
      </c>
      <c r="P56" s="1094">
        <v>40000</v>
      </c>
      <c r="Q56" s="1094">
        <v>40000</v>
      </c>
      <c r="R56" s="1094">
        <v>40000</v>
      </c>
      <c r="S56" s="1094">
        <v>40000</v>
      </c>
      <c r="T56" s="1094">
        <v>35000</v>
      </c>
      <c r="U56" s="1094">
        <v>35000</v>
      </c>
      <c r="V56" s="1106">
        <v>35000</v>
      </c>
      <c r="W56" s="1527"/>
      <c r="X56" s="2459"/>
      <c r="Y56" s="2460"/>
      <c r="Z56" s="2463">
        <f t="shared" ref="Z56:AF56" si="14">Z54-Z55</f>
        <v>687651.36</v>
      </c>
      <c r="AA56" s="2463">
        <f t="shared" si="14"/>
        <v>701404.3872</v>
      </c>
      <c r="AB56" s="2463">
        <f t="shared" si="14"/>
        <v>715432.47494400002</v>
      </c>
      <c r="AC56" s="2463">
        <f t="shared" si="14"/>
        <v>729741.12444288004</v>
      </c>
      <c r="AD56" s="2463">
        <f t="shared" si="14"/>
        <v>744335.94693173771</v>
      </c>
      <c r="AE56" s="2464">
        <f t="shared" si="14"/>
        <v>759222.66587037244</v>
      </c>
      <c r="AF56" s="2461">
        <f t="shared" si="14"/>
        <v>734407.11918777996</v>
      </c>
      <c r="AG56" s="2461">
        <f t="shared" ref="AG56:AO56" si="15">AG54-AG55</f>
        <v>709095.26157153561</v>
      </c>
      <c r="AH56" s="2461">
        <f t="shared" si="15"/>
        <v>683277.16680296639</v>
      </c>
      <c r="AI56" s="2461">
        <f t="shared" si="15"/>
        <v>656942.7101390257</v>
      </c>
      <c r="AJ56" s="2461">
        <f t="shared" si="15"/>
        <v>630081.56434180622</v>
      </c>
      <c r="AK56" s="2461">
        <f t="shared" si="15"/>
        <v>602683.19562864234</v>
      </c>
      <c r="AL56" s="2461">
        <f t="shared" si="15"/>
        <v>574736.85954121524</v>
      </c>
      <c r="AM56" s="2461">
        <f t="shared" si="15"/>
        <v>551231.59673203959</v>
      </c>
      <c r="AN56" s="2461">
        <f t="shared" si="15"/>
        <v>527256.2286666804</v>
      </c>
      <c r="AO56" s="2461">
        <f t="shared" si="15"/>
        <v>502801.35324001405</v>
      </c>
      <c r="AP56" s="2461"/>
      <c r="AQ56" s="2461"/>
      <c r="AR56" s="2461"/>
      <c r="AS56" s="2461"/>
      <c r="AT56" s="2461"/>
    </row>
    <row r="57" spans="2:46" x14ac:dyDescent="0.3">
      <c r="B57" s="729"/>
      <c r="C57" s="2900" t="s">
        <v>413</v>
      </c>
      <c r="D57" s="2901"/>
      <c r="E57" s="2902"/>
      <c r="F57" s="2875">
        <v>0</v>
      </c>
      <c r="G57" s="2876"/>
      <c r="H57" s="1093">
        <v>0</v>
      </c>
      <c r="I57" s="1094">
        <v>0</v>
      </c>
      <c r="J57" s="1094">
        <v>0</v>
      </c>
      <c r="K57" s="1094">
        <v>0</v>
      </c>
      <c r="L57" s="1094">
        <v>0</v>
      </c>
      <c r="M57" s="1094">
        <v>0</v>
      </c>
      <c r="N57" s="1094">
        <v>0</v>
      </c>
      <c r="O57" s="1094">
        <v>0</v>
      </c>
      <c r="P57" s="1094">
        <v>0</v>
      </c>
      <c r="Q57" s="1094">
        <v>0</v>
      </c>
      <c r="R57" s="1094">
        <v>0</v>
      </c>
      <c r="S57" s="1094">
        <v>0</v>
      </c>
      <c r="T57" s="1094">
        <v>0</v>
      </c>
      <c r="U57" s="1094">
        <v>0</v>
      </c>
      <c r="V57" s="1106">
        <v>0</v>
      </c>
      <c r="W57" s="1527"/>
    </row>
    <row r="58" spans="2:46" ht="15" thickBot="1" x14ac:dyDescent="0.35">
      <c r="B58" s="729"/>
      <c r="C58" s="2867" t="s">
        <v>409</v>
      </c>
      <c r="D58" s="2868"/>
      <c r="E58" s="2869"/>
      <c r="F58" s="2863">
        <v>0</v>
      </c>
      <c r="G58" s="2864"/>
      <c r="H58" s="1107">
        <v>0</v>
      </c>
      <c r="I58" s="1108">
        <v>0</v>
      </c>
      <c r="J58" s="1108">
        <v>0</v>
      </c>
      <c r="K58" s="1108">
        <v>0</v>
      </c>
      <c r="L58" s="1108">
        <v>0</v>
      </c>
      <c r="M58" s="1108">
        <v>0</v>
      </c>
      <c r="N58" s="1108">
        <v>0</v>
      </c>
      <c r="O58" s="1108">
        <v>0</v>
      </c>
      <c r="P58" s="1108">
        <v>0</v>
      </c>
      <c r="Q58" s="1108">
        <v>0</v>
      </c>
      <c r="R58" s="1108">
        <v>0</v>
      </c>
      <c r="S58" s="1108">
        <v>0</v>
      </c>
      <c r="T58" s="1108">
        <v>0</v>
      </c>
      <c r="U58" s="1108">
        <v>0</v>
      </c>
      <c r="V58" s="1109">
        <v>0</v>
      </c>
      <c r="W58" s="1527"/>
    </row>
    <row r="59" spans="2:46" ht="15.6" thickTop="1" thickBot="1" x14ac:dyDescent="0.35">
      <c r="B59" s="729"/>
      <c r="C59" s="424"/>
      <c r="D59" s="424"/>
      <c r="E59" s="1145"/>
      <c r="F59" s="1145"/>
      <c r="G59" s="1144" t="s">
        <v>645</v>
      </c>
      <c r="H59" s="1110">
        <f>SUM(H55:H58)</f>
        <v>35000</v>
      </c>
      <c r="I59" s="1111">
        <f t="shared" ref="I59:N59" si="16">SUM(I55:I58)</f>
        <v>35000</v>
      </c>
      <c r="J59" s="1111">
        <f t="shared" si="16"/>
        <v>35000</v>
      </c>
      <c r="K59" s="1111">
        <f t="shared" si="16"/>
        <v>35000</v>
      </c>
      <c r="L59" s="1111">
        <f t="shared" si="16"/>
        <v>35000</v>
      </c>
      <c r="M59" s="1111">
        <f t="shared" si="16"/>
        <v>39448</v>
      </c>
      <c r="N59" s="1111">
        <f t="shared" si="16"/>
        <v>40000</v>
      </c>
      <c r="O59" s="1111">
        <f>SUM(O55:O58)</f>
        <v>40000</v>
      </c>
      <c r="P59" s="1111">
        <f t="shared" ref="P59:V59" si="17">SUM(P55:P58)</f>
        <v>40000</v>
      </c>
      <c r="Q59" s="1111">
        <f t="shared" si="17"/>
        <v>40000</v>
      </c>
      <c r="R59" s="1111">
        <f t="shared" si="17"/>
        <v>40000</v>
      </c>
      <c r="S59" s="1111">
        <f t="shared" si="17"/>
        <v>40000</v>
      </c>
      <c r="T59" s="1111">
        <f t="shared" si="17"/>
        <v>35000</v>
      </c>
      <c r="U59" s="1111">
        <f t="shared" si="17"/>
        <v>35000</v>
      </c>
      <c r="V59" s="1112">
        <f t="shared" si="17"/>
        <v>35000</v>
      </c>
      <c r="W59" s="1527"/>
    </row>
    <row r="60" spans="2:46" ht="7.5" customHeight="1" thickBot="1" x14ac:dyDescent="0.35">
      <c r="B60" s="729"/>
      <c r="C60" s="424"/>
      <c r="D60" s="424"/>
      <c r="E60" s="1146"/>
      <c r="F60" s="1146"/>
      <c r="G60" s="1012"/>
      <c r="H60" s="424"/>
      <c r="I60" s="424"/>
      <c r="J60" s="424"/>
      <c r="K60" s="424"/>
      <c r="L60" s="424"/>
      <c r="M60" s="424"/>
      <c r="N60" s="424"/>
      <c r="O60" s="424"/>
      <c r="P60" s="424"/>
      <c r="Q60" s="424"/>
      <c r="R60" s="424"/>
      <c r="S60" s="424"/>
      <c r="T60" s="424"/>
      <c r="U60" s="424"/>
      <c r="V60" s="424"/>
      <c r="W60" s="1527"/>
    </row>
    <row r="61" spans="2:46" x14ac:dyDescent="0.3">
      <c r="B61" s="729"/>
      <c r="C61" s="424"/>
      <c r="D61" s="424"/>
      <c r="E61" s="275"/>
      <c r="F61" s="275"/>
      <c r="G61" s="2134" t="s">
        <v>646</v>
      </c>
      <c r="H61" s="1119">
        <f>IFERROR(H43/(H50+H59),"0 ")</f>
        <v>1.01954510739051</v>
      </c>
      <c r="I61" s="1120">
        <f t="shared" ref="I61:V61" si="18">IFERROR(I43/(I50+I59),"0 ")</f>
        <v>1.0241699303913665</v>
      </c>
      <c r="J61" s="1120">
        <f t="shared" si="18"/>
        <v>1.0281642617162861</v>
      </c>
      <c r="K61" s="1120">
        <f t="shared" si="18"/>
        <v>1.0314855899811042</v>
      </c>
      <c r="L61" s="1120">
        <f t="shared" si="18"/>
        <v>1.0340893793922872</v>
      </c>
      <c r="M61" s="1120">
        <f t="shared" si="18"/>
        <v>1.0168400852150774</v>
      </c>
      <c r="N61" s="1120">
        <f t="shared" si="18"/>
        <v>1.0155254578626163</v>
      </c>
      <c r="O61" s="1120">
        <f t="shared" si="18"/>
        <v>1.01568451564621</v>
      </c>
      <c r="P61" s="1120">
        <f t="shared" si="18"/>
        <v>1.0149448552413054</v>
      </c>
      <c r="Q61" s="1120">
        <f t="shared" si="18"/>
        <v>1.0132516273058365</v>
      </c>
      <c r="R61" s="1120">
        <f t="shared" si="18"/>
        <v>1.0105474464326225</v>
      </c>
      <c r="S61" s="1120">
        <f t="shared" si="18"/>
        <v>1.0067722857193075</v>
      </c>
      <c r="T61" s="1120">
        <f t="shared" si="18"/>
        <v>1.0230051666988231</v>
      </c>
      <c r="U61" s="1120">
        <f t="shared" si="18"/>
        <v>1.0167679466919508</v>
      </c>
      <c r="V61" s="1121">
        <f t="shared" si="18"/>
        <v>1.0092359410338816</v>
      </c>
      <c r="W61" s="1527"/>
    </row>
    <row r="62" spans="2:46" ht="15" thickBot="1" x14ac:dyDescent="0.35">
      <c r="B62" s="729"/>
      <c r="C62" s="424"/>
      <c r="D62" s="424"/>
      <c r="E62" s="275"/>
      <c r="F62" s="292"/>
      <c r="G62" s="2134" t="s">
        <v>647</v>
      </c>
      <c r="H62" s="1113">
        <f t="shared" ref="H62:U62" si="19">H52-H59</f>
        <v>4630.9982000000309</v>
      </c>
      <c r="I62" s="1114">
        <f t="shared" si="19"/>
        <v>5726.7991369999945</v>
      </c>
      <c r="J62" s="1114">
        <f t="shared" si="19"/>
        <v>6673.2120067951037</v>
      </c>
      <c r="K62" s="1114">
        <f t="shared" si="19"/>
        <v>7460.1642045328626</v>
      </c>
      <c r="L62" s="1114">
        <f t="shared" si="19"/>
        <v>8077.1034638291458</v>
      </c>
      <c r="M62" s="1114">
        <f t="shared" si="19"/>
        <v>4064.9776498118881</v>
      </c>
      <c r="N62" s="1114">
        <f t="shared" si="19"/>
        <v>3756.2137498235097</v>
      </c>
      <c r="O62" s="1114">
        <f t="shared" si="19"/>
        <v>3794.6960309284041</v>
      </c>
      <c r="P62" s="1114">
        <f t="shared" si="19"/>
        <v>3615.7433322261786</v>
      </c>
      <c r="Q62" s="1114">
        <f t="shared" si="19"/>
        <v>3206.085458746762</v>
      </c>
      <c r="R62" s="1114">
        <f t="shared" si="19"/>
        <v>2551.8386424622731</v>
      </c>
      <c r="S62" s="1114">
        <f t="shared" si="19"/>
        <v>1638.4800346435513</v>
      </c>
      <c r="T62" s="1114">
        <f t="shared" si="19"/>
        <v>5450.8211924524512</v>
      </c>
      <c r="U62" s="1114">
        <f t="shared" si="19"/>
        <v>3972.9805212441133</v>
      </c>
      <c r="V62" s="1115">
        <f>V52-V59</f>
        <v>2188.3546326268697</v>
      </c>
      <c r="W62" s="1527"/>
    </row>
    <row r="63" spans="2:46" ht="9" customHeight="1" thickBot="1" x14ac:dyDescent="0.35">
      <c r="B63" s="741"/>
      <c r="C63" s="742"/>
      <c r="D63" s="743"/>
      <c r="E63" s="742"/>
      <c r="F63" s="742"/>
      <c r="G63" s="742"/>
      <c r="H63" s="742"/>
      <c r="I63" s="742"/>
      <c r="J63" s="742"/>
      <c r="K63" s="742"/>
      <c r="L63" s="742"/>
      <c r="M63" s="742"/>
      <c r="N63" s="742"/>
      <c r="O63" s="726"/>
      <c r="P63" s="1534"/>
      <c r="Q63" s="1535"/>
      <c r="R63" s="1535"/>
      <c r="S63" s="1535"/>
      <c r="T63" s="1535"/>
      <c r="U63" s="1535"/>
      <c r="V63" s="1535"/>
      <c r="W63" s="744"/>
    </row>
    <row r="64" spans="2:46" ht="9" customHeight="1" x14ac:dyDescent="0.3">
      <c r="B64" s="255"/>
      <c r="C64" s="727"/>
      <c r="D64" s="727"/>
      <c r="E64" s="727"/>
      <c r="F64" s="727"/>
      <c r="G64" s="727"/>
      <c r="H64" s="727"/>
      <c r="I64" s="727"/>
      <c r="J64" s="727"/>
      <c r="K64" s="727"/>
      <c r="L64" s="727"/>
      <c r="M64" s="727"/>
      <c r="N64" s="727"/>
      <c r="O64" s="727"/>
      <c r="P64" s="727"/>
      <c r="Q64" s="727"/>
      <c r="R64" s="727"/>
      <c r="S64" s="727"/>
      <c r="T64" s="727"/>
      <c r="U64" s="727"/>
      <c r="V64" s="727"/>
      <c r="W64" s="256"/>
    </row>
    <row r="65" spans="2:23" ht="18" x14ac:dyDescent="0.35">
      <c r="B65" s="257"/>
      <c r="C65" s="2127" t="s">
        <v>1836</v>
      </c>
      <c r="D65" s="2127"/>
      <c r="E65" s="2127"/>
      <c r="F65" s="2127"/>
      <c r="G65" s="2127"/>
      <c r="H65" s="2127"/>
      <c r="I65" s="2127"/>
      <c r="J65" s="2127"/>
      <c r="K65" s="2127"/>
      <c r="L65" s="2127"/>
      <c r="M65" s="2127"/>
      <c r="N65" s="697"/>
      <c r="O65" s="697"/>
      <c r="P65" s="697"/>
      <c r="Q65" s="697"/>
      <c r="R65" s="697"/>
      <c r="S65" s="697"/>
      <c r="T65" s="697"/>
      <c r="U65" s="697"/>
      <c r="V65" s="697"/>
      <c r="W65" s="259"/>
    </row>
    <row r="66" spans="2:23" ht="7.5" customHeight="1" x14ac:dyDescent="0.3">
      <c r="B66" s="257"/>
      <c r="C66" s="258"/>
      <c r="D66" s="258"/>
      <c r="E66" s="258"/>
      <c r="F66" s="258"/>
      <c r="G66" s="258"/>
      <c r="H66" s="258"/>
      <c r="I66" s="258"/>
      <c r="J66" s="258"/>
      <c r="K66" s="258"/>
      <c r="L66" s="258"/>
      <c r="M66" s="258"/>
      <c r="N66" s="258"/>
      <c r="O66" s="258"/>
      <c r="P66" s="258"/>
      <c r="Q66" s="258"/>
      <c r="R66" s="258"/>
      <c r="S66" s="258"/>
      <c r="T66" s="258"/>
      <c r="U66" s="258"/>
      <c r="V66" s="258"/>
      <c r="W66" s="259"/>
    </row>
    <row r="67" spans="2:23" ht="15" thickBot="1" x14ac:dyDescent="0.35">
      <c r="B67" s="257"/>
      <c r="C67" s="2126" t="str">
        <f>IF('1'!G5="","Enter Project Name on Form 1",(CONCATENATE("Project Name: ",'1'!G5)))</f>
        <v>Project Name: 6600 Roosevelt Way NE</v>
      </c>
      <c r="D67" s="1536"/>
      <c r="E67" s="1536"/>
      <c r="F67" s="1536"/>
      <c r="G67" s="1536"/>
      <c r="H67" s="1536"/>
      <c r="I67" s="1536"/>
      <c r="J67" s="1537"/>
      <c r="K67" s="347"/>
      <c r="L67" s="1147"/>
      <c r="M67" s="1147"/>
      <c r="N67" s="493"/>
      <c r="O67" s="493"/>
      <c r="P67" s="493"/>
      <c r="Q67" s="493"/>
      <c r="R67" s="493"/>
      <c r="S67" s="493"/>
      <c r="T67" s="493"/>
      <c r="U67" s="493"/>
      <c r="V67" s="493"/>
      <c r="W67" s="259"/>
    </row>
    <row r="68" spans="2:23" ht="3.75" customHeight="1" x14ac:dyDescent="0.3">
      <c r="B68" s="257"/>
      <c r="C68" s="493"/>
      <c r="D68" s="493"/>
      <c r="E68" s="493"/>
      <c r="F68" s="493"/>
      <c r="G68" s="493"/>
      <c r="H68" s="424"/>
      <c r="I68" s="424"/>
      <c r="J68" s="424"/>
      <c r="K68" s="424"/>
      <c r="L68" s="493"/>
      <c r="M68" s="493"/>
      <c r="N68" s="493"/>
      <c r="O68" s="493"/>
      <c r="P68" s="493"/>
      <c r="Q68" s="493"/>
      <c r="R68" s="493"/>
      <c r="S68" s="493"/>
      <c r="T68" s="493"/>
      <c r="U68" s="493"/>
      <c r="V68" s="493"/>
      <c r="W68" s="259"/>
    </row>
    <row r="69" spans="2:23" x14ac:dyDescent="0.3">
      <c r="B69" s="260"/>
      <c r="C69" s="493" t="s">
        <v>354</v>
      </c>
      <c r="D69" s="736">
        <f>IF(D20=0,"",D20)</f>
        <v>42987</v>
      </c>
      <c r="E69" s="258"/>
      <c r="F69" s="258"/>
      <c r="G69" s="258"/>
      <c r="H69" s="261"/>
      <c r="I69" s="261"/>
      <c r="J69" s="261"/>
      <c r="K69" s="261"/>
      <c r="L69" s="261"/>
      <c r="M69" s="262"/>
      <c r="N69" s="261"/>
      <c r="O69" s="261"/>
      <c r="P69" s="261"/>
      <c r="Q69" s="261"/>
      <c r="R69" s="261"/>
      <c r="S69" s="261"/>
      <c r="T69" s="261"/>
      <c r="U69" s="261"/>
      <c r="V69" s="261"/>
      <c r="W69" s="263"/>
    </row>
    <row r="70" spans="2:23" ht="7.5" customHeight="1" thickBot="1" x14ac:dyDescent="0.35">
      <c r="B70" s="729"/>
      <c r="C70" s="424"/>
      <c r="D70" s="424"/>
      <c r="E70" s="424"/>
      <c r="F70" s="424"/>
      <c r="G70" s="424"/>
      <c r="H70" s="424"/>
      <c r="I70" s="424"/>
      <c r="J70" s="424"/>
      <c r="K70" s="424"/>
      <c r="L70" s="424"/>
      <c r="M70" s="424"/>
      <c r="N70" s="424"/>
      <c r="O70" s="424"/>
      <c r="P70" s="424"/>
      <c r="Q70" s="424"/>
      <c r="R70" s="424"/>
      <c r="S70" s="424"/>
      <c r="T70" s="424"/>
      <c r="U70" s="424"/>
      <c r="V70" s="424"/>
      <c r="W70" s="737"/>
    </row>
    <row r="71" spans="2:23" ht="36.6" thickBot="1" x14ac:dyDescent="0.35">
      <c r="B71" s="260"/>
      <c r="C71" s="265" t="s">
        <v>374</v>
      </c>
      <c r="D71" s="258"/>
      <c r="E71" s="276"/>
      <c r="F71" s="738" t="s">
        <v>364</v>
      </c>
      <c r="G71" s="247" t="s">
        <v>375</v>
      </c>
      <c r="H71" s="241" t="s">
        <v>356</v>
      </c>
      <c r="I71" s="730" t="s">
        <v>357</v>
      </c>
      <c r="J71" s="730" t="s">
        <v>358</v>
      </c>
      <c r="K71" s="730" t="s">
        <v>359</v>
      </c>
      <c r="L71" s="730" t="s">
        <v>360</v>
      </c>
      <c r="M71" s="730" t="s">
        <v>361</v>
      </c>
      <c r="N71" s="730" t="s">
        <v>362</v>
      </c>
      <c r="O71" s="730" t="s">
        <v>414</v>
      </c>
      <c r="P71" s="730" t="s">
        <v>415</v>
      </c>
      <c r="Q71" s="730" t="s">
        <v>416</v>
      </c>
      <c r="R71" s="730" t="s">
        <v>417</v>
      </c>
      <c r="S71" s="730" t="s">
        <v>418</v>
      </c>
      <c r="T71" s="730" t="s">
        <v>419</v>
      </c>
      <c r="U71" s="730" t="s">
        <v>420</v>
      </c>
      <c r="V71" s="253" t="s">
        <v>421</v>
      </c>
      <c r="W71" s="1527"/>
    </row>
    <row r="72" spans="2:23" x14ac:dyDescent="0.3">
      <c r="B72" s="260"/>
      <c r="C72" s="277" t="s">
        <v>376</v>
      </c>
      <c r="D72" s="278"/>
      <c r="E72" s="784"/>
      <c r="F72" s="789">
        <v>3.5000000000000003E-2</v>
      </c>
      <c r="G72" s="1606">
        <f>IFERROR(H72/'2A'!$L$21,"")</f>
        <v>809.54223797468364</v>
      </c>
      <c r="H72" s="1981">
        <f>'8C - 9% Building'!L27</f>
        <v>63953.836800000005</v>
      </c>
      <c r="I72" s="1122">
        <f t="shared" ref="I72:V87" si="20">H72+(H72*$F72)</f>
        <v>66192.221088000006</v>
      </c>
      <c r="J72" s="1122">
        <f t="shared" si="20"/>
        <v>68508.948826080014</v>
      </c>
      <c r="K72" s="1122">
        <f t="shared" si="20"/>
        <v>70906.762034992818</v>
      </c>
      <c r="L72" s="1122">
        <f t="shared" si="20"/>
        <v>73388.498706217564</v>
      </c>
      <c r="M72" s="1122">
        <f t="shared" si="20"/>
        <v>75957.09616093518</v>
      </c>
      <c r="N72" s="1122">
        <f t="shared" si="20"/>
        <v>78615.594526567918</v>
      </c>
      <c r="O72" s="1122">
        <f t="shared" si="20"/>
        <v>81367.140334997792</v>
      </c>
      <c r="P72" s="1122">
        <f t="shared" si="20"/>
        <v>84214.990246722708</v>
      </c>
      <c r="Q72" s="1122">
        <f t="shared" si="20"/>
        <v>87162.514905357995</v>
      </c>
      <c r="R72" s="1122">
        <f t="shared" si="20"/>
        <v>90213.202927045524</v>
      </c>
      <c r="S72" s="1122">
        <f t="shared" si="20"/>
        <v>93370.665029492113</v>
      </c>
      <c r="T72" s="1122">
        <f t="shared" si="20"/>
        <v>96638.638305524335</v>
      </c>
      <c r="U72" s="1122">
        <f t="shared" si="20"/>
        <v>100020.99064621769</v>
      </c>
      <c r="V72" s="1123">
        <f t="shared" si="20"/>
        <v>103521.72531883531</v>
      </c>
      <c r="W72" s="1527"/>
    </row>
    <row r="73" spans="2:23" x14ac:dyDescent="0.3">
      <c r="B73" s="279"/>
      <c r="C73" s="280" t="s">
        <v>377</v>
      </c>
      <c r="D73" s="281"/>
      <c r="E73" s="785"/>
      <c r="F73" s="790">
        <v>2.5000000000000001E-2</v>
      </c>
      <c r="G73" s="1607">
        <f>IFERROR(H73/'2A'!$L$21,"")</f>
        <v>543.63291139240505</v>
      </c>
      <c r="H73" s="1982">
        <f>'8C - 9% Building'!L28</f>
        <v>42947</v>
      </c>
      <c r="I73" s="1125">
        <f t="shared" si="20"/>
        <v>44020.675000000003</v>
      </c>
      <c r="J73" s="1125">
        <f t="shared" si="20"/>
        <v>45121.191875000004</v>
      </c>
      <c r="K73" s="1125">
        <f t="shared" si="20"/>
        <v>46249.221671875006</v>
      </c>
      <c r="L73" s="1125">
        <f t="shared" si="20"/>
        <v>47405.452213671881</v>
      </c>
      <c r="M73" s="1125">
        <f t="shared" si="20"/>
        <v>48590.588519013676</v>
      </c>
      <c r="N73" s="1125">
        <f t="shared" si="20"/>
        <v>49805.353231989015</v>
      </c>
      <c r="O73" s="1125">
        <f t="shared" si="20"/>
        <v>51050.487062788743</v>
      </c>
      <c r="P73" s="1125">
        <f t="shared" si="20"/>
        <v>52326.749239358462</v>
      </c>
      <c r="Q73" s="1125">
        <f t="shared" si="20"/>
        <v>53634.917970342423</v>
      </c>
      <c r="R73" s="1125">
        <f t="shared" si="20"/>
        <v>54975.790919600986</v>
      </c>
      <c r="S73" s="1125">
        <f t="shared" si="20"/>
        <v>56350.185692591011</v>
      </c>
      <c r="T73" s="1125">
        <f t="shared" si="20"/>
        <v>57758.940334905783</v>
      </c>
      <c r="U73" s="1125">
        <f t="shared" si="20"/>
        <v>59202.913843278424</v>
      </c>
      <c r="V73" s="1126">
        <f t="shared" si="20"/>
        <v>60682.986689360383</v>
      </c>
      <c r="W73" s="1527"/>
    </row>
    <row r="74" spans="2:23" x14ac:dyDescent="0.3">
      <c r="B74" s="260"/>
      <c r="C74" s="280" t="s">
        <v>378</v>
      </c>
      <c r="D74" s="281"/>
      <c r="E74" s="785"/>
      <c r="F74" s="790">
        <v>3.5000000000000003E-2</v>
      </c>
      <c r="G74" s="1607">
        <f>IFERROR(H74/'2A'!$L$21,"")</f>
        <v>120.25316455696202</v>
      </c>
      <c r="H74" s="1124">
        <v>9500</v>
      </c>
      <c r="I74" s="1125">
        <f t="shared" si="20"/>
        <v>9832.5</v>
      </c>
      <c r="J74" s="1125">
        <f t="shared" si="20"/>
        <v>10176.637500000001</v>
      </c>
      <c r="K74" s="1125">
        <f t="shared" si="20"/>
        <v>10532.819812500002</v>
      </c>
      <c r="L74" s="1125">
        <f t="shared" si="20"/>
        <v>10901.468505937502</v>
      </c>
      <c r="M74" s="1125">
        <f t="shared" si="20"/>
        <v>11283.019903645316</v>
      </c>
      <c r="N74" s="1125">
        <f t="shared" si="20"/>
        <v>11677.925600272902</v>
      </c>
      <c r="O74" s="1125">
        <f t="shared" si="20"/>
        <v>12086.652996282453</v>
      </c>
      <c r="P74" s="1125">
        <f t="shared" si="20"/>
        <v>12509.685851152339</v>
      </c>
      <c r="Q74" s="1125">
        <f t="shared" si="20"/>
        <v>12947.524855942671</v>
      </c>
      <c r="R74" s="1125">
        <f t="shared" si="20"/>
        <v>13400.688225900665</v>
      </c>
      <c r="S74" s="1125">
        <f t="shared" si="20"/>
        <v>13869.712313807189</v>
      </c>
      <c r="T74" s="1125">
        <f t="shared" si="20"/>
        <v>14355.152244790441</v>
      </c>
      <c r="U74" s="1125">
        <f t="shared" si="20"/>
        <v>14857.582573358106</v>
      </c>
      <c r="V74" s="1126">
        <f t="shared" si="20"/>
        <v>15377.59796342564</v>
      </c>
      <c r="W74" s="1527"/>
    </row>
    <row r="75" spans="2:23" x14ac:dyDescent="0.3">
      <c r="B75" s="260"/>
      <c r="C75" s="280" t="s">
        <v>379</v>
      </c>
      <c r="D75" s="282"/>
      <c r="E75" s="785"/>
      <c r="F75" s="790">
        <v>3.5000000000000003E-2</v>
      </c>
      <c r="G75" s="1607">
        <f>IFERROR(H75/'2A'!$L$21,"")</f>
        <v>10.860759493670885</v>
      </c>
      <c r="H75" s="1124">
        <v>858</v>
      </c>
      <c r="I75" s="1125">
        <f t="shared" si="20"/>
        <v>888.03</v>
      </c>
      <c r="J75" s="1125">
        <f t="shared" si="20"/>
        <v>919.11104999999998</v>
      </c>
      <c r="K75" s="1125">
        <f>J75+(J75*$F75)</f>
        <v>951.27993674999993</v>
      </c>
      <c r="L75" s="1125">
        <f t="shared" si="20"/>
        <v>984.57473453624993</v>
      </c>
      <c r="M75" s="1125">
        <f t="shared" si="20"/>
        <v>1019.0348502450187</v>
      </c>
      <c r="N75" s="1125">
        <f t="shared" si="20"/>
        <v>1054.7010700035944</v>
      </c>
      <c r="O75" s="1125">
        <f t="shared" si="20"/>
        <v>1091.6156074537203</v>
      </c>
      <c r="P75" s="1125">
        <f t="shared" si="20"/>
        <v>1129.8221537146005</v>
      </c>
      <c r="Q75" s="1125">
        <f t="shared" si="20"/>
        <v>1169.3659290946116</v>
      </c>
      <c r="R75" s="1125">
        <f t="shared" si="20"/>
        <v>1210.2937366129231</v>
      </c>
      <c r="S75" s="1125">
        <f t="shared" si="20"/>
        <v>1252.6540173943754</v>
      </c>
      <c r="T75" s="1125">
        <f t="shared" si="20"/>
        <v>1296.4969080031785</v>
      </c>
      <c r="U75" s="1125">
        <f t="shared" si="20"/>
        <v>1341.8742997832899</v>
      </c>
      <c r="V75" s="1126">
        <f t="shared" si="20"/>
        <v>1388.8399002757051</v>
      </c>
      <c r="W75" s="1527"/>
    </row>
    <row r="76" spans="2:23" x14ac:dyDescent="0.3">
      <c r="B76" s="260"/>
      <c r="C76" s="280" t="s">
        <v>380</v>
      </c>
      <c r="D76" s="281"/>
      <c r="E76" s="785"/>
      <c r="F76" s="790">
        <v>3.5000000000000003E-2</v>
      </c>
      <c r="G76" s="1607">
        <f>IFERROR(H76/'2A'!$L$21,"")</f>
        <v>275</v>
      </c>
      <c r="H76" s="1124">
        <v>21725</v>
      </c>
      <c r="I76" s="1125">
        <f t="shared" si="20"/>
        <v>22485.375</v>
      </c>
      <c r="J76" s="1125">
        <f t="shared" si="20"/>
        <v>23272.363125</v>
      </c>
      <c r="K76" s="1125">
        <f t="shared" si="20"/>
        <v>24086.895834374998</v>
      </c>
      <c r="L76" s="1125">
        <f t="shared" si="20"/>
        <v>24929.937188578122</v>
      </c>
      <c r="M76" s="1125">
        <f t="shared" si="20"/>
        <v>25802.484990178356</v>
      </c>
      <c r="N76" s="1125">
        <f t="shared" si="20"/>
        <v>26705.571964834598</v>
      </c>
      <c r="O76" s="1125">
        <f t="shared" si="20"/>
        <v>27640.266983603811</v>
      </c>
      <c r="P76" s="1125">
        <f t="shared" si="20"/>
        <v>28607.676328029946</v>
      </c>
      <c r="Q76" s="1125">
        <f t="shared" si="20"/>
        <v>29608.944999510994</v>
      </c>
      <c r="R76" s="1125">
        <f t="shared" si="20"/>
        <v>30645.258074493879</v>
      </c>
      <c r="S76" s="1125">
        <f t="shared" si="20"/>
        <v>31717.842107101165</v>
      </c>
      <c r="T76" s="1125">
        <f t="shared" si="20"/>
        <v>32827.966580849708</v>
      </c>
      <c r="U76" s="1125">
        <f t="shared" si="20"/>
        <v>33976.945411179448</v>
      </c>
      <c r="V76" s="1126">
        <f t="shared" si="20"/>
        <v>35166.138500570727</v>
      </c>
      <c r="W76" s="1527"/>
    </row>
    <row r="77" spans="2:23" x14ac:dyDescent="0.3">
      <c r="B77" s="260"/>
      <c r="C77" s="280" t="s">
        <v>381</v>
      </c>
      <c r="D77" s="281"/>
      <c r="E77" s="785"/>
      <c r="F77" s="790">
        <v>3.5000000000000003E-2</v>
      </c>
      <c r="G77" s="1607">
        <f>IFERROR(H77/'2A'!$L$21,"")</f>
        <v>31.645569620253166</v>
      </c>
      <c r="H77" s="1124">
        <v>2500</v>
      </c>
      <c r="I77" s="1125">
        <f t="shared" si="20"/>
        <v>2587.5</v>
      </c>
      <c r="J77" s="1125">
        <f t="shared" si="20"/>
        <v>2678.0625</v>
      </c>
      <c r="K77" s="1125">
        <f t="shared" si="20"/>
        <v>2771.7946874999998</v>
      </c>
      <c r="L77" s="1125">
        <f t="shared" si="20"/>
        <v>2868.8075015625</v>
      </c>
      <c r="M77" s="1125">
        <f t="shared" si="20"/>
        <v>2969.2157641171875</v>
      </c>
      <c r="N77" s="1125">
        <f t="shared" si="20"/>
        <v>3073.1383158612889</v>
      </c>
      <c r="O77" s="1125">
        <f t="shared" si="20"/>
        <v>3180.6981569164341</v>
      </c>
      <c r="P77" s="1125">
        <f t="shared" si="20"/>
        <v>3292.0225924085094</v>
      </c>
      <c r="Q77" s="1125">
        <f t="shared" si="20"/>
        <v>3407.243383142807</v>
      </c>
      <c r="R77" s="1125">
        <f t="shared" si="20"/>
        <v>3526.4969015528054</v>
      </c>
      <c r="S77" s="1125">
        <f t="shared" si="20"/>
        <v>3649.9242931071535</v>
      </c>
      <c r="T77" s="1125">
        <f t="shared" si="20"/>
        <v>3777.6716433659039</v>
      </c>
      <c r="U77" s="1125">
        <f t="shared" si="20"/>
        <v>3909.8901508837107</v>
      </c>
      <c r="V77" s="1126">
        <f t="shared" si="20"/>
        <v>4046.7363061646406</v>
      </c>
      <c r="W77" s="1527"/>
    </row>
    <row r="78" spans="2:23" x14ac:dyDescent="0.3">
      <c r="B78" s="260"/>
      <c r="C78" s="280" t="s">
        <v>382</v>
      </c>
      <c r="D78" s="281"/>
      <c r="E78" s="785"/>
      <c r="F78" s="790">
        <v>3.5000000000000003E-2</v>
      </c>
      <c r="G78" s="1607">
        <f>IFERROR(H78/'2A'!$L$21,"")</f>
        <v>4.8987341772151902</v>
      </c>
      <c r="H78" s="1124">
        <v>387</v>
      </c>
      <c r="I78" s="1125">
        <f t="shared" si="20"/>
        <v>400.54500000000002</v>
      </c>
      <c r="J78" s="1125">
        <f t="shared" si="20"/>
        <v>414.564075</v>
      </c>
      <c r="K78" s="1125">
        <f t="shared" si="20"/>
        <v>429.073817625</v>
      </c>
      <c r="L78" s="1125">
        <f t="shared" si="20"/>
        <v>444.09140124187502</v>
      </c>
      <c r="M78" s="1125">
        <f t="shared" si="20"/>
        <v>459.63460028534064</v>
      </c>
      <c r="N78" s="1125">
        <f t="shared" si="20"/>
        <v>475.72181129532754</v>
      </c>
      <c r="O78" s="1125">
        <f t="shared" si="20"/>
        <v>492.37207469066402</v>
      </c>
      <c r="P78" s="1125">
        <f t="shared" si="20"/>
        <v>509.60509730483727</v>
      </c>
      <c r="Q78" s="1125">
        <f t="shared" si="20"/>
        <v>527.4412757105066</v>
      </c>
      <c r="R78" s="1125">
        <f t="shared" si="20"/>
        <v>545.90172036037438</v>
      </c>
      <c r="S78" s="1125">
        <f t="shared" si="20"/>
        <v>565.00828057298747</v>
      </c>
      <c r="T78" s="1125">
        <f t="shared" si="20"/>
        <v>584.78357039304206</v>
      </c>
      <c r="U78" s="1125">
        <f t="shared" si="20"/>
        <v>605.25099535679851</v>
      </c>
      <c r="V78" s="1126">
        <f t="shared" si="20"/>
        <v>626.43478019428642</v>
      </c>
      <c r="W78" s="1527"/>
    </row>
    <row r="79" spans="2:23" x14ac:dyDescent="0.3">
      <c r="B79" s="260"/>
      <c r="C79" s="280" t="s">
        <v>383</v>
      </c>
      <c r="D79" s="282"/>
      <c r="E79" s="785"/>
      <c r="F79" s="790">
        <v>3.5000000000000003E-2</v>
      </c>
      <c r="G79" s="1607">
        <f>IFERROR(H79/'2A'!$L$21,"")</f>
        <v>0</v>
      </c>
      <c r="H79" s="1124">
        <v>0</v>
      </c>
      <c r="I79" s="1125">
        <f t="shared" si="20"/>
        <v>0</v>
      </c>
      <c r="J79" s="1125">
        <f t="shared" si="20"/>
        <v>0</v>
      </c>
      <c r="K79" s="1125">
        <f t="shared" si="20"/>
        <v>0</v>
      </c>
      <c r="L79" s="1125">
        <f t="shared" si="20"/>
        <v>0</v>
      </c>
      <c r="M79" s="1125">
        <f t="shared" si="20"/>
        <v>0</v>
      </c>
      <c r="N79" s="1125">
        <f t="shared" si="20"/>
        <v>0</v>
      </c>
      <c r="O79" s="1125">
        <f t="shared" si="20"/>
        <v>0</v>
      </c>
      <c r="P79" s="1125">
        <f t="shared" si="20"/>
        <v>0</v>
      </c>
      <c r="Q79" s="1125">
        <f t="shared" si="20"/>
        <v>0</v>
      </c>
      <c r="R79" s="1125">
        <f t="shared" si="20"/>
        <v>0</v>
      </c>
      <c r="S79" s="1125">
        <f t="shared" si="20"/>
        <v>0</v>
      </c>
      <c r="T79" s="1125">
        <f t="shared" si="20"/>
        <v>0</v>
      </c>
      <c r="U79" s="1125">
        <f t="shared" si="20"/>
        <v>0</v>
      </c>
      <c r="V79" s="1126">
        <f t="shared" si="20"/>
        <v>0</v>
      </c>
      <c r="W79" s="1527"/>
    </row>
    <row r="80" spans="2:23" x14ac:dyDescent="0.3">
      <c r="B80" s="260"/>
      <c r="C80" s="280" t="s">
        <v>384</v>
      </c>
      <c r="D80" s="281"/>
      <c r="E80" s="785"/>
      <c r="F80" s="790">
        <v>3.5000000000000003E-2</v>
      </c>
      <c r="G80" s="1607">
        <f>IFERROR(H80/'2A'!$L$21,"")</f>
        <v>150</v>
      </c>
      <c r="H80" s="1124">
        <v>11850</v>
      </c>
      <c r="I80" s="1125">
        <f t="shared" si="20"/>
        <v>12264.75</v>
      </c>
      <c r="J80" s="1125">
        <f t="shared" si="20"/>
        <v>12694.016250000001</v>
      </c>
      <c r="K80" s="1125">
        <f t="shared" si="20"/>
        <v>13138.306818750001</v>
      </c>
      <c r="L80" s="1125">
        <f t="shared" si="20"/>
        <v>13598.147557406252</v>
      </c>
      <c r="M80" s="1125">
        <f t="shared" si="20"/>
        <v>14074.082721915471</v>
      </c>
      <c r="N80" s="1125">
        <f t="shared" si="20"/>
        <v>14566.675617182513</v>
      </c>
      <c r="O80" s="1125">
        <f t="shared" si="20"/>
        <v>15076.509263783901</v>
      </c>
      <c r="P80" s="1125">
        <f t="shared" si="20"/>
        <v>15604.187088016337</v>
      </c>
      <c r="Q80" s="1125">
        <f t="shared" si="20"/>
        <v>16150.333636096908</v>
      </c>
      <c r="R80" s="1125">
        <f t="shared" si="20"/>
        <v>16715.5953133603</v>
      </c>
      <c r="S80" s="1125">
        <f t="shared" si="20"/>
        <v>17300.641149327912</v>
      </c>
      <c r="T80" s="1125">
        <f t="shared" si="20"/>
        <v>17906.163589554388</v>
      </c>
      <c r="U80" s="1125">
        <f t="shared" si="20"/>
        <v>18532.879315188791</v>
      </c>
      <c r="V80" s="1126">
        <f t="shared" si="20"/>
        <v>19181.5300912204</v>
      </c>
      <c r="W80" s="1527"/>
    </row>
    <row r="81" spans="2:23" x14ac:dyDescent="0.3">
      <c r="B81" s="260"/>
      <c r="C81" s="280" t="s">
        <v>385</v>
      </c>
      <c r="D81" s="282"/>
      <c r="E81" s="785"/>
      <c r="F81" s="790">
        <v>3.5000000000000003E-2</v>
      </c>
      <c r="G81" s="1607">
        <f>IFERROR(H81/'2A'!$L$21,"")</f>
        <v>200</v>
      </c>
      <c r="H81" s="1124">
        <v>15800</v>
      </c>
      <c r="I81" s="1125">
        <f t="shared" si="20"/>
        <v>16353</v>
      </c>
      <c r="J81" s="1125">
        <f t="shared" si="20"/>
        <v>16925.355</v>
      </c>
      <c r="K81" s="1125">
        <f t="shared" si="20"/>
        <v>17517.742425</v>
      </c>
      <c r="L81" s="1125">
        <f t="shared" si="20"/>
        <v>18130.863409875001</v>
      </c>
      <c r="M81" s="1125">
        <f t="shared" si="20"/>
        <v>18765.443629220626</v>
      </c>
      <c r="N81" s="1125">
        <f t="shared" si="20"/>
        <v>19422.23415624335</v>
      </c>
      <c r="O81" s="1125">
        <f t="shared" si="20"/>
        <v>20102.012351711866</v>
      </c>
      <c r="P81" s="1125">
        <f t="shared" si="20"/>
        <v>20805.582784021783</v>
      </c>
      <c r="Q81" s="1125">
        <f t="shared" si="20"/>
        <v>21533.778181462545</v>
      </c>
      <c r="R81" s="1125">
        <f t="shared" si="20"/>
        <v>22287.460417813734</v>
      </c>
      <c r="S81" s="1125">
        <f t="shared" si="20"/>
        <v>23067.521532437215</v>
      </c>
      <c r="T81" s="1125">
        <f t="shared" si="20"/>
        <v>23874.884786072518</v>
      </c>
      <c r="U81" s="1125">
        <f t="shared" si="20"/>
        <v>24710.505753585057</v>
      </c>
      <c r="V81" s="1126">
        <f t="shared" si="20"/>
        <v>25575.373454960536</v>
      </c>
      <c r="W81" s="1527"/>
    </row>
    <row r="82" spans="2:23" x14ac:dyDescent="0.3">
      <c r="B82" s="260"/>
      <c r="C82" s="280" t="s">
        <v>386</v>
      </c>
      <c r="D82" s="281"/>
      <c r="E82" s="785"/>
      <c r="F82" s="790">
        <v>3.5000000000000003E-2</v>
      </c>
      <c r="G82" s="1607">
        <f>IFERROR(H82/'2A'!$L$21,"")</f>
        <v>150</v>
      </c>
      <c r="H82" s="1124">
        <v>11850</v>
      </c>
      <c r="I82" s="1125">
        <f t="shared" si="20"/>
        <v>12264.75</v>
      </c>
      <c r="J82" s="1125">
        <f t="shared" si="20"/>
        <v>12694.016250000001</v>
      </c>
      <c r="K82" s="1125">
        <f t="shared" si="20"/>
        <v>13138.306818750001</v>
      </c>
      <c r="L82" s="1125">
        <f t="shared" si="20"/>
        <v>13598.147557406252</v>
      </c>
      <c r="M82" s="1125">
        <f t="shared" si="20"/>
        <v>14074.082721915471</v>
      </c>
      <c r="N82" s="1125">
        <f t="shared" si="20"/>
        <v>14566.675617182513</v>
      </c>
      <c r="O82" s="1125">
        <f t="shared" si="20"/>
        <v>15076.509263783901</v>
      </c>
      <c r="P82" s="1125">
        <f t="shared" si="20"/>
        <v>15604.187088016337</v>
      </c>
      <c r="Q82" s="1125">
        <f t="shared" si="20"/>
        <v>16150.333636096908</v>
      </c>
      <c r="R82" s="1125">
        <f t="shared" si="20"/>
        <v>16715.5953133603</v>
      </c>
      <c r="S82" s="1125">
        <f t="shared" si="20"/>
        <v>17300.641149327912</v>
      </c>
      <c r="T82" s="1125">
        <f t="shared" si="20"/>
        <v>17906.163589554388</v>
      </c>
      <c r="U82" s="1125">
        <f t="shared" si="20"/>
        <v>18532.879315188791</v>
      </c>
      <c r="V82" s="1126">
        <f t="shared" si="20"/>
        <v>19181.5300912204</v>
      </c>
      <c r="W82" s="1527"/>
    </row>
    <row r="83" spans="2:23" x14ac:dyDescent="0.3">
      <c r="B83" s="260"/>
      <c r="C83" s="280" t="s">
        <v>387</v>
      </c>
      <c r="D83" s="282"/>
      <c r="E83" s="785"/>
      <c r="F83" s="790">
        <v>3.5000000000000003E-2</v>
      </c>
      <c r="G83" s="1607">
        <f>IFERROR(H83/'2A'!$L$21,"")</f>
        <v>75</v>
      </c>
      <c r="H83" s="1124">
        <v>5925</v>
      </c>
      <c r="I83" s="1125">
        <f t="shared" si="20"/>
        <v>6132.375</v>
      </c>
      <c r="J83" s="1125">
        <f t="shared" si="20"/>
        <v>6347.0081250000003</v>
      </c>
      <c r="K83" s="1125">
        <f t="shared" si="20"/>
        <v>6569.1534093750006</v>
      </c>
      <c r="L83" s="1125">
        <f t="shared" si="20"/>
        <v>6799.0737787031258</v>
      </c>
      <c r="M83" s="1125">
        <f t="shared" si="20"/>
        <v>7037.0413609577354</v>
      </c>
      <c r="N83" s="1125">
        <f t="shared" si="20"/>
        <v>7283.3378085912564</v>
      </c>
      <c r="O83" s="1125">
        <f t="shared" si="20"/>
        <v>7538.2546318919503</v>
      </c>
      <c r="P83" s="1125">
        <f t="shared" si="20"/>
        <v>7802.0935440081685</v>
      </c>
      <c r="Q83" s="1125">
        <f t="shared" si="20"/>
        <v>8075.1668180484539</v>
      </c>
      <c r="R83" s="1125">
        <f t="shared" si="20"/>
        <v>8357.7976566801499</v>
      </c>
      <c r="S83" s="1125">
        <f t="shared" si="20"/>
        <v>8650.320574663956</v>
      </c>
      <c r="T83" s="1125">
        <f t="shared" si="20"/>
        <v>8953.0817947771939</v>
      </c>
      <c r="U83" s="1125">
        <f t="shared" si="20"/>
        <v>9266.4396575943956</v>
      </c>
      <c r="V83" s="1126">
        <f t="shared" si="20"/>
        <v>9590.7650456102001</v>
      </c>
      <c r="W83" s="1527"/>
    </row>
    <row r="84" spans="2:23" x14ac:dyDescent="0.3">
      <c r="B84" s="260"/>
      <c r="C84" s="280" t="s">
        <v>388</v>
      </c>
      <c r="D84" s="282"/>
      <c r="E84" s="785"/>
      <c r="F84" s="790">
        <v>3.5000000000000003E-2</v>
      </c>
      <c r="G84" s="1607">
        <f>IFERROR(H84/'2A'!$L$21,"")</f>
        <v>100</v>
      </c>
      <c r="H84" s="1124">
        <v>7900</v>
      </c>
      <c r="I84" s="1125">
        <f t="shared" si="20"/>
        <v>8176.5</v>
      </c>
      <c r="J84" s="1125">
        <f t="shared" si="20"/>
        <v>8462.6774999999998</v>
      </c>
      <c r="K84" s="1125">
        <f t="shared" si="20"/>
        <v>8758.8712125000002</v>
      </c>
      <c r="L84" s="1125">
        <f t="shared" si="20"/>
        <v>9065.4317049375004</v>
      </c>
      <c r="M84" s="1125">
        <f t="shared" si="20"/>
        <v>9382.7218146103132</v>
      </c>
      <c r="N84" s="1125">
        <f t="shared" si="20"/>
        <v>9711.1170781216751</v>
      </c>
      <c r="O84" s="1125">
        <f t="shared" si="20"/>
        <v>10051.006175855933</v>
      </c>
      <c r="P84" s="1125">
        <f t="shared" si="20"/>
        <v>10402.791392010891</v>
      </c>
      <c r="Q84" s="1125">
        <f t="shared" si="20"/>
        <v>10766.889090731273</v>
      </c>
      <c r="R84" s="1125">
        <f t="shared" si="20"/>
        <v>11143.730208906867</v>
      </c>
      <c r="S84" s="1125">
        <f t="shared" si="20"/>
        <v>11533.760766218607</v>
      </c>
      <c r="T84" s="1125">
        <f t="shared" si="20"/>
        <v>11937.442393036259</v>
      </c>
      <c r="U84" s="1125">
        <f t="shared" si="20"/>
        <v>12355.252876792529</v>
      </c>
      <c r="V84" s="1126">
        <f t="shared" si="20"/>
        <v>12787.686727480268</v>
      </c>
      <c r="W84" s="1527"/>
    </row>
    <row r="85" spans="2:23" x14ac:dyDescent="0.3">
      <c r="B85" s="260"/>
      <c r="C85" s="280" t="s">
        <v>389</v>
      </c>
      <c r="D85" s="282"/>
      <c r="E85" s="785"/>
      <c r="F85" s="790">
        <v>3.5000000000000003E-2</v>
      </c>
      <c r="G85" s="1607">
        <f>IFERROR(H85/'2A'!$L$21,"")</f>
        <v>150</v>
      </c>
      <c r="H85" s="1124">
        <v>11850</v>
      </c>
      <c r="I85" s="1125">
        <f t="shared" si="20"/>
        <v>12264.75</v>
      </c>
      <c r="J85" s="1125">
        <f t="shared" si="20"/>
        <v>12694.016250000001</v>
      </c>
      <c r="K85" s="1125">
        <f t="shared" si="20"/>
        <v>13138.306818750001</v>
      </c>
      <c r="L85" s="1125">
        <f t="shared" si="20"/>
        <v>13598.147557406252</v>
      </c>
      <c r="M85" s="1125">
        <f t="shared" si="20"/>
        <v>14074.082721915471</v>
      </c>
      <c r="N85" s="1125">
        <f t="shared" si="20"/>
        <v>14566.675617182513</v>
      </c>
      <c r="O85" s="1125">
        <f t="shared" si="20"/>
        <v>15076.509263783901</v>
      </c>
      <c r="P85" s="1125">
        <f t="shared" si="20"/>
        <v>15604.187088016337</v>
      </c>
      <c r="Q85" s="1125">
        <f t="shared" si="20"/>
        <v>16150.333636096908</v>
      </c>
      <c r="R85" s="1125">
        <f t="shared" si="20"/>
        <v>16715.5953133603</v>
      </c>
      <c r="S85" s="1125">
        <f t="shared" si="20"/>
        <v>17300.641149327912</v>
      </c>
      <c r="T85" s="1125">
        <f t="shared" si="20"/>
        <v>17906.163589554388</v>
      </c>
      <c r="U85" s="1125">
        <f t="shared" si="20"/>
        <v>18532.879315188791</v>
      </c>
      <c r="V85" s="1126">
        <f t="shared" si="20"/>
        <v>19181.5300912204</v>
      </c>
      <c r="W85" s="1527"/>
    </row>
    <row r="86" spans="2:23" x14ac:dyDescent="0.3">
      <c r="B86" s="260"/>
      <c r="C86" s="280" t="s">
        <v>390</v>
      </c>
      <c r="D86" s="282"/>
      <c r="E86" s="785"/>
      <c r="F86" s="790">
        <v>3.5000000000000003E-2</v>
      </c>
      <c r="G86" s="1607">
        <f>IFERROR(H86/'2A'!$L$21,"")</f>
        <v>125</v>
      </c>
      <c r="H86" s="1124">
        <v>9875</v>
      </c>
      <c r="I86" s="1125">
        <f t="shared" si="20"/>
        <v>10220.625</v>
      </c>
      <c r="J86" s="1125">
        <f t="shared" si="20"/>
        <v>10578.346874999999</v>
      </c>
      <c r="K86" s="1125">
        <f t="shared" si="20"/>
        <v>10948.589015624999</v>
      </c>
      <c r="L86" s="1125">
        <f t="shared" si="20"/>
        <v>11331.789631171874</v>
      </c>
      <c r="M86" s="1125">
        <f t="shared" si="20"/>
        <v>11728.402268262889</v>
      </c>
      <c r="N86" s="1125">
        <f t="shared" si="20"/>
        <v>12138.896347652091</v>
      </c>
      <c r="O86" s="1125">
        <f t="shared" si="20"/>
        <v>12563.757719819914</v>
      </c>
      <c r="P86" s="1125">
        <f t="shared" si="20"/>
        <v>13003.48924001361</v>
      </c>
      <c r="Q86" s="1125">
        <f t="shared" si="20"/>
        <v>13458.611363414087</v>
      </c>
      <c r="R86" s="1125">
        <f t="shared" si="20"/>
        <v>13929.662761133581</v>
      </c>
      <c r="S86" s="1125">
        <f t="shared" si="20"/>
        <v>14417.200957773257</v>
      </c>
      <c r="T86" s="1125">
        <f t="shared" si="20"/>
        <v>14921.802991295321</v>
      </c>
      <c r="U86" s="1125">
        <f t="shared" si="20"/>
        <v>15444.066095990656</v>
      </c>
      <c r="V86" s="1126">
        <f t="shared" si="20"/>
        <v>15984.608409350329</v>
      </c>
      <c r="W86" s="1527"/>
    </row>
    <row r="87" spans="2:23" x14ac:dyDescent="0.3">
      <c r="B87" s="260"/>
      <c r="C87" s="280" t="s">
        <v>391</v>
      </c>
      <c r="D87" s="281"/>
      <c r="E87" s="785"/>
      <c r="F87" s="790">
        <v>0.04</v>
      </c>
      <c r="G87" s="1607">
        <f>IFERROR(H87/'2A'!$L$21,"")</f>
        <v>635</v>
      </c>
      <c r="H87" s="1124">
        <v>50165</v>
      </c>
      <c r="I87" s="1125">
        <f t="shared" si="20"/>
        <v>52171.6</v>
      </c>
      <c r="J87" s="1125">
        <f t="shared" si="20"/>
        <v>54258.464</v>
      </c>
      <c r="K87" s="1125">
        <f t="shared" si="20"/>
        <v>56428.802559999996</v>
      </c>
      <c r="L87" s="1125">
        <f t="shared" si="20"/>
        <v>58685.9546624</v>
      </c>
      <c r="M87" s="1125">
        <f t="shared" si="20"/>
        <v>61033.392848896001</v>
      </c>
      <c r="N87" s="1125">
        <f t="shared" si="20"/>
        <v>63474.728562851844</v>
      </c>
      <c r="O87" s="1125">
        <f t="shared" si="20"/>
        <v>66013.717705365911</v>
      </c>
      <c r="P87" s="1125">
        <f t="shared" si="20"/>
        <v>68654.266413580553</v>
      </c>
      <c r="Q87" s="1125">
        <f t="shared" si="20"/>
        <v>71400.437070123779</v>
      </c>
      <c r="R87" s="1125">
        <f t="shared" si="20"/>
        <v>74256.454552928728</v>
      </c>
      <c r="S87" s="1125">
        <f t="shared" si="20"/>
        <v>77226.712735045876</v>
      </c>
      <c r="T87" s="1125">
        <f t="shared" si="20"/>
        <v>80315.781244447717</v>
      </c>
      <c r="U87" s="1125">
        <f t="shared" si="20"/>
        <v>83528.412494225631</v>
      </c>
      <c r="V87" s="1126">
        <f t="shared" si="20"/>
        <v>86869.548993994656</v>
      </c>
      <c r="W87" s="1527"/>
    </row>
    <row r="88" spans="2:23" x14ac:dyDescent="0.3">
      <c r="B88" s="260"/>
      <c r="C88" s="280" t="s">
        <v>392</v>
      </c>
      <c r="D88" s="281"/>
      <c r="E88" s="785"/>
      <c r="F88" s="790">
        <v>3.5000000000000003E-2</v>
      </c>
      <c r="G88" s="1607">
        <f>IFERROR(H88/'2A'!$L$21,"")</f>
        <v>140</v>
      </c>
      <c r="H88" s="1124">
        <v>11060</v>
      </c>
      <c r="I88" s="1125">
        <f t="shared" ref="I88:V92" si="21">H88+(H88*$F88)</f>
        <v>11447.1</v>
      </c>
      <c r="J88" s="1125">
        <f t="shared" si="21"/>
        <v>11847.7485</v>
      </c>
      <c r="K88" s="1125">
        <f t="shared" si="21"/>
        <v>12262.4196975</v>
      </c>
      <c r="L88" s="1125">
        <f t="shared" si="21"/>
        <v>12691.604386912499</v>
      </c>
      <c r="M88" s="1125">
        <f t="shared" si="21"/>
        <v>13135.810540454437</v>
      </c>
      <c r="N88" s="1125">
        <f t="shared" si="21"/>
        <v>13595.563909370341</v>
      </c>
      <c r="O88" s="1125">
        <f t="shared" si="21"/>
        <v>14071.408646198302</v>
      </c>
      <c r="P88" s="1125">
        <f t="shared" si="21"/>
        <v>14563.907948815244</v>
      </c>
      <c r="Q88" s="1125">
        <f t="shared" si="21"/>
        <v>15073.644727023777</v>
      </c>
      <c r="R88" s="1125">
        <f t="shared" si="21"/>
        <v>15601.222292469609</v>
      </c>
      <c r="S88" s="1125">
        <f t="shared" si="21"/>
        <v>16147.265072706045</v>
      </c>
      <c r="T88" s="1125">
        <f t="shared" si="21"/>
        <v>16712.419350250755</v>
      </c>
      <c r="U88" s="1125">
        <f t="shared" si="21"/>
        <v>17297.354027509533</v>
      </c>
      <c r="V88" s="1126">
        <f t="shared" si="21"/>
        <v>17902.761418472368</v>
      </c>
      <c r="W88" s="1527"/>
    </row>
    <row r="89" spans="2:23" x14ac:dyDescent="0.3">
      <c r="B89" s="283"/>
      <c r="C89" s="280" t="s">
        <v>393</v>
      </c>
      <c r="D89" s="281"/>
      <c r="E89" s="785"/>
      <c r="F89" s="790">
        <v>3.5000000000000003E-2</v>
      </c>
      <c r="G89" s="1607">
        <f>IFERROR(H89/'2A'!$L$21,"")</f>
        <v>80</v>
      </c>
      <c r="H89" s="1124">
        <v>6320</v>
      </c>
      <c r="I89" s="1125">
        <f t="shared" si="21"/>
        <v>6541.2</v>
      </c>
      <c r="J89" s="1125">
        <f t="shared" si="21"/>
        <v>6770.1419999999998</v>
      </c>
      <c r="K89" s="1125">
        <f t="shared" si="21"/>
        <v>7007.0969699999996</v>
      </c>
      <c r="L89" s="1125">
        <f t="shared" si="21"/>
        <v>7252.3453639499994</v>
      </c>
      <c r="M89" s="1125">
        <f t="shared" si="21"/>
        <v>7506.1774516882497</v>
      </c>
      <c r="N89" s="1125">
        <f t="shared" si="21"/>
        <v>7768.8936624973385</v>
      </c>
      <c r="O89" s="1125">
        <f t="shared" si="21"/>
        <v>8040.8049406847458</v>
      </c>
      <c r="P89" s="1125">
        <f t="shared" si="21"/>
        <v>8322.2331136087123</v>
      </c>
      <c r="Q89" s="1125">
        <f t="shared" si="21"/>
        <v>8613.5112725850177</v>
      </c>
      <c r="R89" s="1125">
        <f t="shared" si="21"/>
        <v>8914.9841671254926</v>
      </c>
      <c r="S89" s="1125">
        <f t="shared" si="21"/>
        <v>9227.0086129748852</v>
      </c>
      <c r="T89" s="1125">
        <f t="shared" si="21"/>
        <v>9549.9539144290065</v>
      </c>
      <c r="U89" s="1125">
        <f t="shared" si="21"/>
        <v>9884.2023014340211</v>
      </c>
      <c r="V89" s="1126">
        <f t="shared" si="21"/>
        <v>10230.149381984213</v>
      </c>
      <c r="W89" s="1527"/>
    </row>
    <row r="90" spans="2:23" x14ac:dyDescent="0.3">
      <c r="B90" s="260"/>
      <c r="C90" s="280" t="s">
        <v>394</v>
      </c>
      <c r="D90" s="282"/>
      <c r="E90" s="785"/>
      <c r="F90" s="790">
        <v>3.5000000000000003E-2</v>
      </c>
      <c r="G90" s="1607">
        <f>IFERROR(H90/'2A'!$L$21,"")</f>
        <v>125</v>
      </c>
      <c r="H90" s="1124">
        <v>9875</v>
      </c>
      <c r="I90" s="1125">
        <f t="shared" si="21"/>
        <v>10220.625</v>
      </c>
      <c r="J90" s="1125">
        <f t="shared" si="21"/>
        <v>10578.346874999999</v>
      </c>
      <c r="K90" s="1125">
        <f t="shared" si="21"/>
        <v>10948.589015624999</v>
      </c>
      <c r="L90" s="1125">
        <f t="shared" si="21"/>
        <v>11331.789631171874</v>
      </c>
      <c r="M90" s="1125">
        <f t="shared" si="21"/>
        <v>11728.402268262889</v>
      </c>
      <c r="N90" s="1125">
        <f t="shared" si="21"/>
        <v>12138.896347652091</v>
      </c>
      <c r="O90" s="1125">
        <f t="shared" si="21"/>
        <v>12563.757719819914</v>
      </c>
      <c r="P90" s="1125">
        <f t="shared" si="21"/>
        <v>13003.48924001361</v>
      </c>
      <c r="Q90" s="1125">
        <f t="shared" si="21"/>
        <v>13458.611363414087</v>
      </c>
      <c r="R90" s="1125">
        <f t="shared" si="21"/>
        <v>13929.662761133581</v>
      </c>
      <c r="S90" s="1125">
        <f t="shared" si="21"/>
        <v>14417.200957773257</v>
      </c>
      <c r="T90" s="1125">
        <f t="shared" si="21"/>
        <v>14921.802991295321</v>
      </c>
      <c r="U90" s="1125">
        <f t="shared" si="21"/>
        <v>15444.066095990656</v>
      </c>
      <c r="V90" s="1126">
        <f t="shared" si="21"/>
        <v>15984.608409350329</v>
      </c>
      <c r="W90" s="1527"/>
    </row>
    <row r="91" spans="2:23" x14ac:dyDescent="0.3">
      <c r="B91" s="260"/>
      <c r="C91" s="280" t="s">
        <v>395</v>
      </c>
      <c r="D91" s="282"/>
      <c r="E91" s="785"/>
      <c r="F91" s="790">
        <v>3.5000000000000003E-2</v>
      </c>
      <c r="G91" s="1607">
        <f>IFERROR(H91/'2A'!$L$21,"")</f>
        <v>18.367088607594937</v>
      </c>
      <c r="H91" s="1124">
        <v>1451</v>
      </c>
      <c r="I91" s="1125">
        <f t="shared" si="21"/>
        <v>1501.7850000000001</v>
      </c>
      <c r="J91" s="1125">
        <f t="shared" si="21"/>
        <v>1554.347475</v>
      </c>
      <c r="K91" s="1125">
        <f t="shared" si="21"/>
        <v>1608.749636625</v>
      </c>
      <c r="L91" s="1125">
        <f t="shared" si="21"/>
        <v>1665.0558739068749</v>
      </c>
      <c r="M91" s="1125">
        <f t="shared" si="21"/>
        <v>1723.3328294936155</v>
      </c>
      <c r="N91" s="1125">
        <f t="shared" si="21"/>
        <v>1783.6494785258919</v>
      </c>
      <c r="O91" s="1125">
        <f t="shared" si="21"/>
        <v>1846.0772102742981</v>
      </c>
      <c r="P91" s="1125">
        <f t="shared" si="21"/>
        <v>1910.6899126338985</v>
      </c>
      <c r="Q91" s="1125">
        <f t="shared" si="21"/>
        <v>1977.5640595760849</v>
      </c>
      <c r="R91" s="1125">
        <f t="shared" si="21"/>
        <v>2046.7788016612478</v>
      </c>
      <c r="S91" s="1125">
        <f t="shared" si="21"/>
        <v>2118.4160597193913</v>
      </c>
      <c r="T91" s="1125">
        <f t="shared" si="21"/>
        <v>2192.56062180957</v>
      </c>
      <c r="U91" s="1125">
        <f t="shared" si="21"/>
        <v>2269.3002435729049</v>
      </c>
      <c r="V91" s="1126">
        <f t="shared" si="21"/>
        <v>2348.7257520979565</v>
      </c>
      <c r="W91" s="1527"/>
    </row>
    <row r="92" spans="2:23" ht="15" thickBot="1" x14ac:dyDescent="0.35">
      <c r="B92" s="260"/>
      <c r="C92" s="284" t="s">
        <v>226</v>
      </c>
      <c r="D92" s="285"/>
      <c r="E92" s="785"/>
      <c r="F92" s="791">
        <v>3.5000000000000003E-2</v>
      </c>
      <c r="G92" s="1608">
        <f>IFERROR(H92/'2A'!$L$21,"")</f>
        <v>601.22784810126586</v>
      </c>
      <c r="H92" s="1127">
        <f>9875+44757+2765-6000-3900</f>
        <v>47497</v>
      </c>
      <c r="I92" s="1128">
        <f t="shared" si="21"/>
        <v>49159.394999999997</v>
      </c>
      <c r="J92" s="1128">
        <f t="shared" si="21"/>
        <v>50879.973824999994</v>
      </c>
      <c r="K92" s="1128">
        <f t="shared" si="21"/>
        <v>52660.772908874991</v>
      </c>
      <c r="L92" s="1128">
        <f t="shared" si="21"/>
        <v>54503.899960685616</v>
      </c>
      <c r="M92" s="1128">
        <f t="shared" si="21"/>
        <v>56411.536459309609</v>
      </c>
      <c r="N92" s="1128">
        <f t="shared" si="21"/>
        <v>58385.940235385446</v>
      </c>
      <c r="O92" s="1128">
        <f t="shared" si="21"/>
        <v>60429.448143623937</v>
      </c>
      <c r="P92" s="1128">
        <f t="shared" si="21"/>
        <v>62544.478828650776</v>
      </c>
      <c r="Q92" s="1128">
        <f t="shared" si="21"/>
        <v>64733.535587653554</v>
      </c>
      <c r="R92" s="1128">
        <f t="shared" si="21"/>
        <v>66999.209333221428</v>
      </c>
      <c r="S92" s="1128">
        <f t="shared" si="21"/>
        <v>69344.181659884183</v>
      </c>
      <c r="T92" s="1128">
        <f t="shared" si="21"/>
        <v>71771.228017980131</v>
      </c>
      <c r="U92" s="1128">
        <f t="shared" si="21"/>
        <v>74283.220998609439</v>
      </c>
      <c r="V92" s="1129">
        <f t="shared" si="21"/>
        <v>76883.133733560768</v>
      </c>
      <c r="W92" s="1527"/>
    </row>
    <row r="93" spans="2:23" ht="15" thickBot="1" x14ac:dyDescent="0.35">
      <c r="B93" s="260"/>
      <c r="C93" s="251" t="s">
        <v>396</v>
      </c>
      <c r="D93" s="267"/>
      <c r="E93" s="268"/>
      <c r="F93" s="268"/>
      <c r="G93" s="1609">
        <f>IFERROR(H93/'2A'!$L$21,"")</f>
        <v>4345.4283139240506</v>
      </c>
      <c r="H93" s="1069">
        <f>SUM(H72:H92)</f>
        <v>343288.83679999999</v>
      </c>
      <c r="I93" s="1070">
        <f t="shared" ref="I93:V93" si="22">SUM(I72:I92)</f>
        <v>355125.30108800001</v>
      </c>
      <c r="J93" s="1070">
        <f t="shared" si="22"/>
        <v>367375.33787607995</v>
      </c>
      <c r="K93" s="1070">
        <f t="shared" si="22"/>
        <v>380053.5551029928</v>
      </c>
      <c r="L93" s="1070">
        <f t="shared" si="22"/>
        <v>393175.08132767881</v>
      </c>
      <c r="M93" s="1070">
        <f t="shared" si="22"/>
        <v>406755.58442532294</v>
      </c>
      <c r="N93" s="1070">
        <f t="shared" si="22"/>
        <v>420811.29095926351</v>
      </c>
      <c r="O93" s="1070">
        <f t="shared" si="22"/>
        <v>435359.00625333202</v>
      </c>
      <c r="P93" s="1070">
        <f t="shared" si="22"/>
        <v>450416.13519009767</v>
      </c>
      <c r="Q93" s="1070">
        <f t="shared" si="22"/>
        <v>466000.70376142545</v>
      </c>
      <c r="R93" s="1070">
        <f t="shared" si="22"/>
        <v>482131.38139872241</v>
      </c>
      <c r="S93" s="1070">
        <f t="shared" si="22"/>
        <v>498827.50411124638</v>
      </c>
      <c r="T93" s="1070">
        <f t="shared" si="22"/>
        <v>516109.0984618892</v>
      </c>
      <c r="U93" s="1070">
        <f t="shared" si="22"/>
        <v>533996.90641092858</v>
      </c>
      <c r="V93" s="1071">
        <f t="shared" si="22"/>
        <v>552512.41105934954</v>
      </c>
      <c r="W93" s="1527"/>
    </row>
    <row r="94" spans="2:23" ht="15" thickBot="1" x14ac:dyDescent="0.35">
      <c r="B94" s="260"/>
      <c r="C94" s="251"/>
      <c r="D94" s="267"/>
      <c r="E94" s="276"/>
      <c r="F94" s="738" t="s">
        <v>364</v>
      </c>
      <c r="G94" s="258"/>
      <c r="H94" s="248"/>
      <c r="I94" s="249"/>
      <c r="J94" s="249"/>
      <c r="K94" s="249"/>
      <c r="L94" s="249"/>
      <c r="M94" s="249"/>
      <c r="N94" s="249"/>
      <c r="O94" s="249"/>
      <c r="P94" s="249"/>
      <c r="Q94" s="249"/>
      <c r="R94" s="249"/>
      <c r="S94" s="249"/>
      <c r="T94" s="249"/>
      <c r="U94" s="249"/>
      <c r="V94" s="250"/>
      <c r="W94" s="1527"/>
    </row>
    <row r="95" spans="2:23" x14ac:dyDescent="0.3">
      <c r="B95" s="279"/>
      <c r="C95" s="286" t="s">
        <v>397</v>
      </c>
      <c r="D95" s="287"/>
      <c r="E95" s="786"/>
      <c r="F95" s="789">
        <v>3.5000000000000003E-2</v>
      </c>
      <c r="G95" s="1606">
        <f>IFERROR(H95/'2A'!$L$21,"")</f>
        <v>350</v>
      </c>
      <c r="H95" s="1130">
        <v>27650</v>
      </c>
      <c r="I95" s="1131">
        <f t="shared" ref="I95:V96" si="23">H95+(H95*$F95)</f>
        <v>28617.75</v>
      </c>
      <c r="J95" s="1131">
        <f t="shared" si="23"/>
        <v>29619.37125</v>
      </c>
      <c r="K95" s="1131">
        <f t="shared" si="23"/>
        <v>30656.04924375</v>
      </c>
      <c r="L95" s="1131">
        <f t="shared" si="23"/>
        <v>31729.01096728125</v>
      </c>
      <c r="M95" s="1131">
        <f t="shared" si="23"/>
        <v>32839.526351136097</v>
      </c>
      <c r="N95" s="1131">
        <f t="shared" si="23"/>
        <v>33988.909773425861</v>
      </c>
      <c r="O95" s="1131">
        <f t="shared" si="23"/>
        <v>35178.521615495767</v>
      </c>
      <c r="P95" s="1131">
        <f t="shared" si="23"/>
        <v>36409.769872038116</v>
      </c>
      <c r="Q95" s="1131">
        <f t="shared" si="23"/>
        <v>37684.111817559453</v>
      </c>
      <c r="R95" s="1131">
        <f t="shared" si="23"/>
        <v>39003.055731174034</v>
      </c>
      <c r="S95" s="1131">
        <f t="shared" si="23"/>
        <v>40368.162681765127</v>
      </c>
      <c r="T95" s="1131">
        <f t="shared" si="23"/>
        <v>41781.04837562691</v>
      </c>
      <c r="U95" s="1131">
        <f t="shared" si="23"/>
        <v>43243.385068773852</v>
      </c>
      <c r="V95" s="1132">
        <f t="shared" si="23"/>
        <v>44756.90354618094</v>
      </c>
      <c r="W95" s="1527"/>
    </row>
    <row r="96" spans="2:23" ht="15" thickBot="1" x14ac:dyDescent="0.35">
      <c r="B96" s="279"/>
      <c r="C96" s="288" t="s">
        <v>398</v>
      </c>
      <c r="D96" s="285"/>
      <c r="E96" s="785"/>
      <c r="F96" s="791">
        <v>3.5000000000000003E-2</v>
      </c>
      <c r="G96" s="1608">
        <f>IFERROR(H96/'2A'!$L$21,"")</f>
        <v>0</v>
      </c>
      <c r="H96" s="1133">
        <v>0</v>
      </c>
      <c r="I96" s="1128">
        <f t="shared" si="23"/>
        <v>0</v>
      </c>
      <c r="J96" s="1128">
        <f t="shared" si="23"/>
        <v>0</v>
      </c>
      <c r="K96" s="1128">
        <f t="shared" si="23"/>
        <v>0</v>
      </c>
      <c r="L96" s="1128">
        <f t="shared" si="23"/>
        <v>0</v>
      </c>
      <c r="M96" s="1128">
        <f t="shared" si="23"/>
        <v>0</v>
      </c>
      <c r="N96" s="1128">
        <f t="shared" si="23"/>
        <v>0</v>
      </c>
      <c r="O96" s="1128">
        <f t="shared" si="23"/>
        <v>0</v>
      </c>
      <c r="P96" s="1128">
        <f t="shared" si="23"/>
        <v>0</v>
      </c>
      <c r="Q96" s="1128">
        <f t="shared" si="23"/>
        <v>0</v>
      </c>
      <c r="R96" s="1128">
        <f t="shared" si="23"/>
        <v>0</v>
      </c>
      <c r="S96" s="1128">
        <f t="shared" si="23"/>
        <v>0</v>
      </c>
      <c r="T96" s="1128">
        <f t="shared" si="23"/>
        <v>0</v>
      </c>
      <c r="U96" s="1128">
        <f t="shared" si="23"/>
        <v>0</v>
      </c>
      <c r="V96" s="1129">
        <f t="shared" si="23"/>
        <v>0</v>
      </c>
      <c r="W96" s="1527"/>
    </row>
    <row r="97" spans="2:23" x14ac:dyDescent="0.3">
      <c r="B97" s="279"/>
      <c r="C97" s="251" t="s">
        <v>399</v>
      </c>
      <c r="D97" s="267"/>
      <c r="E97" s="267"/>
      <c r="F97" s="267"/>
      <c r="G97" s="289" t="str">
        <f>IFERROR(H97/#REF!,"")</f>
        <v/>
      </c>
      <c r="H97" s="1069">
        <f>SUM(H95:H96)</f>
        <v>27650</v>
      </c>
      <c r="I97" s="1070">
        <f t="shared" ref="I97:V97" si="24">SUM(I95:I96)</f>
        <v>28617.75</v>
      </c>
      <c r="J97" s="1070">
        <f t="shared" si="24"/>
        <v>29619.37125</v>
      </c>
      <c r="K97" s="1070">
        <f t="shared" si="24"/>
        <v>30656.04924375</v>
      </c>
      <c r="L97" s="1070">
        <f t="shared" si="24"/>
        <v>31729.01096728125</v>
      </c>
      <c r="M97" s="1070">
        <f t="shared" si="24"/>
        <v>32839.526351136097</v>
      </c>
      <c r="N97" s="1070">
        <f t="shared" si="24"/>
        <v>33988.909773425861</v>
      </c>
      <c r="O97" s="1070">
        <f t="shared" si="24"/>
        <v>35178.521615495767</v>
      </c>
      <c r="P97" s="1070">
        <f t="shared" si="24"/>
        <v>36409.769872038116</v>
      </c>
      <c r="Q97" s="1070">
        <f t="shared" si="24"/>
        <v>37684.111817559453</v>
      </c>
      <c r="R97" s="1070">
        <f t="shared" si="24"/>
        <v>39003.055731174034</v>
      </c>
      <c r="S97" s="1070">
        <f t="shared" si="24"/>
        <v>40368.162681765127</v>
      </c>
      <c r="T97" s="1070">
        <f t="shared" si="24"/>
        <v>41781.04837562691</v>
      </c>
      <c r="U97" s="1070">
        <f t="shared" si="24"/>
        <v>43243.385068773852</v>
      </c>
      <c r="V97" s="1071">
        <f t="shared" si="24"/>
        <v>44756.90354618094</v>
      </c>
      <c r="W97" s="1527"/>
    </row>
    <row r="98" spans="2:23" ht="7.5" customHeight="1" thickBot="1" x14ac:dyDescent="0.35">
      <c r="B98" s="279"/>
      <c r="C98" s="251"/>
      <c r="D98" s="267"/>
      <c r="E98" s="267"/>
      <c r="F98" s="267"/>
      <c r="G98" s="289"/>
      <c r="H98" s="248"/>
      <c r="I98" s="249"/>
      <c r="J98" s="249"/>
      <c r="K98" s="249"/>
      <c r="L98" s="249"/>
      <c r="M98" s="249"/>
      <c r="N98" s="249"/>
      <c r="O98" s="249"/>
      <c r="P98" s="249"/>
      <c r="Q98" s="249"/>
      <c r="R98" s="249"/>
      <c r="S98" s="249"/>
      <c r="T98" s="249"/>
      <c r="U98" s="249"/>
      <c r="V98" s="250"/>
      <c r="W98" s="1527"/>
    </row>
    <row r="99" spans="2:23" ht="15" thickBot="1" x14ac:dyDescent="0.35">
      <c r="B99" s="260"/>
      <c r="C99" s="251" t="s">
        <v>400</v>
      </c>
      <c r="D99" s="267"/>
      <c r="E99" s="787"/>
      <c r="F99" s="698">
        <v>3.5000000000000003E-2</v>
      </c>
      <c r="G99" s="1610">
        <f>IFERROR(H99/'2A'!$L$21,"")</f>
        <v>1788.2350000000001</v>
      </c>
      <c r="H99" s="1134">
        <f>'8C - 9% Building'!L43+'8C - 9% Building'!L56</f>
        <v>141270.565</v>
      </c>
      <c r="I99" s="1135">
        <f t="shared" ref="I99:V99" si="25">H99+(H99*$F99)</f>
        <v>146215.03477500001</v>
      </c>
      <c r="J99" s="1135">
        <f t="shared" si="25"/>
        <v>151332.56099212501</v>
      </c>
      <c r="K99" s="1135">
        <f t="shared" si="25"/>
        <v>156629.2006268494</v>
      </c>
      <c r="L99" s="1135">
        <f t="shared" si="25"/>
        <v>162111.22264878912</v>
      </c>
      <c r="M99" s="1135">
        <f t="shared" si="25"/>
        <v>167785.11544149675</v>
      </c>
      <c r="N99" s="1135">
        <f t="shared" si="25"/>
        <v>173657.59448194914</v>
      </c>
      <c r="O99" s="1135">
        <f t="shared" si="25"/>
        <v>179735.61028881735</v>
      </c>
      <c r="P99" s="1135">
        <f t="shared" si="25"/>
        <v>186026.35664892595</v>
      </c>
      <c r="Q99" s="1135">
        <f t="shared" si="25"/>
        <v>192537.27913163835</v>
      </c>
      <c r="R99" s="1135">
        <f t="shared" si="25"/>
        <v>199276.0839012457</v>
      </c>
      <c r="S99" s="1135">
        <f t="shared" si="25"/>
        <v>206250.74683778931</v>
      </c>
      <c r="T99" s="1135">
        <f t="shared" si="25"/>
        <v>213469.52297711195</v>
      </c>
      <c r="U99" s="1135">
        <f t="shared" si="25"/>
        <v>220940.95628131088</v>
      </c>
      <c r="V99" s="1136">
        <f t="shared" si="25"/>
        <v>228673.88975115676</v>
      </c>
      <c r="W99" s="1527"/>
    </row>
    <row r="100" spans="2:23" ht="7.5" customHeight="1" thickBot="1" x14ac:dyDescent="0.35">
      <c r="B100" s="260"/>
      <c r="C100" s="251"/>
      <c r="D100" s="267"/>
      <c r="E100" s="267"/>
      <c r="F100" s="267"/>
      <c r="G100" s="289"/>
      <c r="H100" s="248"/>
      <c r="I100" s="249"/>
      <c r="J100" s="249"/>
      <c r="K100" s="249"/>
      <c r="L100" s="249"/>
      <c r="M100" s="249"/>
      <c r="N100" s="249"/>
      <c r="O100" s="249"/>
      <c r="P100" s="249"/>
      <c r="Q100" s="249"/>
      <c r="R100" s="249"/>
      <c r="S100" s="249"/>
      <c r="T100" s="249"/>
      <c r="U100" s="249"/>
      <c r="V100" s="250"/>
      <c r="W100" s="1527"/>
    </row>
    <row r="101" spans="2:23" ht="15" thickBot="1" x14ac:dyDescent="0.35">
      <c r="B101" s="260"/>
      <c r="C101" s="290" t="s">
        <v>401</v>
      </c>
      <c r="D101" s="270"/>
      <c r="E101" s="619"/>
      <c r="F101" s="699">
        <v>0</v>
      </c>
      <c r="G101" s="270"/>
      <c r="H101" s="1137">
        <v>0</v>
      </c>
      <c r="I101" s="1138">
        <f t="shared" ref="I101:V101" si="26">H101+(H101*$F101)</f>
        <v>0</v>
      </c>
      <c r="J101" s="1138">
        <f t="shared" si="26"/>
        <v>0</v>
      </c>
      <c r="K101" s="1138">
        <f t="shared" si="26"/>
        <v>0</v>
      </c>
      <c r="L101" s="1138">
        <f t="shared" si="26"/>
        <v>0</v>
      </c>
      <c r="M101" s="1138">
        <f t="shared" si="26"/>
        <v>0</v>
      </c>
      <c r="N101" s="1138">
        <f t="shared" si="26"/>
        <v>0</v>
      </c>
      <c r="O101" s="1138">
        <f t="shared" si="26"/>
        <v>0</v>
      </c>
      <c r="P101" s="1138">
        <f t="shared" si="26"/>
        <v>0</v>
      </c>
      <c r="Q101" s="1138">
        <f t="shared" si="26"/>
        <v>0</v>
      </c>
      <c r="R101" s="1138">
        <f t="shared" si="26"/>
        <v>0</v>
      </c>
      <c r="S101" s="1138">
        <f t="shared" si="26"/>
        <v>0</v>
      </c>
      <c r="T101" s="1138">
        <f t="shared" si="26"/>
        <v>0</v>
      </c>
      <c r="U101" s="1138">
        <f t="shared" si="26"/>
        <v>0</v>
      </c>
      <c r="V101" s="1139">
        <f t="shared" si="26"/>
        <v>0</v>
      </c>
      <c r="W101" s="1527"/>
    </row>
    <row r="102" spans="2:23" ht="15.6" thickTop="1" thickBot="1" x14ac:dyDescent="0.35">
      <c r="B102" s="260"/>
      <c r="C102" s="275" t="s">
        <v>402</v>
      </c>
      <c r="D102" s="267"/>
      <c r="E102" s="267"/>
      <c r="F102" s="267"/>
      <c r="G102" s="268" t="s">
        <v>366</v>
      </c>
      <c r="H102" s="1140">
        <f>H93+H97+H99+H101</f>
        <v>512209.40179999999</v>
      </c>
      <c r="I102" s="1141">
        <f t="shared" ref="I102:V102" si="27">I93+I97+I99+I101</f>
        <v>529958.08586300001</v>
      </c>
      <c r="J102" s="1141">
        <f t="shared" si="27"/>
        <v>548327.27011820499</v>
      </c>
      <c r="K102" s="1141">
        <f t="shared" si="27"/>
        <v>567338.80497359217</v>
      </c>
      <c r="L102" s="1141">
        <f t="shared" si="27"/>
        <v>587015.31494374922</v>
      </c>
      <c r="M102" s="1141">
        <f t="shared" si="27"/>
        <v>607380.22621795582</v>
      </c>
      <c r="N102" s="1141">
        <f t="shared" si="27"/>
        <v>628457.79521463846</v>
      </c>
      <c r="O102" s="1141">
        <f t="shared" si="27"/>
        <v>650273.13815764512</v>
      </c>
      <c r="P102" s="1141">
        <f t="shared" si="27"/>
        <v>672852.2617110617</v>
      </c>
      <c r="Q102" s="1141">
        <f t="shared" si="27"/>
        <v>696222.09471062326</v>
      </c>
      <c r="R102" s="1141">
        <f t="shared" si="27"/>
        <v>720410.5210311421</v>
      </c>
      <c r="S102" s="1141">
        <f t="shared" si="27"/>
        <v>745446.41363080079</v>
      </c>
      <c r="T102" s="1141">
        <f t="shared" si="27"/>
        <v>771359.66981462808</v>
      </c>
      <c r="U102" s="1141">
        <f t="shared" si="27"/>
        <v>798181.24776101334</v>
      </c>
      <c r="V102" s="1142">
        <f t="shared" si="27"/>
        <v>825943.20435668726</v>
      </c>
      <c r="W102" s="1527"/>
    </row>
    <row r="103" spans="2:23" ht="7.5" customHeight="1" thickBot="1" x14ac:dyDescent="0.35">
      <c r="B103" s="260"/>
      <c r="C103" s="267"/>
      <c r="D103" s="267"/>
      <c r="E103" s="267"/>
      <c r="F103" s="267"/>
      <c r="G103" s="267"/>
      <c r="H103" s="739"/>
      <c r="I103" s="739"/>
      <c r="J103" s="739"/>
      <c r="K103" s="739"/>
      <c r="L103" s="739"/>
      <c r="M103" s="739"/>
      <c r="N103" s="739"/>
      <c r="O103" s="739"/>
      <c r="P103" s="739"/>
      <c r="Q103" s="739"/>
      <c r="R103" s="739"/>
      <c r="S103" s="739"/>
      <c r="T103" s="739"/>
      <c r="U103" s="739"/>
      <c r="V103" s="739"/>
      <c r="W103" s="1527"/>
    </row>
    <row r="104" spans="2:23" ht="15" thickBot="1" x14ac:dyDescent="0.35">
      <c r="B104" s="260"/>
      <c r="C104" s="384"/>
      <c r="D104" s="267"/>
      <c r="E104" s="267"/>
      <c r="F104" s="2133" t="s">
        <v>403</v>
      </c>
      <c r="G104" s="268" t="s">
        <v>366</v>
      </c>
      <c r="H104" s="1087">
        <f>(H38+H40)-H102</f>
        <v>241569.99820000003</v>
      </c>
      <c r="I104" s="1088">
        <f t="shared" ref="I104:V104" si="28">(I38+I40)-I102</f>
        <v>242665.79913699999</v>
      </c>
      <c r="J104" s="1088">
        <f t="shared" si="28"/>
        <v>243612.2120067951</v>
      </c>
      <c r="K104" s="1088">
        <f t="shared" si="28"/>
        <v>244399.16420453286</v>
      </c>
      <c r="L104" s="1088">
        <f t="shared" si="28"/>
        <v>245016.10346382915</v>
      </c>
      <c r="M104" s="1088">
        <f t="shared" si="28"/>
        <v>245451.97764981189</v>
      </c>
      <c r="N104" s="1088">
        <f t="shared" si="28"/>
        <v>245695.21374982351</v>
      </c>
      <c r="O104" s="1088">
        <f t="shared" si="28"/>
        <v>245733.6960309284</v>
      </c>
      <c r="P104" s="1088">
        <f t="shared" si="28"/>
        <v>245554.74333222618</v>
      </c>
      <c r="Q104" s="1088">
        <f t="shared" si="28"/>
        <v>245145.08545874676</v>
      </c>
      <c r="R104" s="1088">
        <f t="shared" si="28"/>
        <v>244490.83864246227</v>
      </c>
      <c r="S104" s="1088">
        <f t="shared" si="28"/>
        <v>243577.48003464355</v>
      </c>
      <c r="T104" s="1088">
        <f t="shared" si="28"/>
        <v>242389.82119245245</v>
      </c>
      <c r="U104" s="1088">
        <f t="shared" si="28"/>
        <v>240911.98052124411</v>
      </c>
      <c r="V104" s="1089">
        <f t="shared" si="28"/>
        <v>239127.35463262687</v>
      </c>
      <c r="W104" s="1527"/>
    </row>
    <row r="105" spans="2:23" s="399" customFormat="1" ht="7.5" customHeight="1" x14ac:dyDescent="0.3">
      <c r="B105" s="1538"/>
      <c r="C105" s="1030"/>
      <c r="D105" s="1030"/>
      <c r="E105" s="1030"/>
      <c r="F105" s="1030"/>
      <c r="G105" s="1030"/>
      <c r="H105" s="1030"/>
      <c r="I105" s="1030"/>
      <c r="J105" s="1030"/>
      <c r="K105" s="1030"/>
      <c r="L105" s="1030"/>
      <c r="M105" s="1030"/>
      <c r="N105" s="1030"/>
      <c r="O105" s="1030"/>
      <c r="P105" s="1030"/>
      <c r="Q105" s="1030"/>
      <c r="R105" s="1030"/>
      <c r="S105" s="1030"/>
      <c r="T105" s="1030"/>
      <c r="U105" s="1030"/>
      <c r="V105" s="1030"/>
      <c r="W105" s="1539"/>
    </row>
    <row r="106" spans="2:23" s="399" customFormat="1" x14ac:dyDescent="0.3">
      <c r="B106" s="1538"/>
      <c r="C106" s="1030"/>
      <c r="D106" s="1030"/>
      <c r="E106" s="1030"/>
      <c r="F106" s="1030"/>
      <c r="G106" s="1030"/>
      <c r="H106" s="1030"/>
      <c r="I106" s="1030"/>
      <c r="J106" s="1030"/>
      <c r="K106" s="1030"/>
      <c r="L106" s="1030"/>
      <c r="M106" s="1030"/>
      <c r="N106" s="1030"/>
      <c r="O106" s="1030"/>
      <c r="P106" s="1030"/>
      <c r="Q106" s="1030"/>
      <c r="R106" s="1030"/>
      <c r="S106" s="1030"/>
      <c r="T106" s="1030"/>
      <c r="U106" s="1030"/>
      <c r="V106" s="1030"/>
      <c r="W106" s="1539"/>
    </row>
    <row r="107" spans="2:23" s="399" customFormat="1" ht="15" thickBot="1" x14ac:dyDescent="0.35">
      <c r="B107" s="1538"/>
      <c r="C107" s="1030" t="s">
        <v>541</v>
      </c>
      <c r="D107" s="1030"/>
      <c r="E107" s="1030"/>
      <c r="F107" s="1030"/>
      <c r="G107" s="1030"/>
      <c r="H107" s="1030"/>
      <c r="I107" s="1030"/>
      <c r="J107" s="1030"/>
      <c r="K107" s="1030"/>
      <c r="L107" s="1030"/>
      <c r="M107" s="1030"/>
      <c r="N107" s="1030"/>
      <c r="O107" s="1030"/>
      <c r="P107" s="1030"/>
      <c r="Q107" s="1030"/>
      <c r="R107" s="1030"/>
      <c r="S107" s="1030"/>
      <c r="T107" s="1030"/>
      <c r="U107" s="1030"/>
      <c r="V107" s="1030"/>
      <c r="W107" s="1539"/>
    </row>
    <row r="108" spans="2:23" s="399" customFormat="1" x14ac:dyDescent="0.3">
      <c r="B108" s="1538"/>
      <c r="C108" s="2891"/>
      <c r="D108" s="2892"/>
      <c r="E108" s="2892"/>
      <c r="F108" s="2892"/>
      <c r="G108" s="2892"/>
      <c r="H108" s="2892"/>
      <c r="I108" s="2892"/>
      <c r="J108" s="2892"/>
      <c r="K108" s="2892"/>
      <c r="L108" s="2892"/>
      <c r="M108" s="2892"/>
      <c r="N108" s="2892"/>
      <c r="O108" s="2892"/>
      <c r="P108" s="2892"/>
      <c r="Q108" s="2892"/>
      <c r="R108" s="2892"/>
      <c r="S108" s="2892"/>
      <c r="T108" s="2892"/>
      <c r="U108" s="2892"/>
      <c r="V108" s="2893"/>
      <c r="W108" s="1539"/>
    </row>
    <row r="109" spans="2:23" s="399" customFormat="1" x14ac:dyDescent="0.3">
      <c r="B109" s="1538"/>
      <c r="C109" s="2894"/>
      <c r="D109" s="2895"/>
      <c r="E109" s="2895"/>
      <c r="F109" s="2895"/>
      <c r="G109" s="2895"/>
      <c r="H109" s="2895"/>
      <c r="I109" s="2895"/>
      <c r="J109" s="2895"/>
      <c r="K109" s="2895"/>
      <c r="L109" s="2895"/>
      <c r="M109" s="2895"/>
      <c r="N109" s="2895"/>
      <c r="O109" s="2895"/>
      <c r="P109" s="2895"/>
      <c r="Q109" s="2895"/>
      <c r="R109" s="2895"/>
      <c r="S109" s="2895"/>
      <c r="T109" s="2895"/>
      <c r="U109" s="2895"/>
      <c r="V109" s="2896"/>
      <c r="W109" s="1539"/>
    </row>
    <row r="110" spans="2:23" s="399" customFormat="1" x14ac:dyDescent="0.3">
      <c r="B110" s="1538"/>
      <c r="C110" s="2894"/>
      <c r="D110" s="2895"/>
      <c r="E110" s="2895"/>
      <c r="F110" s="2895"/>
      <c r="G110" s="2895"/>
      <c r="H110" s="2895"/>
      <c r="I110" s="2895"/>
      <c r="J110" s="2895"/>
      <c r="K110" s="2895"/>
      <c r="L110" s="2895"/>
      <c r="M110" s="2895"/>
      <c r="N110" s="2895"/>
      <c r="O110" s="2895"/>
      <c r="P110" s="2895"/>
      <c r="Q110" s="2895"/>
      <c r="R110" s="2895"/>
      <c r="S110" s="2895"/>
      <c r="T110" s="2895"/>
      <c r="U110" s="2895"/>
      <c r="V110" s="2896"/>
      <c r="W110" s="1539"/>
    </row>
    <row r="111" spans="2:23" s="399" customFormat="1" x14ac:dyDescent="0.3">
      <c r="B111" s="1538"/>
      <c r="C111" s="2894"/>
      <c r="D111" s="2895"/>
      <c r="E111" s="2895"/>
      <c r="F111" s="2895"/>
      <c r="G111" s="2895"/>
      <c r="H111" s="2895"/>
      <c r="I111" s="2895"/>
      <c r="J111" s="2895"/>
      <c r="K111" s="2895"/>
      <c r="L111" s="2895"/>
      <c r="M111" s="2895"/>
      <c r="N111" s="2895"/>
      <c r="O111" s="2895"/>
      <c r="P111" s="2895"/>
      <c r="Q111" s="2895"/>
      <c r="R111" s="2895"/>
      <c r="S111" s="2895"/>
      <c r="T111" s="2895"/>
      <c r="U111" s="2895"/>
      <c r="V111" s="2896"/>
      <c r="W111" s="1539"/>
    </row>
    <row r="112" spans="2:23" s="399" customFormat="1" ht="15" thickBot="1" x14ac:dyDescent="0.35">
      <c r="B112" s="1538"/>
      <c r="C112" s="2897"/>
      <c r="D112" s="2898"/>
      <c r="E112" s="2898"/>
      <c r="F112" s="2898"/>
      <c r="G112" s="2898"/>
      <c r="H112" s="2898"/>
      <c r="I112" s="2898"/>
      <c r="J112" s="2898"/>
      <c r="K112" s="2898"/>
      <c r="L112" s="2898"/>
      <c r="M112" s="2898"/>
      <c r="N112" s="2898"/>
      <c r="O112" s="2898"/>
      <c r="P112" s="2898"/>
      <c r="Q112" s="2898"/>
      <c r="R112" s="2898"/>
      <c r="S112" s="2898"/>
      <c r="T112" s="2898"/>
      <c r="U112" s="2898"/>
      <c r="V112" s="2899"/>
      <c r="W112" s="1539"/>
    </row>
    <row r="113" spans="2:23" s="399" customFormat="1" ht="15" thickBot="1" x14ac:dyDescent="0.35">
      <c r="B113" s="1540"/>
      <c r="C113" s="1541"/>
      <c r="D113" s="1541"/>
      <c r="E113" s="1541"/>
      <c r="F113" s="1541"/>
      <c r="G113" s="1541"/>
      <c r="H113" s="1541"/>
      <c r="I113" s="1541"/>
      <c r="J113" s="1541"/>
      <c r="K113" s="1541"/>
      <c r="L113" s="1541"/>
      <c r="M113" s="1541"/>
      <c r="N113" s="1541"/>
      <c r="O113" s="1541"/>
      <c r="P113" s="1541"/>
      <c r="Q113" s="1541"/>
      <c r="R113" s="1541"/>
      <c r="S113" s="1541"/>
      <c r="T113" s="1541"/>
      <c r="U113" s="1541"/>
      <c r="V113" s="1541"/>
      <c r="W113" s="1542"/>
    </row>
    <row r="114" spans="2:23" s="399" customFormat="1" ht="7.5" customHeight="1" x14ac:dyDescent="0.3"/>
    <row r="115" spans="2:23" s="399" customFormat="1" x14ac:dyDescent="0.3"/>
    <row r="116" spans="2:23" s="399" customFormat="1" x14ac:dyDescent="0.3"/>
    <row r="117" spans="2:23" s="399" customFormat="1" x14ac:dyDescent="0.3"/>
    <row r="118" spans="2:23" s="399" customFormat="1" ht="7.5" customHeight="1" x14ac:dyDescent="0.3"/>
    <row r="119" spans="2:23" s="399" customFormat="1" x14ac:dyDescent="0.3"/>
    <row r="120" spans="2:23" s="399" customFormat="1" ht="7.5" customHeight="1" x14ac:dyDescent="0.3"/>
    <row r="121" spans="2:23" s="399" customFormat="1" x14ac:dyDescent="0.3"/>
    <row r="122" spans="2:23" s="399" customFormat="1" x14ac:dyDescent="0.3"/>
    <row r="123" spans="2:23" s="399" customFormat="1" ht="7.5" customHeight="1" x14ac:dyDescent="0.3"/>
    <row r="124" spans="2:23" s="399" customFormat="1" x14ac:dyDescent="0.3"/>
    <row r="125" spans="2:23" s="399" customFormat="1" x14ac:dyDescent="0.3"/>
    <row r="126" spans="2:23" s="399" customFormat="1" x14ac:dyDescent="0.3"/>
    <row r="127" spans="2:23" s="399" customFormat="1" x14ac:dyDescent="0.3"/>
    <row r="128" spans="2:23" s="399" customFormat="1" x14ac:dyDescent="0.3"/>
    <row r="129" s="399" customFormat="1" x14ac:dyDescent="0.3"/>
    <row r="130" s="399" customFormat="1" x14ac:dyDescent="0.3"/>
    <row r="131" s="399" customFormat="1" x14ac:dyDescent="0.3"/>
    <row r="132" s="399" customFormat="1" x14ac:dyDescent="0.3"/>
    <row r="133" s="399" customFormat="1" x14ac:dyDescent="0.3"/>
    <row r="134" s="399" customFormat="1" x14ac:dyDescent="0.3"/>
    <row r="135" s="399" customFormat="1" x14ac:dyDescent="0.3"/>
    <row r="136" s="399" customFormat="1" x14ac:dyDescent="0.3"/>
    <row r="137" s="399" customFormat="1" x14ac:dyDescent="0.3"/>
    <row r="138" s="399" customFormat="1" x14ac:dyDescent="0.3"/>
    <row r="139" s="399" customFormat="1" x14ac:dyDescent="0.3"/>
    <row r="140" s="399" customFormat="1" x14ac:dyDescent="0.3"/>
    <row r="141" s="399" customFormat="1" ht="7.5" customHeight="1" x14ac:dyDescent="0.3"/>
    <row r="142" s="399" customFormat="1" x14ac:dyDescent="0.3"/>
    <row r="143" s="399" customFormat="1" x14ac:dyDescent="0.3"/>
    <row r="144" s="399" customFormat="1" ht="9" customHeight="1" x14ac:dyDescent="0.3"/>
  </sheetData>
  <sheetProtection algorithmName="SHA-512" hashValue="W1IlYKUbCLC3Gkb4qXngsdBD4zOoKLpg3RtkD2dsvoVGjmeB/j2VMZfk7lLMbJlsS9TyUOjaukLJvMRQOU0PxQ==" saltValue="gHipfbPZ8p82U8lqGG1dUQ==" spinCount="100000" sheet="1" formatCells="0" formatColumns="0" formatRows="0"/>
  <mergeCells count="26">
    <mergeCell ref="C108:V112"/>
    <mergeCell ref="C18:M18"/>
    <mergeCell ref="C56:E56"/>
    <mergeCell ref="F56:G56"/>
    <mergeCell ref="C57:E57"/>
    <mergeCell ref="F57:G57"/>
    <mergeCell ref="C58:E58"/>
    <mergeCell ref="F58:G58"/>
    <mergeCell ref="C49:E49"/>
    <mergeCell ref="F49:G49"/>
    <mergeCell ref="E52:G52"/>
    <mergeCell ref="F54:G54"/>
    <mergeCell ref="C55:E55"/>
    <mergeCell ref="F55:G55"/>
    <mergeCell ref="C45:D45"/>
    <mergeCell ref="F46:G46"/>
    <mergeCell ref="C47:E47"/>
    <mergeCell ref="F47:G47"/>
    <mergeCell ref="C48:E48"/>
    <mergeCell ref="F48:G48"/>
    <mergeCell ref="C14:V14"/>
    <mergeCell ref="C16:M16"/>
    <mergeCell ref="C26:F26"/>
    <mergeCell ref="C27:F27"/>
    <mergeCell ref="C30:F30"/>
    <mergeCell ref="C31:F31"/>
  </mergeCells>
  <conditionalFormatting sqref="H52:V52">
    <cfRule type="cellIs" dxfId="19" priority="8" operator="lessThan">
      <formula>0</formula>
    </cfRule>
  </conditionalFormatting>
  <conditionalFormatting sqref="H38:V38 H43:V43 H52:V52 H62:V62 H104:V104">
    <cfRule type="cellIs" dxfId="18" priority="7" operator="lessThan">
      <formula>0</formula>
    </cfRule>
  </conditionalFormatting>
  <conditionalFormatting sqref="G25:G26">
    <cfRule type="cellIs" dxfId="17" priority="6" operator="notEqual">
      <formula>0.025</formula>
    </cfRule>
  </conditionalFormatting>
  <conditionalFormatting sqref="G36">
    <cfRule type="cellIs" dxfId="16" priority="5" operator="notEqual">
      <formula>0.05</formula>
    </cfRule>
  </conditionalFormatting>
  <conditionalFormatting sqref="G37">
    <cfRule type="cellIs" dxfId="15" priority="4" operator="notEqual">
      <formula>0.1</formula>
    </cfRule>
  </conditionalFormatting>
  <conditionalFormatting sqref="F72:F92">
    <cfRule type="cellIs" dxfId="14" priority="3" operator="notEqual">
      <formula>0.035</formula>
    </cfRule>
  </conditionalFormatting>
  <conditionalFormatting sqref="F95:F96">
    <cfRule type="cellIs" dxfId="13" priority="2" operator="notEqual">
      <formula>0.035</formula>
    </cfRule>
  </conditionalFormatting>
  <conditionalFormatting sqref="F99">
    <cfRule type="cellIs" dxfId="12" priority="1" operator="notEqual">
      <formula>0.035</formula>
    </cfRule>
  </conditionalFormatting>
  <pageMargins left="1" right="1" top="0.75" bottom="0.75" header="0.3" footer="0.3"/>
  <pageSetup paperSize="17" scale="81" fitToHeight="0" orientation="landscape" r:id="rId1"/>
  <headerFooter>
    <oddFooter>&amp;LForm 8D
Operating Pro Forma&amp;CCFA Forms&amp;REdition: 2017
Version: 1.0</oddFooter>
  </headerFooter>
  <rowBreaks count="1" manualBreakCount="1">
    <brk id="63" min="1" max="2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6:K52"/>
  <sheetViews>
    <sheetView showGridLines="0" topLeftCell="A18" zoomScaleNormal="100" workbookViewId="0">
      <selection activeCell="O45" sqref="O45"/>
    </sheetView>
  </sheetViews>
  <sheetFormatPr defaultColWidth="9.109375" defaultRowHeight="14.4" x14ac:dyDescent="0.3"/>
  <cols>
    <col min="1" max="2" width="1.6640625" style="403" customWidth="1"/>
    <col min="3" max="3" width="14.33203125" style="403" customWidth="1"/>
    <col min="4" max="4" width="10" style="403" customWidth="1"/>
    <col min="5" max="5" width="74.33203125" style="403" customWidth="1"/>
    <col min="6" max="6" width="1.6640625" style="403" customWidth="1"/>
    <col min="7" max="16384" width="9.109375" style="403"/>
  </cols>
  <sheetData>
    <row r="6" spans="2:6" ht="15" thickBot="1" x14ac:dyDescent="0.35"/>
    <row r="7" spans="2:6" ht="9" customHeight="1" x14ac:dyDescent="0.3">
      <c r="B7" s="626"/>
      <c r="C7" s="627"/>
      <c r="D7" s="627"/>
      <c r="E7" s="628"/>
      <c r="F7" s="629"/>
    </row>
    <row r="8" spans="2:6" ht="18" x14ac:dyDescent="0.35">
      <c r="B8" s="630"/>
      <c r="C8" s="2657" t="s">
        <v>1520</v>
      </c>
      <c r="D8" s="2657"/>
      <c r="E8" s="2657"/>
      <c r="F8" s="631"/>
    </row>
    <row r="9" spans="2:6" x14ac:dyDescent="0.3">
      <c r="B9" s="630"/>
      <c r="C9" s="2124"/>
      <c r="D9" s="2124"/>
      <c r="E9" s="234"/>
      <c r="F9" s="631"/>
    </row>
    <row r="10" spans="2:6" ht="15" thickBot="1" x14ac:dyDescent="0.35">
      <c r="B10" s="630"/>
      <c r="C10" s="2754" t="str">
        <f>IF('1'!G5="","Enter Project Name on Form 1",(CONCATENATE("Project Name: ",'1'!G5)))</f>
        <v>Project Name: 6600 Roosevelt Way NE</v>
      </c>
      <c r="D10" s="2754"/>
      <c r="E10" s="2754"/>
      <c r="F10" s="631"/>
    </row>
    <row r="11" spans="2:6" ht="7.5" customHeight="1" x14ac:dyDescent="0.3">
      <c r="B11" s="630"/>
      <c r="C11" s="2117"/>
      <c r="D11" s="2117"/>
      <c r="E11" s="2117"/>
      <c r="F11" s="631"/>
    </row>
    <row r="12" spans="2:6" ht="15" thickBot="1" x14ac:dyDescent="0.35">
      <c r="B12" s="630"/>
      <c r="C12" s="2753" t="str">
        <f>IF('1'!G55="","Enter Site Name/ID Number on Form 1",(CONCATENATE("Site Name/ID: ",'1'!G55)))</f>
        <v>Site Name/ID: Site B - 9% Building</v>
      </c>
      <c r="D12" s="2753"/>
      <c r="E12" s="2753"/>
      <c r="F12" s="631"/>
    </row>
    <row r="13" spans="2:6" ht="7.5" customHeight="1" x14ac:dyDescent="0.3">
      <c r="B13" s="630"/>
      <c r="C13" s="292"/>
      <c r="D13" s="292"/>
      <c r="E13" s="424"/>
      <c r="F13" s="631"/>
    </row>
    <row r="14" spans="2:6" x14ac:dyDescent="0.3">
      <c r="B14" s="630"/>
      <c r="C14" s="632" t="s">
        <v>423</v>
      </c>
      <c r="D14" s="632"/>
      <c r="E14" s="234"/>
      <c r="F14" s="631"/>
    </row>
    <row r="15" spans="2:6" ht="15" thickBot="1" x14ac:dyDescent="0.35">
      <c r="B15" s="630"/>
      <c r="C15" s="130" t="s">
        <v>424</v>
      </c>
      <c r="D15" s="130"/>
      <c r="E15" s="633"/>
      <c r="F15" s="631"/>
    </row>
    <row r="16" spans="2:6" x14ac:dyDescent="0.3">
      <c r="B16" s="630"/>
      <c r="C16" s="2907" t="s">
        <v>2137</v>
      </c>
      <c r="D16" s="2908"/>
      <c r="E16" s="2909"/>
      <c r="F16" s="631"/>
    </row>
    <row r="17" spans="1:11" x14ac:dyDescent="0.3">
      <c r="B17" s="630"/>
      <c r="C17" s="2910"/>
      <c r="D17" s="2911"/>
      <c r="E17" s="2912"/>
      <c r="F17" s="631"/>
    </row>
    <row r="18" spans="1:11" x14ac:dyDescent="0.3">
      <c r="B18" s="630"/>
      <c r="C18" s="2910"/>
      <c r="D18" s="2911"/>
      <c r="E18" s="2912"/>
      <c r="F18" s="631"/>
    </row>
    <row r="19" spans="1:11" ht="15" thickBot="1" x14ac:dyDescent="0.35">
      <c r="B19" s="630"/>
      <c r="C19" s="2913"/>
      <c r="D19" s="2914"/>
      <c r="E19" s="2915"/>
      <c r="F19" s="631"/>
    </row>
    <row r="20" spans="1:11" x14ac:dyDescent="0.3">
      <c r="B20" s="630"/>
      <c r="C20" s="134"/>
      <c r="D20" s="134"/>
      <c r="E20" s="633"/>
      <c r="F20" s="631"/>
    </row>
    <row r="21" spans="1:11" x14ac:dyDescent="0.3">
      <c r="A21" s="400"/>
      <c r="B21" s="630"/>
      <c r="C21" s="632" t="s">
        <v>425</v>
      </c>
      <c r="D21" s="632"/>
      <c r="E21" s="350"/>
      <c r="F21" s="634"/>
      <c r="G21" s="400"/>
      <c r="H21" s="400"/>
      <c r="I21" s="400"/>
      <c r="J21" s="400"/>
      <c r="K21" s="400"/>
    </row>
    <row r="22" spans="1:11" ht="7.5" customHeight="1" x14ac:dyDescent="0.3">
      <c r="A22" s="400"/>
      <c r="B22" s="630"/>
      <c r="C22" s="635"/>
      <c r="D22" s="635"/>
      <c r="E22" s="350"/>
      <c r="F22" s="634"/>
      <c r="G22" s="400"/>
      <c r="H22" s="400"/>
      <c r="I22" s="400"/>
      <c r="J22" s="400"/>
      <c r="K22" s="400"/>
    </row>
    <row r="23" spans="1:11" ht="15" thickBot="1" x14ac:dyDescent="0.35">
      <c r="A23" s="400"/>
      <c r="B23" s="630"/>
      <c r="C23" s="265" t="s">
        <v>374</v>
      </c>
      <c r="D23" s="265"/>
      <c r="E23" s="570"/>
      <c r="F23" s="634"/>
      <c r="G23" s="400"/>
      <c r="H23" s="400"/>
      <c r="I23" s="400"/>
      <c r="J23" s="400"/>
      <c r="K23" s="400"/>
    </row>
    <row r="24" spans="1:11" x14ac:dyDescent="0.3">
      <c r="A24" s="400"/>
      <c r="B24" s="630"/>
      <c r="C24" s="291" t="s">
        <v>376</v>
      </c>
      <c r="D24" s="291"/>
      <c r="E24" s="920" t="s">
        <v>2114</v>
      </c>
      <c r="F24" s="634"/>
      <c r="G24" s="400"/>
      <c r="H24" s="400"/>
      <c r="I24" s="400"/>
      <c r="J24" s="400"/>
      <c r="K24" s="400"/>
    </row>
    <row r="25" spans="1:11" x14ac:dyDescent="0.3">
      <c r="A25" s="400"/>
      <c r="B25" s="630"/>
      <c r="C25" s="291" t="s">
        <v>377</v>
      </c>
      <c r="D25" s="291"/>
      <c r="E25" s="921" t="s">
        <v>2112</v>
      </c>
      <c r="F25" s="634"/>
      <c r="G25" s="400"/>
      <c r="H25" s="400"/>
      <c r="I25" s="400"/>
      <c r="J25" s="400"/>
      <c r="K25" s="400"/>
    </row>
    <row r="26" spans="1:11" x14ac:dyDescent="0.3">
      <c r="A26" s="400"/>
      <c r="B26" s="630"/>
      <c r="C26" s="291" t="s">
        <v>378</v>
      </c>
      <c r="D26" s="291"/>
      <c r="E26" s="921" t="s">
        <v>2113</v>
      </c>
      <c r="F26" s="634"/>
      <c r="G26" s="400"/>
      <c r="H26" s="400"/>
      <c r="I26" s="400"/>
      <c r="J26" s="400"/>
      <c r="K26" s="400"/>
    </row>
    <row r="27" spans="1:11" x14ac:dyDescent="0.3">
      <c r="A27" s="400"/>
      <c r="B27" s="630"/>
      <c r="C27" s="291" t="s">
        <v>379</v>
      </c>
      <c r="D27" s="291"/>
      <c r="E27" s="921" t="s">
        <v>2113</v>
      </c>
      <c r="F27" s="634"/>
      <c r="G27" s="400"/>
      <c r="H27" s="400"/>
      <c r="I27" s="400"/>
      <c r="J27" s="400"/>
      <c r="K27" s="400"/>
    </row>
    <row r="28" spans="1:11" x14ac:dyDescent="0.3">
      <c r="A28" s="400"/>
      <c r="B28" s="630"/>
      <c r="C28" s="291" t="s">
        <v>380</v>
      </c>
      <c r="D28" s="291"/>
      <c r="E28" s="921" t="s">
        <v>2113</v>
      </c>
      <c r="F28" s="634"/>
      <c r="G28" s="400"/>
      <c r="H28" s="400"/>
      <c r="I28" s="400"/>
      <c r="J28" s="400"/>
      <c r="K28" s="400"/>
    </row>
    <row r="29" spans="1:11" x14ac:dyDescent="0.3">
      <c r="A29" s="400"/>
      <c r="B29" s="630"/>
      <c r="C29" s="291" t="s">
        <v>381</v>
      </c>
      <c r="D29" s="291"/>
      <c r="E29" s="921" t="s">
        <v>2116</v>
      </c>
      <c r="F29" s="634"/>
      <c r="G29" s="400"/>
      <c r="H29" s="400"/>
      <c r="I29" s="400"/>
      <c r="J29" s="400"/>
      <c r="K29" s="400"/>
    </row>
    <row r="30" spans="1:11" x14ac:dyDescent="0.3">
      <c r="A30" s="400"/>
      <c r="B30" s="630"/>
      <c r="C30" s="291" t="s">
        <v>382</v>
      </c>
      <c r="D30" s="291"/>
      <c r="E30" s="921" t="s">
        <v>2113</v>
      </c>
      <c r="F30" s="634"/>
      <c r="G30" s="400"/>
      <c r="H30" s="400"/>
      <c r="I30" s="400"/>
      <c r="J30" s="400"/>
      <c r="K30" s="400"/>
    </row>
    <row r="31" spans="1:11" x14ac:dyDescent="0.3">
      <c r="A31" s="400"/>
      <c r="B31" s="630"/>
      <c r="C31" s="291" t="s">
        <v>383</v>
      </c>
      <c r="D31" s="291"/>
      <c r="E31" s="921" t="s">
        <v>2113</v>
      </c>
      <c r="F31" s="634"/>
      <c r="G31" s="400"/>
      <c r="H31" s="400"/>
      <c r="I31" s="400"/>
      <c r="J31" s="400"/>
      <c r="K31" s="400"/>
    </row>
    <row r="32" spans="1:11" x14ac:dyDescent="0.3">
      <c r="A32" s="400"/>
      <c r="B32" s="630"/>
      <c r="C32" s="291" t="s">
        <v>384</v>
      </c>
      <c r="D32" s="291"/>
      <c r="E32" s="921" t="s">
        <v>2113</v>
      </c>
      <c r="F32" s="634"/>
      <c r="G32" s="400"/>
      <c r="H32" s="400"/>
      <c r="I32" s="400"/>
      <c r="J32" s="400"/>
      <c r="K32" s="400"/>
    </row>
    <row r="33" spans="1:11" x14ac:dyDescent="0.3">
      <c r="A33" s="400"/>
      <c r="B33" s="630"/>
      <c r="C33" s="291" t="s">
        <v>385</v>
      </c>
      <c r="D33" s="291"/>
      <c r="E33" s="921" t="s">
        <v>2113</v>
      </c>
      <c r="F33" s="634"/>
      <c r="G33" s="400"/>
      <c r="H33" s="400"/>
      <c r="I33" s="400"/>
      <c r="J33" s="400"/>
      <c r="K33" s="400"/>
    </row>
    <row r="34" spans="1:11" x14ac:dyDescent="0.3">
      <c r="A34" s="400"/>
      <c r="B34" s="630"/>
      <c r="C34" s="291" t="s">
        <v>386</v>
      </c>
      <c r="D34" s="291"/>
      <c r="E34" s="921" t="s">
        <v>2113</v>
      </c>
      <c r="F34" s="634"/>
      <c r="G34" s="400"/>
      <c r="H34" s="400"/>
      <c r="I34" s="400"/>
      <c r="J34" s="400"/>
      <c r="K34" s="400"/>
    </row>
    <row r="35" spans="1:11" x14ac:dyDescent="0.3">
      <c r="A35" s="400"/>
      <c r="B35" s="630"/>
      <c r="C35" s="291" t="s">
        <v>387</v>
      </c>
      <c r="D35" s="291"/>
      <c r="E35" s="921" t="s">
        <v>2113</v>
      </c>
      <c r="F35" s="634"/>
      <c r="G35" s="400"/>
      <c r="H35" s="400"/>
      <c r="I35" s="400"/>
      <c r="J35" s="400"/>
      <c r="K35" s="400"/>
    </row>
    <row r="36" spans="1:11" x14ac:dyDescent="0.3">
      <c r="A36" s="400"/>
      <c r="B36" s="630"/>
      <c r="C36" s="291" t="s">
        <v>388</v>
      </c>
      <c r="D36" s="291"/>
      <c r="E36" s="921" t="s">
        <v>2113</v>
      </c>
      <c r="F36" s="634"/>
      <c r="G36" s="400"/>
      <c r="H36" s="400"/>
      <c r="I36" s="400"/>
      <c r="J36" s="400"/>
      <c r="K36" s="400"/>
    </row>
    <row r="37" spans="1:11" x14ac:dyDescent="0.3">
      <c r="A37" s="400"/>
      <c r="B37" s="630"/>
      <c r="C37" s="291" t="s">
        <v>389</v>
      </c>
      <c r="D37" s="291"/>
      <c r="E37" s="921" t="s">
        <v>2113</v>
      </c>
      <c r="F37" s="634"/>
      <c r="G37" s="400"/>
      <c r="H37" s="400"/>
      <c r="I37" s="400"/>
      <c r="J37" s="400"/>
      <c r="K37" s="400"/>
    </row>
    <row r="38" spans="1:11" x14ac:dyDescent="0.3">
      <c r="A38" s="400"/>
      <c r="B38" s="630"/>
      <c r="C38" s="291" t="s">
        <v>390</v>
      </c>
      <c r="D38" s="291"/>
      <c r="E38" s="921" t="s">
        <v>2113</v>
      </c>
      <c r="F38" s="634"/>
      <c r="G38" s="400"/>
      <c r="H38" s="400"/>
      <c r="I38" s="400"/>
      <c r="J38" s="400"/>
      <c r="K38" s="400"/>
    </row>
    <row r="39" spans="1:11" x14ac:dyDescent="0.3">
      <c r="A39" s="400"/>
      <c r="B39" s="630"/>
      <c r="C39" s="291" t="s">
        <v>391</v>
      </c>
      <c r="D39" s="291"/>
      <c r="E39" s="921" t="s">
        <v>2113</v>
      </c>
      <c r="F39" s="634"/>
      <c r="G39" s="400"/>
      <c r="H39" s="400"/>
      <c r="I39" s="400"/>
      <c r="J39" s="400"/>
      <c r="K39" s="400"/>
    </row>
    <row r="40" spans="1:11" x14ac:dyDescent="0.3">
      <c r="A40" s="400"/>
      <c r="B40" s="630"/>
      <c r="C40" s="291" t="s">
        <v>392</v>
      </c>
      <c r="D40" s="291"/>
      <c r="E40" s="921" t="s">
        <v>2113</v>
      </c>
      <c r="F40" s="634"/>
      <c r="G40" s="400"/>
      <c r="H40" s="400"/>
      <c r="I40" s="400"/>
      <c r="J40" s="400"/>
      <c r="K40" s="400"/>
    </row>
    <row r="41" spans="1:11" x14ac:dyDescent="0.3">
      <c r="A41" s="400"/>
      <c r="B41" s="630"/>
      <c r="C41" s="291" t="s">
        <v>393</v>
      </c>
      <c r="D41" s="291"/>
      <c r="E41" s="921" t="s">
        <v>2113</v>
      </c>
      <c r="F41" s="634"/>
      <c r="G41" s="400"/>
      <c r="H41" s="400"/>
      <c r="I41" s="400"/>
      <c r="J41" s="400"/>
      <c r="K41" s="400"/>
    </row>
    <row r="42" spans="1:11" x14ac:dyDescent="0.3">
      <c r="A42" s="400"/>
      <c r="B42" s="630"/>
      <c r="C42" s="291" t="s">
        <v>394</v>
      </c>
      <c r="D42" s="291"/>
      <c r="E42" s="921" t="s">
        <v>2113</v>
      </c>
      <c r="F42" s="634"/>
      <c r="G42" s="400"/>
      <c r="H42" s="400"/>
      <c r="I42" s="400"/>
      <c r="J42" s="400"/>
      <c r="K42" s="400"/>
    </row>
    <row r="43" spans="1:11" x14ac:dyDescent="0.3">
      <c r="A43" s="400"/>
      <c r="B43" s="630"/>
      <c r="C43" s="291" t="s">
        <v>395</v>
      </c>
      <c r="D43" s="291"/>
      <c r="E43" s="921" t="s">
        <v>2113</v>
      </c>
      <c r="F43" s="634"/>
      <c r="G43" s="400"/>
      <c r="H43" s="400"/>
      <c r="I43" s="400"/>
      <c r="J43" s="400"/>
      <c r="K43" s="400"/>
    </row>
    <row r="44" spans="1:11" ht="30" customHeight="1" x14ac:dyDescent="0.3">
      <c r="A44" s="400"/>
      <c r="B44" s="630"/>
      <c r="C44" s="2903" t="s">
        <v>506</v>
      </c>
      <c r="D44" s="2904"/>
      <c r="E44" s="2905" t="s">
        <v>2158</v>
      </c>
      <c r="F44" s="634"/>
      <c r="G44" s="400"/>
      <c r="H44" s="400"/>
      <c r="I44" s="400"/>
      <c r="J44" s="400"/>
      <c r="K44" s="400"/>
    </row>
    <row r="45" spans="1:11" ht="15" thickBot="1" x14ac:dyDescent="0.35">
      <c r="A45" s="400"/>
      <c r="B45" s="630"/>
      <c r="C45" s="295"/>
      <c r="D45" s="296"/>
      <c r="E45" s="2906" t="str">
        <f>IF('8D - 4% Building'!H94&lt;&gt;0,"Cost listed on Form 8E. Please provide detail here. (Overwrite this text with your answer)","")</f>
        <v/>
      </c>
      <c r="F45" s="634"/>
      <c r="G45" s="400"/>
      <c r="H45" s="400"/>
      <c r="I45" s="400"/>
      <c r="J45" s="400"/>
      <c r="K45" s="400"/>
    </row>
    <row r="46" spans="1:11" ht="15" thickBot="1" x14ac:dyDescent="0.35">
      <c r="A46" s="400"/>
      <c r="B46" s="630"/>
      <c r="C46" s="265" t="s">
        <v>426</v>
      </c>
      <c r="D46" s="265"/>
      <c r="E46" s="297"/>
      <c r="F46" s="634"/>
      <c r="G46" s="400"/>
      <c r="H46" s="400"/>
      <c r="I46" s="400"/>
      <c r="J46" s="400"/>
      <c r="K46" s="400"/>
    </row>
    <row r="47" spans="1:11" x14ac:dyDescent="0.3">
      <c r="A47" s="400"/>
      <c r="B47" s="630"/>
      <c r="C47" s="294" t="s">
        <v>397</v>
      </c>
      <c r="D47" s="294"/>
      <c r="E47" s="920" t="s">
        <v>2115</v>
      </c>
      <c r="F47" s="634"/>
      <c r="G47" s="400"/>
      <c r="H47" s="400"/>
      <c r="I47" s="400"/>
      <c r="J47" s="400"/>
      <c r="K47" s="400"/>
    </row>
    <row r="48" spans="1:11" ht="15" thickBot="1" x14ac:dyDescent="0.35">
      <c r="A48" s="400"/>
      <c r="B48" s="630"/>
      <c r="C48" s="294" t="s">
        <v>398</v>
      </c>
      <c r="D48" s="294"/>
      <c r="E48" s="922"/>
      <c r="F48" s="634"/>
      <c r="G48" s="400"/>
      <c r="H48" s="400"/>
      <c r="I48" s="400"/>
      <c r="J48" s="400"/>
      <c r="K48" s="400"/>
    </row>
    <row r="49" spans="1:11" ht="15" thickBot="1" x14ac:dyDescent="0.35">
      <c r="A49" s="400"/>
      <c r="B49" s="636"/>
      <c r="C49" s="637"/>
      <c r="D49" s="637"/>
      <c r="E49" s="638"/>
      <c r="F49" s="639"/>
      <c r="G49" s="400"/>
      <c r="H49" s="400"/>
      <c r="I49" s="400"/>
      <c r="J49" s="400"/>
      <c r="K49" s="400"/>
    </row>
    <row r="50" spans="1:11" x14ac:dyDescent="0.3">
      <c r="A50" s="400"/>
      <c r="B50" s="400"/>
      <c r="C50" s="400"/>
      <c r="D50" s="400"/>
      <c r="E50" s="400"/>
      <c r="F50" s="400"/>
      <c r="G50" s="400"/>
      <c r="H50" s="400"/>
      <c r="I50" s="400"/>
      <c r="J50" s="400"/>
      <c r="K50" s="400"/>
    </row>
    <row r="51" spans="1:11" x14ac:dyDescent="0.3">
      <c r="A51" s="400"/>
      <c r="B51" s="400"/>
      <c r="C51" s="400"/>
      <c r="D51" s="400"/>
      <c r="E51" s="400"/>
      <c r="F51" s="400"/>
      <c r="G51" s="400"/>
      <c r="H51" s="400"/>
      <c r="I51" s="400"/>
      <c r="J51" s="400"/>
      <c r="K51" s="400"/>
    </row>
    <row r="52" spans="1:11" x14ac:dyDescent="0.3">
      <c r="A52" s="400"/>
      <c r="B52" s="400"/>
      <c r="C52" s="400"/>
      <c r="D52" s="400"/>
      <c r="E52" s="400"/>
      <c r="F52" s="400"/>
      <c r="G52" s="400"/>
      <c r="H52" s="400"/>
      <c r="I52" s="400"/>
      <c r="J52" s="400"/>
      <c r="K52" s="400"/>
    </row>
  </sheetData>
  <sheetProtection algorithmName="SHA-512" hashValue="OGA65y9P8YG/WsO8g9rYSiS/YzlR4s5b914O1NvCjAugu0w5EbX+fKTKo1RvP/MLOTe9QLFzskFzoVDK4J8zBw==" saltValue="Me3RO/vsoRgZtkdv967wIw==" spinCount="100000" sheet="1" formatCells="0" formatColumns="0" formatRows="0"/>
  <mergeCells count="6">
    <mergeCell ref="C8:E8"/>
    <mergeCell ref="C10:E10"/>
    <mergeCell ref="C16:E19"/>
    <mergeCell ref="C44:D44"/>
    <mergeCell ref="E44:E45"/>
    <mergeCell ref="C12:E12"/>
  </mergeCells>
  <conditionalFormatting sqref="E46:E48">
    <cfRule type="containsText" dxfId="11" priority="2" operator="containsText" text="Cost listed on Form 8E. Please provide detail here. (Overwrite this text with your answer)">
      <formula>NOT(ISERROR(SEARCH("Cost listed on Form 8E. Please provide detail here. (Overwrite this text with your answer)",E46)))</formula>
    </cfRule>
  </conditionalFormatting>
  <conditionalFormatting sqref="E24:E45">
    <cfRule type="containsText" dxfId="10" priority="1" operator="containsText" text="Cost listed on Form 8E. Please provide detail here. (Overwrite this text with your answer)">
      <formula>NOT(ISERROR(SEARCH("Cost listed on Form 8E. Please provide detail here. (Overwrite this text with your answer)",E24)))</formula>
    </cfRule>
  </conditionalFormatting>
  <pageMargins left="1" right="0.7" top="0.75" bottom="0.75" header="0.3" footer="0.3"/>
  <pageSetup scale="84" orientation="portrait" r:id="rId1"/>
  <headerFooter>
    <oddFooter>&amp;LForm 8E
Operating Pro Forma Details&amp;CCFA Forms&amp;REdition: 2017
Version: 1.0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6:W125"/>
  <sheetViews>
    <sheetView showGridLines="0" topLeftCell="A2" zoomScaleNormal="100" workbookViewId="0">
      <selection activeCell="AA63" sqref="AA58:AA63"/>
    </sheetView>
  </sheetViews>
  <sheetFormatPr defaultColWidth="9.109375" defaultRowHeight="14.4" x14ac:dyDescent="0.3"/>
  <cols>
    <col min="1" max="2" width="1.6640625" style="400" customWidth="1"/>
    <col min="3" max="3" width="14.33203125" style="400" customWidth="1"/>
    <col min="4" max="4" width="9.109375" style="400" customWidth="1"/>
    <col min="5" max="5" width="1.44140625" style="400" customWidth="1"/>
    <col min="6" max="7" width="9.109375" style="400"/>
    <col min="8" max="8" width="12.109375" style="400" customWidth="1"/>
    <col min="9" max="22" width="12.5546875" style="400" bestFit="1" customWidth="1"/>
    <col min="23" max="23" width="1.5546875" style="400" customWidth="1"/>
    <col min="24" max="16384" width="9.109375" style="400"/>
  </cols>
  <sheetData>
    <row r="6" spans="2:23" ht="15" thickBot="1" x14ac:dyDescent="0.35"/>
    <row r="7" spans="2:23" ht="9" customHeight="1" x14ac:dyDescent="0.3">
      <c r="B7" s="255"/>
      <c r="C7" s="727"/>
      <c r="D7" s="727"/>
      <c r="E7" s="727"/>
      <c r="F7" s="727"/>
      <c r="G7" s="727"/>
      <c r="H7" s="727"/>
      <c r="I7" s="727"/>
      <c r="J7" s="727"/>
      <c r="K7" s="727"/>
      <c r="L7" s="727"/>
      <c r="M7" s="727"/>
      <c r="N7" s="727"/>
      <c r="O7" s="727"/>
      <c r="P7" s="727"/>
      <c r="Q7" s="727"/>
      <c r="R7" s="727"/>
      <c r="S7" s="727"/>
      <c r="T7" s="727"/>
      <c r="U7" s="727"/>
      <c r="V7" s="727"/>
      <c r="W7" s="256"/>
    </row>
    <row r="8" spans="2:23" ht="18" x14ac:dyDescent="0.35">
      <c r="B8" s="257"/>
      <c r="C8" s="2657" t="s">
        <v>1864</v>
      </c>
      <c r="D8" s="2657"/>
      <c r="E8" s="2657"/>
      <c r="F8" s="2657"/>
      <c r="G8" s="2657"/>
      <c r="H8" s="2657"/>
      <c r="I8" s="2657"/>
      <c r="J8" s="2657"/>
      <c r="K8" s="2657"/>
      <c r="L8" s="2657"/>
      <c r="M8" s="2657"/>
      <c r="N8" s="2657"/>
      <c r="O8" s="2657"/>
      <c r="P8" s="2657"/>
      <c r="Q8" s="2657"/>
      <c r="R8" s="2657"/>
      <c r="S8" s="2657"/>
      <c r="T8" s="2657"/>
      <c r="U8" s="2657"/>
      <c r="V8" s="2657"/>
      <c r="W8" s="259"/>
    </row>
    <row r="9" spans="2:23" ht="7.5" customHeight="1" x14ac:dyDescent="0.3">
      <c r="B9" s="257"/>
      <c r="C9" s="258"/>
      <c r="D9" s="258"/>
      <c r="E9" s="258"/>
      <c r="F9" s="258"/>
      <c r="G9" s="258"/>
      <c r="H9" s="258"/>
      <c r="I9" s="258"/>
      <c r="J9" s="258"/>
      <c r="K9" s="258"/>
      <c r="L9" s="258"/>
      <c r="M9" s="258"/>
      <c r="N9" s="258"/>
      <c r="O9" s="258"/>
      <c r="P9" s="258"/>
      <c r="Q9" s="258"/>
      <c r="R9" s="258"/>
      <c r="S9" s="258"/>
      <c r="T9" s="258"/>
      <c r="U9" s="258"/>
      <c r="V9" s="258"/>
      <c r="W9" s="259"/>
    </row>
    <row r="10" spans="2:23" ht="15" thickBot="1" x14ac:dyDescent="0.35">
      <c r="B10" s="257"/>
      <c r="C10" s="2646" t="str">
        <f>IF('1'!G5="","Enter Project Name on Form 1",(CONCATENATE("Project Name: ",'1'!G5)))</f>
        <v>Project Name: 6600 Roosevelt Way NE</v>
      </c>
      <c r="D10" s="2646"/>
      <c r="E10" s="2646"/>
      <c r="F10" s="2646"/>
      <c r="G10" s="2646"/>
      <c r="H10" s="2646"/>
      <c r="I10" s="2646"/>
      <c r="J10" s="2646"/>
      <c r="K10" s="2646"/>
      <c r="L10" s="2646"/>
      <c r="M10" s="2646"/>
      <c r="N10" s="493"/>
      <c r="O10" s="493"/>
      <c r="P10" s="493"/>
      <c r="Q10" s="493"/>
      <c r="R10" s="493"/>
      <c r="S10" s="493"/>
      <c r="T10" s="493"/>
      <c r="U10" s="493"/>
      <c r="V10" s="493"/>
      <c r="W10" s="259"/>
    </row>
    <row r="11" spans="2:23" ht="7.5" customHeight="1" x14ac:dyDescent="0.3">
      <c r="B11" s="260"/>
      <c r="C11" s="264"/>
      <c r="D11" s="261"/>
      <c r="E11" s="258"/>
      <c r="F11" s="258"/>
      <c r="G11" s="258"/>
      <c r="H11" s="261"/>
      <c r="I11" s="261"/>
      <c r="J11" s="261"/>
      <c r="K11" s="261"/>
      <c r="L11" s="261"/>
      <c r="M11" s="262"/>
      <c r="N11" s="261"/>
      <c r="O11" s="261"/>
      <c r="P11" s="261"/>
      <c r="Q11" s="261"/>
      <c r="R11" s="261"/>
      <c r="S11" s="261"/>
      <c r="T11" s="261"/>
      <c r="U11" s="261"/>
      <c r="V11" s="261"/>
      <c r="W11" s="263"/>
    </row>
    <row r="12" spans="2:23" ht="15" thickBot="1" x14ac:dyDescent="0.35">
      <c r="B12" s="260"/>
      <c r="C12" s="293" t="s">
        <v>355</v>
      </c>
      <c r="D12" s="239"/>
      <c r="E12" s="238"/>
      <c r="F12" s="238"/>
      <c r="G12" s="238"/>
      <c r="H12" s="239"/>
      <c r="I12" s="239"/>
      <c r="J12" s="239"/>
      <c r="K12" s="239"/>
      <c r="L12" s="239"/>
      <c r="M12" s="240"/>
      <c r="N12" s="239"/>
      <c r="O12" s="239"/>
      <c r="P12" s="239"/>
      <c r="Q12" s="239"/>
      <c r="R12" s="239"/>
      <c r="S12" s="239"/>
      <c r="T12" s="239"/>
      <c r="U12" s="239"/>
      <c r="V12" s="239"/>
      <c r="W12" s="263"/>
    </row>
    <row r="13" spans="2:23" ht="15" thickBot="1" x14ac:dyDescent="0.35">
      <c r="B13" s="729"/>
      <c r="C13" s="424"/>
      <c r="D13" s="258"/>
      <c r="E13" s="424"/>
      <c r="F13" s="424"/>
      <c r="G13" s="424"/>
      <c r="H13" s="241" t="s">
        <v>356</v>
      </c>
      <c r="I13" s="730" t="s">
        <v>357</v>
      </c>
      <c r="J13" s="730" t="s">
        <v>358</v>
      </c>
      <c r="K13" s="730" t="s">
        <v>359</v>
      </c>
      <c r="L13" s="730" t="s">
        <v>360</v>
      </c>
      <c r="M13" s="730" t="s">
        <v>361</v>
      </c>
      <c r="N13" s="730" t="s">
        <v>362</v>
      </c>
      <c r="O13" s="730" t="s">
        <v>414</v>
      </c>
      <c r="P13" s="730" t="s">
        <v>415</v>
      </c>
      <c r="Q13" s="730" t="s">
        <v>416</v>
      </c>
      <c r="R13" s="730" t="s">
        <v>417</v>
      </c>
      <c r="S13" s="730" t="s">
        <v>418</v>
      </c>
      <c r="T13" s="730" t="s">
        <v>419</v>
      </c>
      <c r="U13" s="730" t="s">
        <v>420</v>
      </c>
      <c r="V13" s="731" t="s">
        <v>421</v>
      </c>
      <c r="W13" s="1527"/>
    </row>
    <row r="14" spans="2:23" ht="15" thickBot="1" x14ac:dyDescent="0.35">
      <c r="B14" s="729"/>
      <c r="C14" s="265" t="s">
        <v>363</v>
      </c>
      <c r="D14" s="424"/>
      <c r="E14" s="424"/>
      <c r="F14" s="384"/>
      <c r="G14" s="732" t="s">
        <v>364</v>
      </c>
      <c r="H14" s="733"/>
      <c r="I14" s="242"/>
      <c r="J14" s="242"/>
      <c r="K14" s="242"/>
      <c r="L14" s="242"/>
      <c r="M14" s="242"/>
      <c r="N14" s="242"/>
      <c r="O14" s="242"/>
      <c r="P14" s="242"/>
      <c r="Q14" s="242"/>
      <c r="R14" s="242"/>
      <c r="S14" s="242"/>
      <c r="T14" s="242"/>
      <c r="U14" s="242"/>
      <c r="V14" s="734"/>
      <c r="W14" s="1527"/>
    </row>
    <row r="15" spans="2:23" x14ac:dyDescent="0.3">
      <c r="B15" s="729"/>
      <c r="C15" s="266" t="s">
        <v>1508</v>
      </c>
      <c r="D15" s="613"/>
      <c r="E15" s="614"/>
      <c r="F15" s="1605"/>
      <c r="G15" s="2138">
        <f>AVERAGE('8D - 4% Building'!G25,'8D - 9% Building'!G25)</f>
        <v>2.5000000000000001E-2</v>
      </c>
      <c r="H15" s="2171">
        <f>'8D - 4% Building'!H25+'8D - 9% Building'!H25</f>
        <v>2809128</v>
      </c>
      <c r="I15" s="2139">
        <f>'8D - 4% Building'!I25+'8D - 9% Building'!I25</f>
        <v>2879356.2</v>
      </c>
      <c r="J15" s="2139">
        <f>'8D - 4% Building'!J25+'8D - 9% Building'!J25</f>
        <v>2951340.1049999995</v>
      </c>
      <c r="K15" s="2139">
        <f>'8D - 4% Building'!K25+'8D - 9% Building'!K25</f>
        <v>3025123.6076249997</v>
      </c>
      <c r="L15" s="2139">
        <f>'8D - 4% Building'!L25+'8D - 9% Building'!L25</f>
        <v>3100751.6978156245</v>
      </c>
      <c r="M15" s="2139">
        <f>'8D - 4% Building'!M25+'8D - 9% Building'!M25</f>
        <v>3178270.4902610155</v>
      </c>
      <c r="N15" s="2139">
        <f>'8D - 4% Building'!N25+'8D - 9% Building'!N25</f>
        <v>3257727.2525175405</v>
      </c>
      <c r="O15" s="2139">
        <f>'8D - 4% Building'!O25+'8D - 9% Building'!O25</f>
        <v>3339170.4338304792</v>
      </c>
      <c r="P15" s="2139">
        <f>'8D - 4% Building'!P25+'8D - 9% Building'!P25</f>
        <v>3422649.6946762414</v>
      </c>
      <c r="Q15" s="2139">
        <f>'8D - 4% Building'!Q25+'8D - 9% Building'!Q25</f>
        <v>3508215.9370431476</v>
      </c>
      <c r="R15" s="2139">
        <f>'8D - 4% Building'!R25+'8D - 9% Building'!R25</f>
        <v>3595921.3354692264</v>
      </c>
      <c r="S15" s="2139">
        <f>'8D - 4% Building'!S25+'8D - 9% Building'!S25</f>
        <v>3685819.3688559569</v>
      </c>
      <c r="T15" s="2139">
        <f>'8D - 4% Building'!T25+'8D - 9% Building'!T25</f>
        <v>3777964.8530773558</v>
      </c>
      <c r="U15" s="2139">
        <f>'8D - 4% Building'!U25+'8D - 9% Building'!U25</f>
        <v>3872413.9744042894</v>
      </c>
      <c r="V15" s="2140">
        <f>'8D - 4% Building'!V25+'8D - 9% Building'!V25</f>
        <v>3969224.3237643968</v>
      </c>
      <c r="W15" s="1527"/>
    </row>
    <row r="16" spans="2:23" x14ac:dyDescent="0.3">
      <c r="B16" s="729"/>
      <c r="C16" s="2887" t="s">
        <v>1509</v>
      </c>
      <c r="D16" s="2887"/>
      <c r="E16" s="2887"/>
      <c r="F16" s="2888"/>
      <c r="G16" s="2141">
        <f>AVERAGE('8D - 4% Building'!G26,'8D - 9% Building'!G26)</f>
        <v>2.5000000000000001E-2</v>
      </c>
      <c r="H16" s="2198">
        <f>'8D - 4% Building'!H26+'8D - 9% Building'!H26</f>
        <v>0</v>
      </c>
      <c r="I16" s="2139">
        <f>'8D - 4% Building'!I26+'8D - 9% Building'!I26</f>
        <v>0</v>
      </c>
      <c r="J16" s="2139">
        <f>'8D - 4% Building'!J26+'8D - 9% Building'!J26</f>
        <v>0</v>
      </c>
      <c r="K16" s="2139">
        <f>'8D - 4% Building'!K26+'8D - 9% Building'!K26</f>
        <v>0</v>
      </c>
      <c r="L16" s="2139">
        <f>'8D - 4% Building'!L26+'8D - 9% Building'!L26</f>
        <v>0</v>
      </c>
      <c r="M16" s="2139">
        <f>'8D - 4% Building'!M26+'8D - 9% Building'!M26</f>
        <v>0</v>
      </c>
      <c r="N16" s="2139">
        <f>'8D - 4% Building'!N26+'8D - 9% Building'!N26</f>
        <v>0</v>
      </c>
      <c r="O16" s="2139">
        <f>'8D - 4% Building'!O26+'8D - 9% Building'!O26</f>
        <v>0</v>
      </c>
      <c r="P16" s="2139">
        <f>'8D - 4% Building'!P26+'8D - 9% Building'!P26</f>
        <v>0</v>
      </c>
      <c r="Q16" s="2139">
        <f>'8D - 4% Building'!Q26+'8D - 9% Building'!Q26</f>
        <v>0</v>
      </c>
      <c r="R16" s="2139">
        <f>'8D - 4% Building'!R26+'8D - 9% Building'!R26</f>
        <v>0</v>
      </c>
      <c r="S16" s="2139">
        <f>'8D - 4% Building'!S26+'8D - 9% Building'!S26</f>
        <v>0</v>
      </c>
      <c r="T16" s="2139">
        <f>'8D - 4% Building'!T26+'8D - 9% Building'!T26</f>
        <v>0</v>
      </c>
      <c r="U16" s="2139">
        <f>'8D - 4% Building'!U26+'8D - 9% Building'!U26</f>
        <v>0</v>
      </c>
      <c r="V16" s="2140">
        <f>'8D - 4% Building'!V26+'8D - 9% Building'!V26</f>
        <v>0</v>
      </c>
      <c r="W16" s="1527"/>
    </row>
    <row r="17" spans="2:23" ht="15" thickBot="1" x14ac:dyDescent="0.35">
      <c r="B17" s="729"/>
      <c r="C17" s="2889" t="s">
        <v>1510</v>
      </c>
      <c r="D17" s="2889"/>
      <c r="E17" s="2889"/>
      <c r="F17" s="2890"/>
      <c r="G17" s="2142">
        <f>AVERAGE('8D - 4% Building'!G27,'8D - 9% Building'!G27)</f>
        <v>2.5000000000000001E-2</v>
      </c>
      <c r="H17" s="2198">
        <f>'8D - 4% Building'!H27+'8D - 9% Building'!H27</f>
        <v>40000</v>
      </c>
      <c r="I17" s="2143">
        <f>'8D - 4% Building'!I27+'8D - 9% Building'!I27</f>
        <v>41000</v>
      </c>
      <c r="J17" s="2143">
        <f>'8D - 4% Building'!J27+'8D - 9% Building'!J27</f>
        <v>42025</v>
      </c>
      <c r="K17" s="2143">
        <f>'8D - 4% Building'!K27+'8D - 9% Building'!K27</f>
        <v>43075.625</v>
      </c>
      <c r="L17" s="2143">
        <f>'8D - 4% Building'!L27+'8D - 9% Building'!L27</f>
        <v>44152.515625</v>
      </c>
      <c r="M17" s="2143">
        <f>'8D - 4% Building'!M27+'8D - 9% Building'!M27</f>
        <v>45256.328515624999</v>
      </c>
      <c r="N17" s="2143">
        <f>'8D - 4% Building'!N27+'8D - 9% Building'!N27</f>
        <v>46387.736728515622</v>
      </c>
      <c r="O17" s="2143">
        <f>'8D - 4% Building'!O27+'8D - 9% Building'!O27</f>
        <v>47547.430146728511</v>
      </c>
      <c r="P17" s="2143">
        <f>'8D - 4% Building'!P27+'8D - 9% Building'!P27</f>
        <v>48736.115900396726</v>
      </c>
      <c r="Q17" s="2143">
        <f>'8D - 4% Building'!Q27+'8D - 9% Building'!Q27</f>
        <v>49954.518797906647</v>
      </c>
      <c r="R17" s="2143">
        <f>'8D - 4% Building'!R27+'8D - 9% Building'!R27</f>
        <v>51203.381767854313</v>
      </c>
      <c r="S17" s="2143">
        <f>'8D - 4% Building'!S27+'8D - 9% Building'!S27</f>
        <v>52483.466312050674</v>
      </c>
      <c r="T17" s="2143">
        <f>'8D - 4% Building'!T27+'8D - 9% Building'!T27</f>
        <v>53795.552969851939</v>
      </c>
      <c r="U17" s="2143">
        <f>'8D - 4% Building'!U27+'8D - 9% Building'!U27</f>
        <v>55140.441794098238</v>
      </c>
      <c r="V17" s="2144">
        <f>'8D - 4% Building'!V27+'8D - 9% Building'!V27</f>
        <v>56518.952838950696</v>
      </c>
      <c r="W17" s="1527"/>
    </row>
    <row r="18" spans="2:23" x14ac:dyDescent="0.3">
      <c r="B18" s="729"/>
      <c r="C18" s="1646" t="s">
        <v>1514</v>
      </c>
      <c r="D18" s="1647"/>
      <c r="E18" s="782"/>
      <c r="F18" s="919"/>
      <c r="G18" s="1528"/>
      <c r="H18" s="2199">
        <f>'8D - 4% Building'!H28+'8D - 9% Building'!H28</f>
        <v>0</v>
      </c>
      <c r="I18" s="2145">
        <f>'8D - 4% Building'!I28+'8D - 9% Building'!I28</f>
        <v>0</v>
      </c>
      <c r="J18" s="2145">
        <f>'8D - 4% Building'!J28+'8D - 9% Building'!J28</f>
        <v>0</v>
      </c>
      <c r="K18" s="2145">
        <f>'8D - 4% Building'!K28+'8D - 9% Building'!K28</f>
        <v>0</v>
      </c>
      <c r="L18" s="2145">
        <f>'8D - 4% Building'!L28+'8D - 9% Building'!L28</f>
        <v>0</v>
      </c>
      <c r="M18" s="2145">
        <f>'8D - 4% Building'!M28+'8D - 9% Building'!M28</f>
        <v>0</v>
      </c>
      <c r="N18" s="2145">
        <f>'8D - 4% Building'!N28+'8D - 9% Building'!N28</f>
        <v>0</v>
      </c>
      <c r="O18" s="2145">
        <f>'8D - 4% Building'!O28+'8D - 9% Building'!O28</f>
        <v>0</v>
      </c>
      <c r="P18" s="2145">
        <f>'8D - 4% Building'!P28+'8D - 9% Building'!P28</f>
        <v>0</v>
      </c>
      <c r="Q18" s="2145">
        <f>'8D - 4% Building'!Q28+'8D - 9% Building'!Q28</f>
        <v>0</v>
      </c>
      <c r="R18" s="2145">
        <f>'8D - 4% Building'!R28+'8D - 9% Building'!R28</f>
        <v>0</v>
      </c>
      <c r="S18" s="2145">
        <f>'8D - 4% Building'!S28+'8D - 9% Building'!S28</f>
        <v>0</v>
      </c>
      <c r="T18" s="2145">
        <f>'8D - 4% Building'!T28+'8D - 9% Building'!T28</f>
        <v>0</v>
      </c>
      <c r="U18" s="2145">
        <f>'8D - 4% Building'!U28+'8D - 9% Building'!U28</f>
        <v>0</v>
      </c>
      <c r="V18" s="2146">
        <f>'8D - 4% Building'!V28+'8D - 9% Building'!V28</f>
        <v>0</v>
      </c>
      <c r="W18" s="1527"/>
    </row>
    <row r="19" spans="2:23" ht="15" thickBot="1" x14ac:dyDescent="0.35">
      <c r="B19" s="729"/>
      <c r="C19" s="267" t="s">
        <v>592</v>
      </c>
      <c r="D19" s="267"/>
      <c r="E19" s="424"/>
      <c r="F19" s="781"/>
      <c r="G19" s="1529"/>
      <c r="H19" s="788"/>
      <c r="I19" s="1530"/>
      <c r="J19" s="1530"/>
      <c r="K19" s="1530"/>
      <c r="L19" s="1530"/>
      <c r="M19" s="1530"/>
      <c r="N19" s="1530"/>
      <c r="O19" s="1530"/>
      <c r="P19" s="1530"/>
      <c r="Q19" s="1530"/>
      <c r="R19" s="1530"/>
      <c r="S19" s="1530"/>
      <c r="T19" s="1530"/>
      <c r="U19" s="1530"/>
      <c r="V19" s="1531"/>
      <c r="W19" s="1527"/>
    </row>
    <row r="20" spans="2:23" x14ac:dyDescent="0.3">
      <c r="B20" s="729"/>
      <c r="C20" s="2916"/>
      <c r="D20" s="2916"/>
      <c r="E20" s="2916"/>
      <c r="F20" s="2917"/>
      <c r="G20" s="2138">
        <f>AVERAGE('8D - 4% Building'!G30,'8D - 9% Building'!G30)</f>
        <v>2.5000000000000001E-2</v>
      </c>
      <c r="H20" s="2147">
        <f>'8D - 4% Building'!H30+'8D - 9% Building'!H30</f>
        <v>30625</v>
      </c>
      <c r="I20" s="2148">
        <f>'8D - 4% Building'!I30+'8D - 9% Building'!I30</f>
        <v>31390.625</v>
      </c>
      <c r="J20" s="2148">
        <f>'8D - 4% Building'!J30+'8D - 9% Building'!J30</f>
        <v>32175.390625</v>
      </c>
      <c r="K20" s="2148">
        <f>'8D - 4% Building'!K30+'8D - 9% Building'!K30</f>
        <v>32979.775390625</v>
      </c>
      <c r="L20" s="2148">
        <f>'8D - 4% Building'!L30+'8D - 9% Building'!L30</f>
        <v>33804.269775390625</v>
      </c>
      <c r="M20" s="2148">
        <f>'8D - 4% Building'!M30+'8D - 9% Building'!M30</f>
        <v>34649.376519775389</v>
      </c>
      <c r="N20" s="2148">
        <f>'8D - 4% Building'!N30+'8D - 9% Building'!N30</f>
        <v>35515.610932769778</v>
      </c>
      <c r="O20" s="2148">
        <f>'8D - 4% Building'!O30+'8D - 9% Building'!O30</f>
        <v>36403.501206089022</v>
      </c>
      <c r="P20" s="2148">
        <f>'8D - 4% Building'!P30+'8D - 9% Building'!P30</f>
        <v>37313.588736241247</v>
      </c>
      <c r="Q20" s="2148">
        <f>'8D - 4% Building'!Q30+'8D - 9% Building'!Q30</f>
        <v>38246.428454647277</v>
      </c>
      <c r="R20" s="2148">
        <f>'8D - 4% Building'!R30+'8D - 9% Building'!R30</f>
        <v>39202.589166013458</v>
      </c>
      <c r="S20" s="2148">
        <f>'8D - 4% Building'!S30+'8D - 9% Building'!S30</f>
        <v>40182.653895163799</v>
      </c>
      <c r="T20" s="2148">
        <f>'8D - 4% Building'!T30+'8D - 9% Building'!T30</f>
        <v>41187.220242542899</v>
      </c>
      <c r="U20" s="2148">
        <f>'8D - 4% Building'!U30+'8D - 9% Building'!U30</f>
        <v>42216.900748606466</v>
      </c>
      <c r="V20" s="2149">
        <f>'8D - 4% Building'!V30+'8D - 9% Building'!V30</f>
        <v>43272.323267321626</v>
      </c>
      <c r="W20" s="1527"/>
    </row>
    <row r="21" spans="2:23" ht="15" thickBot="1" x14ac:dyDescent="0.35">
      <c r="B21" s="729"/>
      <c r="C21" s="2918"/>
      <c r="D21" s="2918"/>
      <c r="E21" s="2918"/>
      <c r="F21" s="2919"/>
      <c r="G21" s="2142">
        <f>AVERAGE('8D - 4% Building'!G31,'8D - 9% Building'!G31)</f>
        <v>2.5000000000000001E-2</v>
      </c>
      <c r="H21" s="2150">
        <f>'8D - 4% Building'!H31+'8D - 9% Building'!H31</f>
        <v>18375</v>
      </c>
      <c r="I21" s="2151">
        <f>'8D - 4% Building'!I31+'8D - 9% Building'!I31</f>
        <v>18834.375</v>
      </c>
      <c r="J21" s="2151">
        <f>'8D - 4% Building'!J31+'8D - 9% Building'!J31</f>
        <v>19305.234375</v>
      </c>
      <c r="K21" s="2151">
        <f>'8D - 4% Building'!K31+'8D - 9% Building'!K31</f>
        <v>19787.865234375</v>
      </c>
      <c r="L21" s="2151">
        <f>'8D - 4% Building'!L31+'8D - 9% Building'!L31</f>
        <v>20282.561865234376</v>
      </c>
      <c r="M21" s="2151">
        <f>'8D - 4% Building'!M31+'8D - 9% Building'!M31</f>
        <v>20789.625911865234</v>
      </c>
      <c r="N21" s="2151">
        <f>'8D - 4% Building'!N31+'8D - 9% Building'!N31</f>
        <v>21309.366559661867</v>
      </c>
      <c r="O21" s="2151">
        <f>'8D - 4% Building'!O31+'8D - 9% Building'!O31</f>
        <v>21842.100723653413</v>
      </c>
      <c r="P21" s="2151">
        <f>'8D - 4% Building'!P31+'8D - 9% Building'!P31</f>
        <v>22388.153241744745</v>
      </c>
      <c r="Q21" s="2151">
        <f>'8D - 4% Building'!Q31+'8D - 9% Building'!Q31</f>
        <v>22947.857072788363</v>
      </c>
      <c r="R21" s="2151">
        <f>'8D - 4% Building'!R31+'8D - 9% Building'!R31</f>
        <v>23521.553499608075</v>
      </c>
      <c r="S21" s="2151">
        <f>'8D - 4% Building'!S31+'8D - 9% Building'!S31</f>
        <v>24109.592337098278</v>
      </c>
      <c r="T21" s="2151">
        <f>'8D - 4% Building'!T31+'8D - 9% Building'!T31</f>
        <v>24712.332145525736</v>
      </c>
      <c r="U21" s="2151">
        <f>'8D - 4% Building'!U31+'8D - 9% Building'!U31</f>
        <v>25330.140449163875</v>
      </c>
      <c r="V21" s="2152">
        <f>'8D - 4% Building'!V31+'8D - 9% Building'!V31</f>
        <v>25963.393960392972</v>
      </c>
      <c r="W21" s="1527"/>
    </row>
    <row r="22" spans="2:23" x14ac:dyDescent="0.3">
      <c r="B22" s="729"/>
      <c r="C22" s="267" t="s">
        <v>365</v>
      </c>
      <c r="D22" s="424"/>
      <c r="E22" s="424"/>
      <c r="F22" s="424"/>
      <c r="G22" s="268" t="s">
        <v>366</v>
      </c>
      <c r="H22" s="1069">
        <f>SUM(H15:H21)</f>
        <v>2898128</v>
      </c>
      <c r="I22" s="1070">
        <f t="shared" ref="I22:V22" si="0">SUM(I15:I21)</f>
        <v>2970581.2</v>
      </c>
      <c r="J22" s="1070">
        <f t="shared" si="0"/>
        <v>3044845.7299999995</v>
      </c>
      <c r="K22" s="1070">
        <f t="shared" si="0"/>
        <v>3120966.8732499997</v>
      </c>
      <c r="L22" s="1070">
        <f t="shared" si="0"/>
        <v>3198991.0450812494</v>
      </c>
      <c r="M22" s="1070">
        <f t="shared" si="0"/>
        <v>3278965.8212082814</v>
      </c>
      <c r="N22" s="1070">
        <f t="shared" si="0"/>
        <v>3360939.9667384876</v>
      </c>
      <c r="O22" s="1070">
        <f t="shared" si="0"/>
        <v>3444963.4659069502</v>
      </c>
      <c r="P22" s="1070">
        <f t="shared" si="0"/>
        <v>3531087.5525546242</v>
      </c>
      <c r="Q22" s="1070">
        <f t="shared" si="0"/>
        <v>3619364.7413684898</v>
      </c>
      <c r="R22" s="1070">
        <f t="shared" si="0"/>
        <v>3709848.8599027023</v>
      </c>
      <c r="S22" s="1070">
        <f t="shared" si="0"/>
        <v>3802595.0814002701</v>
      </c>
      <c r="T22" s="1070">
        <f t="shared" si="0"/>
        <v>3897659.9584352761</v>
      </c>
      <c r="U22" s="1070">
        <f t="shared" si="0"/>
        <v>3995101.457396158</v>
      </c>
      <c r="V22" s="1071">
        <f t="shared" si="0"/>
        <v>4094978.9938310622</v>
      </c>
      <c r="W22" s="1527"/>
    </row>
    <row r="23" spans="2:23" ht="15" thickBot="1" x14ac:dyDescent="0.35">
      <c r="B23" s="729"/>
      <c r="C23" s="270" t="s">
        <v>368</v>
      </c>
      <c r="D23" s="271"/>
      <c r="E23" s="616"/>
      <c r="F23" s="617"/>
      <c r="G23" s="618"/>
      <c r="H23" s="2153">
        <f>'8D - 4% Building'!H33+'8D - 9% Building'!H33</f>
        <v>0</v>
      </c>
      <c r="I23" s="2154">
        <f>'8D - 4% Building'!I33+'8D - 9% Building'!I33</f>
        <v>0</v>
      </c>
      <c r="J23" s="2154">
        <f>'8D - 4% Building'!J33+'8D - 9% Building'!J33</f>
        <v>0</v>
      </c>
      <c r="K23" s="2154">
        <f>'8D - 4% Building'!K33+'8D - 9% Building'!K33</f>
        <v>0</v>
      </c>
      <c r="L23" s="2154">
        <f>'8D - 4% Building'!L33+'8D - 9% Building'!L33</f>
        <v>0</v>
      </c>
      <c r="M23" s="2154">
        <f>'8D - 4% Building'!M33+'8D - 9% Building'!M33</f>
        <v>0</v>
      </c>
      <c r="N23" s="2154">
        <f>'8D - 4% Building'!N33+'8D - 9% Building'!N33</f>
        <v>0</v>
      </c>
      <c r="O23" s="2154">
        <f>'8D - 4% Building'!O33+'8D - 9% Building'!O33</f>
        <v>0</v>
      </c>
      <c r="P23" s="2154">
        <f>'8D - 4% Building'!P33+'8D - 9% Building'!P33</f>
        <v>0</v>
      </c>
      <c r="Q23" s="2154">
        <f>'8D - 4% Building'!Q33+'8D - 9% Building'!Q33</f>
        <v>0</v>
      </c>
      <c r="R23" s="2154">
        <f>'8D - 4% Building'!R33+'8D - 9% Building'!R33</f>
        <v>0</v>
      </c>
      <c r="S23" s="2154">
        <f>'8D - 4% Building'!S33+'8D - 9% Building'!S33</f>
        <v>0</v>
      </c>
      <c r="T23" s="2154">
        <f>'8D - 4% Building'!T33+'8D - 9% Building'!T33</f>
        <v>0</v>
      </c>
      <c r="U23" s="2154">
        <f>'8D - 4% Building'!U33+'8D - 9% Building'!U33</f>
        <v>0</v>
      </c>
      <c r="V23" s="2155">
        <f>'8D - 4% Building'!V33+'8D - 9% Building'!V33</f>
        <v>0</v>
      </c>
      <c r="W23" s="1527"/>
    </row>
    <row r="24" spans="2:23" ht="15" thickTop="1" x14ac:dyDescent="0.3">
      <c r="B24" s="729"/>
      <c r="C24" s="265" t="s">
        <v>369</v>
      </c>
      <c r="D24" s="424"/>
      <c r="E24" s="424"/>
      <c r="F24" s="424"/>
      <c r="G24" s="269" t="s">
        <v>366</v>
      </c>
      <c r="H24" s="1075">
        <f>H22+H23</f>
        <v>2898128</v>
      </c>
      <c r="I24" s="1076">
        <f t="shared" ref="I24:V24" si="1">I22+I23</f>
        <v>2970581.2</v>
      </c>
      <c r="J24" s="1076">
        <f t="shared" si="1"/>
        <v>3044845.7299999995</v>
      </c>
      <c r="K24" s="1076">
        <f t="shared" si="1"/>
        <v>3120966.8732499997</v>
      </c>
      <c r="L24" s="1076">
        <f t="shared" si="1"/>
        <v>3198991.0450812494</v>
      </c>
      <c r="M24" s="1076">
        <f t="shared" si="1"/>
        <v>3278965.8212082814</v>
      </c>
      <c r="N24" s="1076">
        <f t="shared" si="1"/>
        <v>3360939.9667384876</v>
      </c>
      <c r="O24" s="1076">
        <f t="shared" si="1"/>
        <v>3444963.4659069502</v>
      </c>
      <c r="P24" s="1076">
        <f t="shared" si="1"/>
        <v>3531087.5525546242</v>
      </c>
      <c r="Q24" s="1076">
        <f t="shared" si="1"/>
        <v>3619364.7413684898</v>
      </c>
      <c r="R24" s="1076">
        <f t="shared" si="1"/>
        <v>3709848.8599027023</v>
      </c>
      <c r="S24" s="1076">
        <f t="shared" si="1"/>
        <v>3802595.0814002701</v>
      </c>
      <c r="T24" s="1076">
        <f t="shared" si="1"/>
        <v>3897659.9584352761</v>
      </c>
      <c r="U24" s="1076">
        <f t="shared" si="1"/>
        <v>3995101.457396158</v>
      </c>
      <c r="V24" s="1077">
        <f t="shared" si="1"/>
        <v>4094978.9938310622</v>
      </c>
      <c r="W24" s="1527"/>
    </row>
    <row r="25" spans="2:23" ht="15" thickBot="1" x14ac:dyDescent="0.35">
      <c r="B25" s="729"/>
      <c r="C25" s="265"/>
      <c r="D25" s="424"/>
      <c r="E25" s="424"/>
      <c r="F25" s="384"/>
      <c r="G25" s="272" t="s">
        <v>370</v>
      </c>
      <c r="H25" s="243"/>
      <c r="I25" s="244"/>
      <c r="J25" s="244"/>
      <c r="K25" s="244"/>
      <c r="L25" s="244"/>
      <c r="M25" s="244"/>
      <c r="N25" s="244"/>
      <c r="O25" s="244"/>
      <c r="P25" s="244"/>
      <c r="Q25" s="244"/>
      <c r="R25" s="244"/>
      <c r="S25" s="244"/>
      <c r="T25" s="244"/>
      <c r="U25" s="244"/>
      <c r="V25" s="254"/>
      <c r="W25" s="1527"/>
    </row>
    <row r="26" spans="2:23" x14ac:dyDescent="0.3">
      <c r="B26" s="729"/>
      <c r="C26" s="273" t="s">
        <v>371</v>
      </c>
      <c r="D26" s="613"/>
      <c r="E26" s="613"/>
      <c r="F26" s="1532"/>
      <c r="G26" s="2138">
        <f>AVERAGE('8D - 4% Building'!G36,'8D - 9% Building'!G36)</f>
        <v>0.05</v>
      </c>
      <c r="H26" s="1078">
        <f t="shared" ref="H26:V27" si="2">-H22*$G26</f>
        <v>-144906.4</v>
      </c>
      <c r="I26" s="1079">
        <f t="shared" si="2"/>
        <v>-148529.06000000003</v>
      </c>
      <c r="J26" s="1079">
        <f t="shared" si="2"/>
        <v>-152242.28649999999</v>
      </c>
      <c r="K26" s="1079">
        <f t="shared" si="2"/>
        <v>-156048.3436625</v>
      </c>
      <c r="L26" s="1079">
        <f t="shared" si="2"/>
        <v>-159949.5522540625</v>
      </c>
      <c r="M26" s="1079">
        <f t="shared" si="2"/>
        <v>-163948.29106041408</v>
      </c>
      <c r="N26" s="1079">
        <f t="shared" si="2"/>
        <v>-168046.99833692439</v>
      </c>
      <c r="O26" s="1079">
        <f t="shared" si="2"/>
        <v>-172248.17329534751</v>
      </c>
      <c r="P26" s="1079">
        <f t="shared" si="2"/>
        <v>-176554.37762773121</v>
      </c>
      <c r="Q26" s="1079">
        <f t="shared" si="2"/>
        <v>-180968.2370684245</v>
      </c>
      <c r="R26" s="1079">
        <f t="shared" si="2"/>
        <v>-185492.44299513512</v>
      </c>
      <c r="S26" s="1079">
        <f t="shared" si="2"/>
        <v>-190129.75407001353</v>
      </c>
      <c r="T26" s="1079">
        <f t="shared" si="2"/>
        <v>-194882.9979217638</v>
      </c>
      <c r="U26" s="1079">
        <f t="shared" si="2"/>
        <v>-199755.07286980792</v>
      </c>
      <c r="V26" s="1080">
        <f t="shared" si="2"/>
        <v>-204748.94969155313</v>
      </c>
      <c r="W26" s="1527"/>
    </row>
    <row r="27" spans="2:23" ht="15" thickBot="1" x14ac:dyDescent="0.35">
      <c r="B27" s="729"/>
      <c r="C27" s="274" t="s">
        <v>372</v>
      </c>
      <c r="D27" s="616"/>
      <c r="E27" s="616"/>
      <c r="F27" s="1533"/>
      <c r="G27" s="2156">
        <f>AVERAGE('8D - 4% Building'!G37,'8D - 9% Building'!G37)</f>
        <v>0.1</v>
      </c>
      <c r="H27" s="1081">
        <f t="shared" si="2"/>
        <v>0</v>
      </c>
      <c r="I27" s="1082">
        <f t="shared" si="2"/>
        <v>0</v>
      </c>
      <c r="J27" s="1082">
        <f t="shared" si="2"/>
        <v>0</v>
      </c>
      <c r="K27" s="1082">
        <f t="shared" si="2"/>
        <v>0</v>
      </c>
      <c r="L27" s="1082">
        <f t="shared" si="2"/>
        <v>0</v>
      </c>
      <c r="M27" s="1082">
        <f t="shared" si="2"/>
        <v>0</v>
      </c>
      <c r="N27" s="1082">
        <f t="shared" si="2"/>
        <v>0</v>
      </c>
      <c r="O27" s="1082">
        <f t="shared" si="2"/>
        <v>0</v>
      </c>
      <c r="P27" s="1082">
        <f t="shared" si="2"/>
        <v>0</v>
      </c>
      <c r="Q27" s="1082">
        <f t="shared" si="2"/>
        <v>0</v>
      </c>
      <c r="R27" s="1082">
        <f t="shared" si="2"/>
        <v>0</v>
      </c>
      <c r="S27" s="1082">
        <f t="shared" si="2"/>
        <v>0</v>
      </c>
      <c r="T27" s="1082">
        <f t="shared" si="2"/>
        <v>0</v>
      </c>
      <c r="U27" s="1082">
        <f t="shared" si="2"/>
        <v>0</v>
      </c>
      <c r="V27" s="1083">
        <f t="shared" si="2"/>
        <v>0</v>
      </c>
      <c r="W27" s="1527"/>
    </row>
    <row r="28" spans="2:23" ht="15.6" thickTop="1" thickBot="1" x14ac:dyDescent="0.35">
      <c r="B28" s="729"/>
      <c r="C28" s="275" t="s">
        <v>373</v>
      </c>
      <c r="D28" s="424"/>
      <c r="E28" s="424"/>
      <c r="F28" s="424"/>
      <c r="G28" s="268" t="s">
        <v>366</v>
      </c>
      <c r="H28" s="1084">
        <f>H24+H26+H27</f>
        <v>2753221.6</v>
      </c>
      <c r="I28" s="1085">
        <f t="shared" ref="I28:V28" si="3">I24+I26+I27</f>
        <v>2822052.14</v>
      </c>
      <c r="J28" s="1085">
        <f t="shared" si="3"/>
        <v>2892603.4434999996</v>
      </c>
      <c r="K28" s="1085">
        <f t="shared" si="3"/>
        <v>2964918.5295874998</v>
      </c>
      <c r="L28" s="1085">
        <f t="shared" si="3"/>
        <v>3039041.4928271868</v>
      </c>
      <c r="M28" s="1085">
        <f t="shared" si="3"/>
        <v>3115017.5301478673</v>
      </c>
      <c r="N28" s="1085">
        <f t="shared" si="3"/>
        <v>3192892.9684015634</v>
      </c>
      <c r="O28" s="1085">
        <f t="shared" si="3"/>
        <v>3272715.2926116027</v>
      </c>
      <c r="P28" s="1085">
        <f t="shared" si="3"/>
        <v>3354533.1749268929</v>
      </c>
      <c r="Q28" s="1085">
        <f t="shared" si="3"/>
        <v>3438396.5043000653</v>
      </c>
      <c r="R28" s="1085">
        <f t="shared" si="3"/>
        <v>3524356.4169075671</v>
      </c>
      <c r="S28" s="1085">
        <f t="shared" si="3"/>
        <v>3612465.3273302568</v>
      </c>
      <c r="T28" s="1085">
        <f t="shared" si="3"/>
        <v>3702776.9605135121</v>
      </c>
      <c r="U28" s="1085">
        <f t="shared" si="3"/>
        <v>3795346.3845263501</v>
      </c>
      <c r="V28" s="1086">
        <f t="shared" si="3"/>
        <v>3890230.0441395091</v>
      </c>
      <c r="W28" s="1527"/>
    </row>
    <row r="29" spans="2:23" ht="7.5" customHeight="1" thickBot="1" x14ac:dyDescent="0.35">
      <c r="B29" s="729"/>
      <c r="C29" s="424"/>
      <c r="D29" s="424"/>
      <c r="E29" s="424"/>
      <c r="F29" s="424"/>
      <c r="G29" s="424"/>
      <c r="H29" s="424"/>
      <c r="I29" s="424"/>
      <c r="J29" s="424"/>
      <c r="K29" s="424"/>
      <c r="L29" s="424"/>
      <c r="M29" s="424"/>
      <c r="N29" s="424"/>
      <c r="O29" s="424"/>
      <c r="P29" s="424"/>
      <c r="Q29" s="424"/>
      <c r="R29" s="424"/>
      <c r="S29" s="424"/>
      <c r="T29" s="424"/>
      <c r="U29" s="424"/>
      <c r="V29" s="424"/>
      <c r="W29" s="1527"/>
    </row>
    <row r="30" spans="2:23" ht="15" thickBot="1" x14ac:dyDescent="0.35">
      <c r="B30" s="729"/>
      <c r="C30" s="267" t="s">
        <v>367</v>
      </c>
      <c r="D30" s="269"/>
      <c r="E30" s="424"/>
      <c r="F30" s="615"/>
      <c r="G30" s="424"/>
      <c r="H30" s="2200">
        <f>'8D - 4% Building'!H40+'8D - 9% Building'!H40</f>
        <v>0</v>
      </c>
      <c r="I30" s="2157">
        <f>'8D - 4% Building'!I40+'8D - 9% Building'!I40</f>
        <v>0</v>
      </c>
      <c r="J30" s="2157">
        <f>'8D - 4% Building'!J40+'8D - 9% Building'!J40</f>
        <v>0</v>
      </c>
      <c r="K30" s="2157">
        <f>'8D - 4% Building'!K40+'8D - 9% Building'!K40</f>
        <v>0</v>
      </c>
      <c r="L30" s="2157">
        <f>'8D - 4% Building'!L40+'8D - 9% Building'!L40</f>
        <v>0</v>
      </c>
      <c r="M30" s="2157">
        <f>'8D - 4% Building'!M40+'8D - 9% Building'!M40</f>
        <v>0</v>
      </c>
      <c r="N30" s="2157">
        <f>'8D - 4% Building'!N40+'8D - 9% Building'!N40</f>
        <v>0</v>
      </c>
      <c r="O30" s="2157">
        <f>'8D - 4% Building'!O40+'8D - 9% Building'!O40</f>
        <v>0</v>
      </c>
      <c r="P30" s="2157">
        <f>'8D - 4% Building'!P40+'8D - 9% Building'!P40</f>
        <v>0</v>
      </c>
      <c r="Q30" s="2157">
        <f>'8D - 4% Building'!Q40+'8D - 9% Building'!Q40</f>
        <v>0</v>
      </c>
      <c r="R30" s="2157">
        <f>'8D - 4% Building'!R40+'8D - 9% Building'!R40</f>
        <v>0</v>
      </c>
      <c r="S30" s="2157">
        <f>'8D - 4% Building'!S40+'8D - 9% Building'!S40</f>
        <v>0</v>
      </c>
      <c r="T30" s="2157">
        <f>'8D - 4% Building'!T40+'8D - 9% Building'!T40</f>
        <v>0</v>
      </c>
      <c r="U30" s="2157">
        <f>'8D - 4% Building'!U40+'8D - 9% Building'!U40</f>
        <v>0</v>
      </c>
      <c r="V30" s="2158">
        <f>'8D - 4% Building'!V40+'8D - 9% Building'!V40</f>
        <v>0</v>
      </c>
      <c r="W30" s="1527"/>
    </row>
    <row r="31" spans="2:23" ht="7.5" customHeight="1" x14ac:dyDescent="0.3">
      <c r="B31" s="729"/>
      <c r="C31" s="267"/>
      <c r="D31" s="269"/>
      <c r="E31" s="424"/>
      <c r="F31" s="424"/>
      <c r="G31" s="424"/>
      <c r="H31" s="1683"/>
      <c r="I31" s="1683"/>
      <c r="J31" s="1683"/>
      <c r="K31" s="1683"/>
      <c r="L31" s="1683"/>
      <c r="M31" s="1683"/>
      <c r="N31" s="1683"/>
      <c r="O31" s="1683"/>
      <c r="P31" s="1683"/>
      <c r="Q31" s="1683"/>
      <c r="R31" s="1683"/>
      <c r="S31" s="1683"/>
      <c r="T31" s="1683"/>
      <c r="U31" s="1683"/>
      <c r="V31" s="1684"/>
      <c r="W31" s="1527"/>
    </row>
    <row r="32" spans="2:23" ht="15" thickBot="1" x14ac:dyDescent="0.35">
      <c r="B32" s="260"/>
      <c r="C32" s="783" t="s">
        <v>540</v>
      </c>
      <c r="D32" s="245"/>
      <c r="E32" s="245"/>
      <c r="F32" s="245"/>
      <c r="G32" s="245"/>
      <c r="H32" s="245"/>
      <c r="I32" s="245"/>
      <c r="J32" s="245"/>
      <c r="K32" s="246"/>
      <c r="L32" s="245"/>
      <c r="M32" s="245"/>
      <c r="N32" s="245"/>
      <c r="O32" s="245"/>
      <c r="P32" s="245"/>
      <c r="Q32" s="245"/>
      <c r="R32" s="245"/>
      <c r="S32" s="245"/>
      <c r="T32" s="245"/>
      <c r="U32" s="245"/>
      <c r="V32" s="245"/>
      <c r="W32" s="1527"/>
    </row>
    <row r="33" spans="2:23" ht="15" thickBot="1" x14ac:dyDescent="0.35">
      <c r="B33" s="260"/>
      <c r="C33" s="384"/>
      <c r="D33" s="267"/>
      <c r="E33" s="267"/>
      <c r="F33" s="2133" t="s">
        <v>403</v>
      </c>
      <c r="G33" s="268" t="s">
        <v>366</v>
      </c>
      <c r="H33" s="1087">
        <f>H85</f>
        <v>1324469.2000000002</v>
      </c>
      <c r="I33" s="1088">
        <f t="shared" ref="I33:V33" si="4">I85</f>
        <v>1344144.6710000001</v>
      </c>
      <c r="J33" s="1088">
        <f t="shared" si="4"/>
        <v>1363830.0915849993</v>
      </c>
      <c r="K33" s="1088">
        <f t="shared" si="4"/>
        <v>1383508.3759679748</v>
      </c>
      <c r="L33" s="1088">
        <f t="shared" si="4"/>
        <v>1403161.385839791</v>
      </c>
      <c r="M33" s="1088">
        <f t="shared" si="4"/>
        <v>1422769.8814211856</v>
      </c>
      <c r="N33" s="1088">
        <f t="shared" si="4"/>
        <v>1442313.4704689416</v>
      </c>
      <c r="O33" s="1088">
        <f t="shared" si="4"/>
        <v>1461770.5551551739</v>
      </c>
      <c r="P33" s="1088">
        <f t="shared" si="4"/>
        <v>1481118.2767354471</v>
      </c>
      <c r="Q33" s="1088">
        <f t="shared" si="4"/>
        <v>1500332.4579182842</v>
      </c>
      <c r="R33" s="1088">
        <f t="shared" si="4"/>
        <v>1519387.542845197</v>
      </c>
      <c r="S33" s="1088">
        <f t="shared" si="4"/>
        <v>1538256.5345869048</v>
      </c>
      <c r="T33" s="1088">
        <f t="shared" si="4"/>
        <v>1556910.9300577771</v>
      </c>
      <c r="U33" s="1088">
        <f t="shared" si="4"/>
        <v>1575320.6522467784</v>
      </c>
      <c r="V33" s="1089">
        <f t="shared" si="4"/>
        <v>1593453.9796592644</v>
      </c>
      <c r="W33" s="1527"/>
    </row>
    <row r="34" spans="2:23" x14ac:dyDescent="0.3">
      <c r="B34" s="260"/>
      <c r="C34" s="275"/>
      <c r="D34" s="267"/>
      <c r="E34" s="267"/>
      <c r="F34" s="267"/>
      <c r="G34" s="268"/>
      <c r="H34" s="289"/>
      <c r="I34" s="289"/>
      <c r="J34" s="289"/>
      <c r="K34" s="289"/>
      <c r="L34" s="289"/>
      <c r="M34" s="289"/>
      <c r="N34" s="289"/>
      <c r="O34" s="424"/>
      <c r="P34" s="424"/>
      <c r="Q34" s="424"/>
      <c r="R34" s="424"/>
      <c r="S34" s="424"/>
      <c r="T34" s="424"/>
      <c r="U34" s="424"/>
      <c r="V34" s="424"/>
      <c r="W34" s="1527"/>
    </row>
    <row r="35" spans="2:23" ht="15" thickBot="1" x14ac:dyDescent="0.35">
      <c r="B35" s="729"/>
      <c r="C35" s="2872" t="s">
        <v>404</v>
      </c>
      <c r="D35" s="2872"/>
      <c r="E35" s="252"/>
      <c r="F35" s="252"/>
      <c r="G35" s="252"/>
      <c r="H35" s="252"/>
      <c r="I35" s="252"/>
      <c r="J35" s="252"/>
      <c r="K35" s="252"/>
      <c r="L35" s="252"/>
      <c r="M35" s="252"/>
      <c r="N35" s="252"/>
      <c r="O35" s="252"/>
      <c r="P35" s="252"/>
      <c r="Q35" s="252"/>
      <c r="R35" s="252"/>
      <c r="S35" s="252"/>
      <c r="T35" s="252"/>
      <c r="U35" s="252"/>
      <c r="V35" s="252"/>
      <c r="W35" s="1527"/>
    </row>
    <row r="36" spans="2:23" ht="15" thickBot="1" x14ac:dyDescent="0.35">
      <c r="B36" s="729"/>
      <c r="C36" s="2193" t="s">
        <v>405</v>
      </c>
      <c r="D36" s="2194"/>
      <c r="E36" s="2195"/>
      <c r="F36" s="2865" t="s">
        <v>406</v>
      </c>
      <c r="G36" s="2866"/>
      <c r="H36" s="241" t="s">
        <v>356</v>
      </c>
      <c r="I36" s="730" t="s">
        <v>357</v>
      </c>
      <c r="J36" s="730" t="s">
        <v>358</v>
      </c>
      <c r="K36" s="730" t="s">
        <v>359</v>
      </c>
      <c r="L36" s="730" t="s">
        <v>360</v>
      </c>
      <c r="M36" s="730" t="s">
        <v>361</v>
      </c>
      <c r="N36" s="730" t="s">
        <v>362</v>
      </c>
      <c r="O36" s="730" t="s">
        <v>414</v>
      </c>
      <c r="P36" s="730" t="s">
        <v>415</v>
      </c>
      <c r="Q36" s="730" t="s">
        <v>416</v>
      </c>
      <c r="R36" s="730" t="s">
        <v>417</v>
      </c>
      <c r="S36" s="730" t="s">
        <v>418</v>
      </c>
      <c r="T36" s="730" t="s">
        <v>419</v>
      </c>
      <c r="U36" s="730" t="s">
        <v>420</v>
      </c>
      <c r="V36" s="735" t="s">
        <v>421</v>
      </c>
      <c r="W36" s="1527"/>
    </row>
    <row r="37" spans="2:23" ht="15" thickTop="1" x14ac:dyDescent="0.3">
      <c r="B37" s="729"/>
      <c r="C37" s="620"/>
      <c r="D37" s="620"/>
      <c r="E37" s="620"/>
      <c r="F37" s="621"/>
      <c r="G37" s="622" t="s">
        <v>410</v>
      </c>
      <c r="H37" s="2201">
        <f>'8D - 4% Building'!H50+'8D - 9% Building'!H50</f>
        <v>1141448.6400000001</v>
      </c>
      <c r="I37" s="2202">
        <f>'8D - 4% Building'!I50+'8D - 9% Building'!I50</f>
        <v>1141448.6400000001</v>
      </c>
      <c r="J37" s="2202">
        <f>'8D - 4% Building'!J50+'8D - 9% Building'!J50</f>
        <v>1141448.6400000001</v>
      </c>
      <c r="K37" s="2202">
        <f>'8D - 4% Building'!K50+'8D - 9% Building'!K50</f>
        <v>1141448.6400000001</v>
      </c>
      <c r="L37" s="2202">
        <f>'8D - 4% Building'!L50+'8D - 9% Building'!L50</f>
        <v>1141448.6400000001</v>
      </c>
      <c r="M37" s="2202">
        <f>'8D - 4% Building'!M50+'8D - 9% Building'!M50</f>
        <v>1141448.6400000001</v>
      </c>
      <c r="N37" s="2202">
        <f>'8D - 4% Building'!N50+'8D - 9% Building'!N50</f>
        <v>1141448.6400000001</v>
      </c>
      <c r="O37" s="2202">
        <f>'8D - 4% Building'!O50+'8D - 9% Building'!O50</f>
        <v>1141448.6400000001</v>
      </c>
      <c r="P37" s="2202">
        <f>'8D - 4% Building'!P50+'8D - 9% Building'!P50</f>
        <v>1141448.6400000001</v>
      </c>
      <c r="Q37" s="2202">
        <f>'8D - 4% Building'!Q50+'8D - 9% Building'!Q50</f>
        <v>1141448.6400000001</v>
      </c>
      <c r="R37" s="2202">
        <f>'8D - 4% Building'!R50+'8D - 9% Building'!R50</f>
        <v>1141448.6400000001</v>
      </c>
      <c r="S37" s="2202">
        <f>'8D - 4% Building'!S50+'8D - 9% Building'!S50</f>
        <v>1141448.6400000001</v>
      </c>
      <c r="T37" s="2202">
        <f>'8D - 4% Building'!T50+'8D - 9% Building'!T50</f>
        <v>1141448.6400000001</v>
      </c>
      <c r="U37" s="2202">
        <f>'8D - 4% Building'!U50+'8D - 9% Building'!U50</f>
        <v>1141448.6400000001</v>
      </c>
      <c r="V37" s="2203">
        <f>'8D - 4% Building'!V50+'8D - 9% Building'!V50</f>
        <v>1141448.6400000001</v>
      </c>
      <c r="W37" s="1527"/>
    </row>
    <row r="38" spans="2:23" x14ac:dyDescent="0.3">
      <c r="B38" s="729"/>
      <c r="C38" s="620"/>
      <c r="D38" s="620"/>
      <c r="E38" s="1143"/>
      <c r="F38" s="2133"/>
      <c r="G38" s="2133" t="s">
        <v>411</v>
      </c>
      <c r="H38" s="1116">
        <f>IFERROR((AVERAGE('8D - 4% Building'!H51,'8D - 9% Building'!H51)),0)</f>
        <v>1.1744370141530731</v>
      </c>
      <c r="I38" s="1117">
        <f>IFERROR((AVERAGE('8D - 4% Building'!I51,'8D - 9% Building'!I51)),0)</f>
        <v>1.1870381734167625</v>
      </c>
      <c r="J38" s="1117">
        <f>IFERROR((AVERAGE('8D - 4% Building'!J51,'8D - 9% Building'!J51)),0)</f>
        <v>1.1993542468453595</v>
      </c>
      <c r="K38" s="1117">
        <f>IFERROR((AVERAGE('8D - 4% Building'!K51,'8D - 9% Building'!K51)),0)</f>
        <v>1.2113565623542604</v>
      </c>
      <c r="L38" s="1117">
        <f>IFERROR((AVERAGE('8D - 4% Building'!L51,'8D - 9% Building'!L51)),0)</f>
        <v>1.2230149553470886</v>
      </c>
      <c r="M38" s="1117">
        <f>IFERROR((AVERAGE('8D - 4% Building'!M51,'8D - 9% Building'!M51)),0)</f>
        <v>1.2342977033875817</v>
      </c>
      <c r="N38" s="1117">
        <f>IFERROR((AVERAGE('8D - 4% Building'!N51,'8D - 9% Building'!N51)),0)</f>
        <v>1.2451714582231403</v>
      </c>
      <c r="O38" s="1117">
        <f>IFERROR((AVERAGE('8D - 4% Building'!O51,'8D - 9% Building'!O51)),0)</f>
        <v>1.2556011750568743</v>
      </c>
      <c r="P38" s="1117">
        <f>IFERROR((AVERAGE('8D - 4% Building'!P51,'8D - 9% Building'!P51)),0)</f>
        <v>1.2655500389611318</v>
      </c>
      <c r="Q38" s="1117">
        <f>IFERROR((AVERAGE('8D - 4% Building'!Q51,'8D - 9% Building'!Q51)),0)</f>
        <v>1.274979388321374</v>
      </c>
      <c r="R38" s="1117">
        <f>IFERROR((AVERAGE('8D - 4% Building'!R51,'8D - 9% Building'!R51)),0)</f>
        <v>1.2838486351950407</v>
      </c>
      <c r="S38" s="1117">
        <f>IFERROR((AVERAGE('8D - 4% Building'!S51,'8D - 9% Building'!S51)),0)</f>
        <v>1.2921151824656811</v>
      </c>
      <c r="T38" s="1117">
        <f>IFERROR((AVERAGE('8D - 4% Building'!T51,'8D - 9% Building'!T51)),0)</f>
        <v>1.2997343376680743</v>
      </c>
      <c r="U38" s="1117">
        <f>IFERROR((AVERAGE('8D - 4% Building'!U51,'8D - 9% Building'!U51)),0)</f>
        <v>1.3066592233553143</v>
      </c>
      <c r="V38" s="1118">
        <f>IFERROR((AVERAGE('8D - 4% Building'!V51,'8D - 9% Building'!V51)),0)</f>
        <v>1.3128406838739866</v>
      </c>
      <c r="W38" s="1527"/>
    </row>
    <row r="39" spans="2:23" ht="15" thickBot="1" x14ac:dyDescent="0.35">
      <c r="B39" s="729"/>
      <c r="C39" s="620"/>
      <c r="D39" s="620"/>
      <c r="E39" s="2870" t="s">
        <v>648</v>
      </c>
      <c r="F39" s="2870"/>
      <c r="G39" s="2871"/>
      <c r="H39" s="1102">
        <f>H33-H37</f>
        <v>183020.56000000006</v>
      </c>
      <c r="I39" s="1103">
        <f t="shared" ref="I39:V39" si="5">I33-I37</f>
        <v>202696.03099999996</v>
      </c>
      <c r="J39" s="1103">
        <f t="shared" si="5"/>
        <v>222381.45158499922</v>
      </c>
      <c r="K39" s="1103">
        <f t="shared" si="5"/>
        <v>242059.73596797464</v>
      </c>
      <c r="L39" s="1103">
        <f t="shared" si="5"/>
        <v>261712.74583979091</v>
      </c>
      <c r="M39" s="1103">
        <f t="shared" si="5"/>
        <v>281321.24142118543</v>
      </c>
      <c r="N39" s="1103">
        <f t="shared" si="5"/>
        <v>300864.83046894148</v>
      </c>
      <c r="O39" s="1103">
        <f t="shared" si="5"/>
        <v>320321.91515517375</v>
      </c>
      <c r="P39" s="1103">
        <f t="shared" si="5"/>
        <v>339669.63673544698</v>
      </c>
      <c r="Q39" s="1103">
        <f t="shared" si="5"/>
        <v>358883.8179182841</v>
      </c>
      <c r="R39" s="1103">
        <f t="shared" si="5"/>
        <v>377938.90284519689</v>
      </c>
      <c r="S39" s="1103">
        <f t="shared" si="5"/>
        <v>396807.89458690467</v>
      </c>
      <c r="T39" s="1103">
        <f t="shared" si="5"/>
        <v>415462.29005777696</v>
      </c>
      <c r="U39" s="1103">
        <f t="shared" si="5"/>
        <v>433872.01224677823</v>
      </c>
      <c r="V39" s="1104">
        <f t="shared" si="5"/>
        <v>452005.33965926431</v>
      </c>
      <c r="W39" s="1527"/>
    </row>
    <row r="40" spans="2:23" ht="15" customHeight="1" thickBot="1" x14ac:dyDescent="0.35">
      <c r="B40" s="729"/>
      <c r="C40" s="620"/>
      <c r="D40" s="620"/>
      <c r="E40" s="620"/>
      <c r="F40" s="621"/>
      <c r="G40" s="621"/>
      <c r="H40" s="623"/>
      <c r="I40" s="623"/>
      <c r="J40" s="623"/>
      <c r="K40" s="623"/>
      <c r="L40" s="623"/>
      <c r="M40" s="623"/>
      <c r="N40" s="623"/>
      <c r="O40" s="424"/>
      <c r="P40" s="424"/>
      <c r="Q40" s="424"/>
      <c r="R40" s="424"/>
      <c r="S40" s="424"/>
      <c r="T40" s="424"/>
      <c r="U40" s="424"/>
      <c r="V40" s="424"/>
      <c r="W40" s="1527"/>
    </row>
    <row r="41" spans="2:23" ht="15" thickBot="1" x14ac:dyDescent="0.35">
      <c r="B41" s="729"/>
      <c r="C41" s="2193" t="s">
        <v>412</v>
      </c>
      <c r="D41" s="2194"/>
      <c r="E41" s="2195"/>
      <c r="F41" s="2865" t="s">
        <v>406</v>
      </c>
      <c r="G41" s="2866"/>
      <c r="H41" s="241" t="s">
        <v>356</v>
      </c>
      <c r="I41" s="730" t="s">
        <v>357</v>
      </c>
      <c r="J41" s="730" t="s">
        <v>358</v>
      </c>
      <c r="K41" s="730" t="s">
        <v>359</v>
      </c>
      <c r="L41" s="730" t="s">
        <v>360</v>
      </c>
      <c r="M41" s="730" t="s">
        <v>361</v>
      </c>
      <c r="N41" s="730" t="s">
        <v>362</v>
      </c>
      <c r="O41" s="730" t="s">
        <v>414</v>
      </c>
      <c r="P41" s="730" t="s">
        <v>415</v>
      </c>
      <c r="Q41" s="730" t="s">
        <v>416</v>
      </c>
      <c r="R41" s="730" t="s">
        <v>417</v>
      </c>
      <c r="S41" s="730" t="s">
        <v>418</v>
      </c>
      <c r="T41" s="730" t="s">
        <v>419</v>
      </c>
      <c r="U41" s="730" t="s">
        <v>420</v>
      </c>
      <c r="V41" s="735" t="s">
        <v>421</v>
      </c>
      <c r="W41" s="1527"/>
    </row>
    <row r="42" spans="2:23" ht="15.6" thickTop="1" thickBot="1" x14ac:dyDescent="0.35">
      <c r="B42" s="729"/>
      <c r="C42" s="424"/>
      <c r="D42" s="424"/>
      <c r="E42" s="275"/>
      <c r="F42" s="1145"/>
      <c r="G42" s="1144" t="s">
        <v>645</v>
      </c>
      <c r="H42" s="2204">
        <f>'8D - 4% Building'!H59+'8D - 9% Building'!H59</f>
        <v>160000</v>
      </c>
      <c r="I42" s="2205">
        <f>'8D - 4% Building'!I59+'8D - 9% Building'!I59</f>
        <v>165000</v>
      </c>
      <c r="J42" s="2205">
        <f>'8D - 4% Building'!J59+'8D - 9% Building'!J59</f>
        <v>180000</v>
      </c>
      <c r="K42" s="2205">
        <f>'8D - 4% Building'!K59+'8D - 9% Building'!K59</f>
        <v>195000</v>
      </c>
      <c r="L42" s="2205">
        <f>'8D - 4% Building'!L59+'8D - 9% Building'!L59</f>
        <v>215000</v>
      </c>
      <c r="M42" s="2205">
        <f>'8D - 4% Building'!M59+'8D - 9% Building'!M59</f>
        <v>239448</v>
      </c>
      <c r="N42" s="2205">
        <f>'8D - 4% Building'!N59+'8D - 9% Building'!N59</f>
        <v>260000</v>
      </c>
      <c r="O42" s="2205">
        <f>'8D - 4% Building'!O59+'8D - 9% Building'!O59</f>
        <v>280000</v>
      </c>
      <c r="P42" s="2205">
        <f>'8D - 4% Building'!P59+'8D - 9% Building'!P59</f>
        <v>300000</v>
      </c>
      <c r="Q42" s="2205">
        <f>'8D - 4% Building'!Q59+'8D - 9% Building'!Q59</f>
        <v>320000</v>
      </c>
      <c r="R42" s="2205">
        <f>'8D - 4% Building'!R59+'8D - 9% Building'!R59</f>
        <v>340000</v>
      </c>
      <c r="S42" s="2205">
        <f>'8D - 4% Building'!S59+'8D - 9% Building'!S59</f>
        <v>360000</v>
      </c>
      <c r="T42" s="2205">
        <f>'8D - 4% Building'!T59+'8D - 9% Building'!T59</f>
        <v>374590</v>
      </c>
      <c r="U42" s="2205">
        <f>'8D - 4% Building'!U59+'8D - 9% Building'!U59</f>
        <v>385000</v>
      </c>
      <c r="V42" s="2206">
        <f>'8D - 4% Building'!V59+'8D - 9% Building'!V59</f>
        <v>410000</v>
      </c>
      <c r="W42" s="1527"/>
    </row>
    <row r="43" spans="2:23" ht="7.5" customHeight="1" thickBot="1" x14ac:dyDescent="0.35">
      <c r="B43" s="729"/>
      <c r="C43" s="424"/>
      <c r="D43" s="424"/>
      <c r="E43" s="1146"/>
      <c r="F43" s="1146"/>
      <c r="G43" s="1012"/>
      <c r="H43" s="424"/>
      <c r="I43" s="424"/>
      <c r="J43" s="424"/>
      <c r="K43" s="424"/>
      <c r="L43" s="424"/>
      <c r="M43" s="424"/>
      <c r="N43" s="424"/>
      <c r="O43" s="424"/>
      <c r="P43" s="424"/>
      <c r="Q43" s="424"/>
      <c r="R43" s="424"/>
      <c r="S43" s="424"/>
      <c r="T43" s="424"/>
      <c r="U43" s="424"/>
      <c r="V43" s="424"/>
      <c r="W43" s="1527"/>
    </row>
    <row r="44" spans="2:23" x14ac:dyDescent="0.3">
      <c r="B44" s="729"/>
      <c r="C44" s="424"/>
      <c r="D44" s="424"/>
      <c r="E44" s="275"/>
      <c r="F44" s="275"/>
      <c r="G44" s="2134" t="s">
        <v>646</v>
      </c>
      <c r="H44" s="1119">
        <f>IFERROR(H33/(H37+H42),0)</f>
        <v>1.0176884121988863</v>
      </c>
      <c r="I44" s="1120">
        <f t="shared" ref="I44:V44" si="6">IFERROR(I33/(I37+I42),0)</f>
        <v>1.0288538177819222</v>
      </c>
      <c r="J44" s="1120">
        <f t="shared" si="6"/>
        <v>1.0320719627703421</v>
      </c>
      <c r="K44" s="1120">
        <f t="shared" si="6"/>
        <v>1.035212528607141</v>
      </c>
      <c r="L44" s="1120">
        <f t="shared" si="6"/>
        <v>1.0344375337644858</v>
      </c>
      <c r="M44" s="1120">
        <f t="shared" si="6"/>
        <v>1.0303232263793367</v>
      </c>
      <c r="N44" s="1120">
        <f t="shared" si="6"/>
        <v>1.0291589925613982</v>
      </c>
      <c r="O44" s="1120">
        <f t="shared" si="6"/>
        <v>1.0283667759921131</v>
      </c>
      <c r="P44" s="1120">
        <f t="shared" si="6"/>
        <v>1.0275206730469753</v>
      </c>
      <c r="Q44" s="1120">
        <f t="shared" si="6"/>
        <v>1.0266063526654512</v>
      </c>
      <c r="R44" s="1120">
        <f t="shared" si="6"/>
        <v>1.0256093271280717</v>
      </c>
      <c r="S44" s="1120">
        <f t="shared" si="6"/>
        <v>1.0245149208612987</v>
      </c>
      <c r="T44" s="1120">
        <f t="shared" si="6"/>
        <v>1.026959926336559</v>
      </c>
      <c r="U44" s="1120">
        <f t="shared" si="6"/>
        <v>1.0320168074877241</v>
      </c>
      <c r="V44" s="1121">
        <f t="shared" si="6"/>
        <v>1.0270749147450118</v>
      </c>
      <c r="W44" s="1527"/>
    </row>
    <row r="45" spans="2:23" ht="15" thickBot="1" x14ac:dyDescent="0.35">
      <c r="B45" s="729"/>
      <c r="C45" s="424"/>
      <c r="D45" s="424"/>
      <c r="E45" s="275"/>
      <c r="F45" s="292"/>
      <c r="G45" s="2134" t="s">
        <v>647</v>
      </c>
      <c r="H45" s="1113">
        <f>H39-H42</f>
        <v>23020.560000000056</v>
      </c>
      <c r="I45" s="1114">
        <f t="shared" ref="I45:V45" si="7">I39-I42</f>
        <v>37696.030999999959</v>
      </c>
      <c r="J45" s="1114">
        <f t="shared" si="7"/>
        <v>42381.451584999217</v>
      </c>
      <c r="K45" s="1114">
        <f t="shared" si="7"/>
        <v>47059.735967974644</v>
      </c>
      <c r="L45" s="1114">
        <f t="shared" si="7"/>
        <v>46712.745839790907</v>
      </c>
      <c r="M45" s="1114">
        <f t="shared" si="7"/>
        <v>41873.241421185434</v>
      </c>
      <c r="N45" s="1114">
        <f t="shared" si="7"/>
        <v>40864.83046894148</v>
      </c>
      <c r="O45" s="1114">
        <f t="shared" si="7"/>
        <v>40321.915155173745</v>
      </c>
      <c r="P45" s="1114">
        <f t="shared" si="7"/>
        <v>39669.636735446984</v>
      </c>
      <c r="Q45" s="1114">
        <f t="shared" si="7"/>
        <v>38883.817918284098</v>
      </c>
      <c r="R45" s="1114">
        <f t="shared" si="7"/>
        <v>37938.902845196892</v>
      </c>
      <c r="S45" s="1114">
        <f t="shared" si="7"/>
        <v>36807.894586904673</v>
      </c>
      <c r="T45" s="1114">
        <f t="shared" si="7"/>
        <v>40872.290057776961</v>
      </c>
      <c r="U45" s="1114">
        <f t="shared" si="7"/>
        <v>48872.012246778235</v>
      </c>
      <c r="V45" s="1115">
        <f t="shared" si="7"/>
        <v>42005.339659264311</v>
      </c>
      <c r="W45" s="1527"/>
    </row>
    <row r="46" spans="2:23" ht="9" customHeight="1" thickBot="1" x14ac:dyDescent="0.35">
      <c r="B46" s="741"/>
      <c r="C46" s="742"/>
      <c r="D46" s="743"/>
      <c r="E46" s="742"/>
      <c r="F46" s="742"/>
      <c r="G46" s="742"/>
      <c r="H46" s="742"/>
      <c r="I46" s="742"/>
      <c r="J46" s="742"/>
      <c r="K46" s="742"/>
      <c r="L46" s="742"/>
      <c r="M46" s="742"/>
      <c r="N46" s="742"/>
      <c r="O46" s="726"/>
      <c r="P46" s="1534"/>
      <c r="Q46" s="1535"/>
      <c r="R46" s="1535"/>
      <c r="S46" s="1535"/>
      <c r="T46" s="1535"/>
      <c r="U46" s="1535"/>
      <c r="V46" s="1535"/>
      <c r="W46" s="744"/>
    </row>
    <row r="47" spans="2:23" ht="9" customHeight="1" x14ac:dyDescent="0.3">
      <c r="B47" s="255"/>
      <c r="C47" s="727"/>
      <c r="D47" s="727"/>
      <c r="E47" s="727"/>
      <c r="F47" s="727"/>
      <c r="G47" s="727"/>
      <c r="H47" s="727"/>
      <c r="I47" s="727"/>
      <c r="J47" s="727"/>
      <c r="K47" s="727"/>
      <c r="L47" s="727"/>
      <c r="M47" s="727"/>
      <c r="N47" s="727"/>
      <c r="O47" s="727"/>
      <c r="P47" s="727"/>
      <c r="Q47" s="727"/>
      <c r="R47" s="727"/>
      <c r="S47" s="727"/>
      <c r="T47" s="727"/>
      <c r="U47" s="727"/>
      <c r="V47" s="727"/>
      <c r="W47" s="256"/>
    </row>
    <row r="48" spans="2:23" ht="18" x14ac:dyDescent="0.35">
      <c r="B48" s="257"/>
      <c r="C48" s="2127" t="s">
        <v>1836</v>
      </c>
      <c r="D48" s="2127"/>
      <c r="E48" s="2127"/>
      <c r="F48" s="2127"/>
      <c r="G48" s="2127"/>
      <c r="H48" s="2127"/>
      <c r="I48" s="2127"/>
      <c r="J48" s="2127"/>
      <c r="K48" s="2127"/>
      <c r="L48" s="2127"/>
      <c r="M48" s="2127"/>
      <c r="N48" s="697"/>
      <c r="O48" s="697"/>
      <c r="P48" s="697"/>
      <c r="Q48" s="697"/>
      <c r="R48" s="697"/>
      <c r="S48" s="697"/>
      <c r="T48" s="697"/>
      <c r="U48" s="697"/>
      <c r="V48" s="697"/>
      <c r="W48" s="259"/>
    </row>
    <row r="49" spans="2:23" ht="7.5" customHeight="1" x14ac:dyDescent="0.3">
      <c r="B49" s="257"/>
      <c r="C49" s="258"/>
      <c r="D49" s="258"/>
      <c r="E49" s="258"/>
      <c r="F49" s="258"/>
      <c r="G49" s="258"/>
      <c r="H49" s="258"/>
      <c r="I49" s="258"/>
      <c r="J49" s="258"/>
      <c r="K49" s="258"/>
      <c r="L49" s="258"/>
      <c r="M49" s="258"/>
      <c r="N49" s="258"/>
      <c r="O49" s="258"/>
      <c r="P49" s="258"/>
      <c r="Q49" s="258"/>
      <c r="R49" s="258"/>
      <c r="S49" s="258"/>
      <c r="T49" s="258"/>
      <c r="U49" s="258"/>
      <c r="V49" s="258"/>
      <c r="W49" s="259"/>
    </row>
    <row r="50" spans="2:23" ht="15" thickBot="1" x14ac:dyDescent="0.35">
      <c r="B50" s="257"/>
      <c r="C50" s="2126" t="str">
        <f>IF('1'!G5="","Enter Project Name on Form 1",(CONCATENATE("Project Name: ",'1'!G5)))</f>
        <v>Project Name: 6600 Roosevelt Way NE</v>
      </c>
      <c r="D50" s="1536"/>
      <c r="E50" s="1536"/>
      <c r="F50" s="1536"/>
      <c r="G50" s="1536"/>
      <c r="H50" s="1536"/>
      <c r="I50" s="1536"/>
      <c r="J50" s="1537"/>
      <c r="K50" s="347"/>
      <c r="L50" s="1147"/>
      <c r="M50" s="1147"/>
      <c r="N50" s="493"/>
      <c r="O50" s="493"/>
      <c r="P50" s="493"/>
      <c r="Q50" s="493"/>
      <c r="R50" s="493"/>
      <c r="S50" s="493"/>
      <c r="T50" s="493"/>
      <c r="U50" s="493"/>
      <c r="V50" s="493"/>
      <c r="W50" s="259"/>
    </row>
    <row r="51" spans="2:23" ht="7.5" customHeight="1" thickBot="1" x14ac:dyDescent="0.35">
      <c r="B51" s="729"/>
      <c r="C51" s="424"/>
      <c r="D51" s="424"/>
      <c r="E51" s="424"/>
      <c r="F51" s="424"/>
      <c r="G51" s="424"/>
      <c r="H51" s="424"/>
      <c r="I51" s="424"/>
      <c r="J51" s="424"/>
      <c r="K51" s="424"/>
      <c r="L51" s="424"/>
      <c r="M51" s="424"/>
      <c r="N51" s="424"/>
      <c r="O51" s="424"/>
      <c r="P51" s="424"/>
      <c r="Q51" s="424"/>
      <c r="R51" s="424"/>
      <c r="S51" s="424"/>
      <c r="T51" s="424"/>
      <c r="U51" s="424"/>
      <c r="V51" s="424"/>
      <c r="W51" s="737"/>
    </row>
    <row r="52" spans="2:23" ht="15" thickBot="1" x14ac:dyDescent="0.35">
      <c r="B52" s="260"/>
      <c r="C52" s="265" t="s">
        <v>374</v>
      </c>
      <c r="D52" s="258"/>
      <c r="E52" s="276"/>
      <c r="F52" s="738" t="s">
        <v>364</v>
      </c>
      <c r="G52" s="2135"/>
      <c r="H52" s="241" t="s">
        <v>356</v>
      </c>
      <c r="I52" s="730" t="s">
        <v>357</v>
      </c>
      <c r="J52" s="730" t="s">
        <v>358</v>
      </c>
      <c r="K52" s="730" t="s">
        <v>359</v>
      </c>
      <c r="L52" s="730" t="s">
        <v>360</v>
      </c>
      <c r="M52" s="730" t="s">
        <v>361</v>
      </c>
      <c r="N52" s="730" t="s">
        <v>362</v>
      </c>
      <c r="O52" s="730" t="s">
        <v>414</v>
      </c>
      <c r="P52" s="730" t="s">
        <v>415</v>
      </c>
      <c r="Q52" s="730" t="s">
        <v>416</v>
      </c>
      <c r="R52" s="730" t="s">
        <v>417</v>
      </c>
      <c r="S52" s="730" t="s">
        <v>418</v>
      </c>
      <c r="T52" s="730" t="s">
        <v>419</v>
      </c>
      <c r="U52" s="730" t="s">
        <v>420</v>
      </c>
      <c r="V52" s="253" t="s">
        <v>421</v>
      </c>
      <c r="W52" s="1527"/>
    </row>
    <row r="53" spans="2:23" x14ac:dyDescent="0.3">
      <c r="B53" s="260"/>
      <c r="C53" s="277" t="s">
        <v>376</v>
      </c>
      <c r="D53" s="278"/>
      <c r="E53" s="784"/>
      <c r="F53" s="2138">
        <f>AVERAGE('8D - 4% Building'!F72,'8D - 9% Building'!F72)</f>
        <v>3.5000000000000003E-2</v>
      </c>
      <c r="G53" s="2159"/>
      <c r="H53" s="2196">
        <f>'8D - 4% Building'!H72+'8D - 9% Building'!H72</f>
        <v>198614.40000000002</v>
      </c>
      <c r="I53" s="2160">
        <f>'8D - 4% Building'!I72+'8D - 9% Building'!I72</f>
        <v>205565.90400000004</v>
      </c>
      <c r="J53" s="2160">
        <f>'8D - 4% Building'!J72+'8D - 9% Building'!J72</f>
        <v>212760.71064000003</v>
      </c>
      <c r="K53" s="2160">
        <f>'8D - 4% Building'!K72+'8D - 9% Building'!K72</f>
        <v>220207.33551240002</v>
      </c>
      <c r="L53" s="2160">
        <f>'8D - 4% Building'!L72+'8D - 9% Building'!L72</f>
        <v>227914.59225533405</v>
      </c>
      <c r="M53" s="2160">
        <f>'8D - 4% Building'!M72+'8D - 9% Building'!M72</f>
        <v>235891.60298427075</v>
      </c>
      <c r="N53" s="2160">
        <f>'8D - 4% Building'!N72+'8D - 9% Building'!N72</f>
        <v>244147.80908872024</v>
      </c>
      <c r="O53" s="2160">
        <f>'8D - 4% Building'!O72+'8D - 9% Building'!O72</f>
        <v>252692.98240682544</v>
      </c>
      <c r="P53" s="2160">
        <f>'8D - 4% Building'!P72+'8D - 9% Building'!P72</f>
        <v>261537.23679106432</v>
      </c>
      <c r="Q53" s="2160">
        <f>'8D - 4% Building'!Q72+'8D - 9% Building'!Q72</f>
        <v>270691.04007875157</v>
      </c>
      <c r="R53" s="2160">
        <f>'8D - 4% Building'!R72+'8D - 9% Building'!R72</f>
        <v>280165.22648150788</v>
      </c>
      <c r="S53" s="2160">
        <f>'8D - 4% Building'!S72+'8D - 9% Building'!S72</f>
        <v>289971.0094083607</v>
      </c>
      <c r="T53" s="2160">
        <f>'8D - 4% Building'!T72+'8D - 9% Building'!T72</f>
        <v>300119.99473765329</v>
      </c>
      <c r="U53" s="2160">
        <f>'8D - 4% Building'!U72+'8D - 9% Building'!U72</f>
        <v>310624.19455347117</v>
      </c>
      <c r="V53" s="2161">
        <f>'8D - 4% Building'!V72+'8D - 9% Building'!V72</f>
        <v>321496.04136284266</v>
      </c>
      <c r="W53" s="1527"/>
    </row>
    <row r="54" spans="2:23" x14ac:dyDescent="0.3">
      <c r="B54" s="279"/>
      <c r="C54" s="280" t="s">
        <v>377</v>
      </c>
      <c r="D54" s="281"/>
      <c r="E54" s="785"/>
      <c r="F54" s="2162">
        <f>AVERAGE('8D - 4% Building'!F73,'8D - 9% Building'!F73)</f>
        <v>2.5000000000000001E-2</v>
      </c>
      <c r="G54" s="2163"/>
      <c r="H54" s="2166">
        <f>'8D - 4% Building'!H73+'8D - 9% Building'!H73</f>
        <v>162914</v>
      </c>
      <c r="I54" s="2164">
        <f>'8D - 4% Building'!I73+'8D - 9% Building'!I73</f>
        <v>166986.85</v>
      </c>
      <c r="J54" s="2164">
        <f>'8D - 4% Building'!J73+'8D - 9% Building'!J73</f>
        <v>171161.52124999999</v>
      </c>
      <c r="K54" s="2164">
        <f>'8D - 4% Building'!K73+'8D - 9% Building'!K73</f>
        <v>175440.55928125</v>
      </c>
      <c r="L54" s="2164">
        <f>'8D - 4% Building'!L73+'8D - 9% Building'!L73</f>
        <v>179826.57326328126</v>
      </c>
      <c r="M54" s="2164">
        <f>'8D - 4% Building'!M73+'8D - 9% Building'!M73</f>
        <v>184322.23759486328</v>
      </c>
      <c r="N54" s="2164">
        <f>'8D - 4% Building'!N73+'8D - 9% Building'!N73</f>
        <v>188930.2935347349</v>
      </c>
      <c r="O54" s="2164">
        <f>'8D - 4% Building'!O73+'8D - 9% Building'!O73</f>
        <v>193653.55087310326</v>
      </c>
      <c r="P54" s="2164">
        <f>'8D - 4% Building'!P73+'8D - 9% Building'!P73</f>
        <v>198494.88964493084</v>
      </c>
      <c r="Q54" s="2164">
        <f>'8D - 4% Building'!Q73+'8D - 9% Building'!Q73</f>
        <v>203457.2618860541</v>
      </c>
      <c r="R54" s="2164">
        <f>'8D - 4% Building'!R73+'8D - 9% Building'!R73</f>
        <v>208543.69343320545</v>
      </c>
      <c r="S54" s="2164">
        <f>'8D - 4% Building'!S73+'8D - 9% Building'!S73</f>
        <v>213757.28576903557</v>
      </c>
      <c r="T54" s="2164">
        <f>'8D - 4% Building'!T73+'8D - 9% Building'!T73</f>
        <v>219101.21791326147</v>
      </c>
      <c r="U54" s="2164">
        <f>'8D - 4% Building'!U73+'8D - 9% Building'!U73</f>
        <v>224578.74836109299</v>
      </c>
      <c r="V54" s="2165">
        <f>'8D - 4% Building'!V73+'8D - 9% Building'!V73</f>
        <v>230193.2170701203</v>
      </c>
      <c r="W54" s="1527"/>
    </row>
    <row r="55" spans="2:23" x14ac:dyDescent="0.3">
      <c r="B55" s="260"/>
      <c r="C55" s="280" t="s">
        <v>378</v>
      </c>
      <c r="D55" s="281"/>
      <c r="E55" s="785"/>
      <c r="F55" s="2162">
        <f>AVERAGE('8D - 4% Building'!F74,'8D - 9% Building'!F74)</f>
        <v>3.5000000000000003E-2</v>
      </c>
      <c r="G55" s="2163"/>
      <c r="H55" s="2166">
        <f>'8D - 4% Building'!H74+'8D - 9% Building'!H74</f>
        <v>19000</v>
      </c>
      <c r="I55" s="2164">
        <f>'8D - 4% Building'!I74+'8D - 9% Building'!I74</f>
        <v>19665</v>
      </c>
      <c r="J55" s="2164">
        <f>'8D - 4% Building'!J74+'8D - 9% Building'!J74</f>
        <v>20353.275000000001</v>
      </c>
      <c r="K55" s="2164">
        <f>'8D - 4% Building'!K74+'8D - 9% Building'!K74</f>
        <v>21065.639625000003</v>
      </c>
      <c r="L55" s="2164">
        <f>'8D - 4% Building'!L74+'8D - 9% Building'!L74</f>
        <v>21802.937011875005</v>
      </c>
      <c r="M55" s="2164">
        <f>'8D - 4% Building'!M74+'8D - 9% Building'!M74</f>
        <v>22566.039807290632</v>
      </c>
      <c r="N55" s="2164">
        <f>'8D - 4% Building'!N74+'8D - 9% Building'!N74</f>
        <v>23355.851200545803</v>
      </c>
      <c r="O55" s="2164">
        <f>'8D - 4% Building'!O74+'8D - 9% Building'!O74</f>
        <v>24173.305992564907</v>
      </c>
      <c r="P55" s="2164">
        <f>'8D - 4% Building'!P74+'8D - 9% Building'!P74</f>
        <v>25019.371702304677</v>
      </c>
      <c r="Q55" s="2164">
        <f>'8D - 4% Building'!Q74+'8D - 9% Building'!Q74</f>
        <v>25895.049711885342</v>
      </c>
      <c r="R55" s="2164">
        <f>'8D - 4% Building'!R74+'8D - 9% Building'!R74</f>
        <v>26801.37645180133</v>
      </c>
      <c r="S55" s="2164">
        <f>'8D - 4% Building'!S74+'8D - 9% Building'!S74</f>
        <v>27739.424627614379</v>
      </c>
      <c r="T55" s="2164">
        <f>'8D - 4% Building'!T74+'8D - 9% Building'!T74</f>
        <v>28710.304489580882</v>
      </c>
      <c r="U55" s="2164">
        <f>'8D - 4% Building'!U74+'8D - 9% Building'!U74</f>
        <v>29715.165146716212</v>
      </c>
      <c r="V55" s="2165">
        <f>'8D - 4% Building'!V74+'8D - 9% Building'!V74</f>
        <v>30755.19592685128</v>
      </c>
      <c r="W55" s="1527"/>
    </row>
    <row r="56" spans="2:23" x14ac:dyDescent="0.3">
      <c r="B56" s="260"/>
      <c r="C56" s="280" t="s">
        <v>379</v>
      </c>
      <c r="D56" s="282"/>
      <c r="E56" s="785"/>
      <c r="F56" s="2162">
        <f>AVERAGE('8D - 4% Building'!F75,'8D - 9% Building'!F75)</f>
        <v>3.5000000000000003E-2</v>
      </c>
      <c r="G56" s="2163"/>
      <c r="H56" s="2166">
        <f>'8D - 4% Building'!H75+'8D - 9% Building'!H75</f>
        <v>2660</v>
      </c>
      <c r="I56" s="2164">
        <f>'8D - 4% Building'!I75+'8D - 9% Building'!I75</f>
        <v>2753.1</v>
      </c>
      <c r="J56" s="2164">
        <f>'8D - 4% Building'!J75+'8D - 9% Building'!J75</f>
        <v>2849.4584999999997</v>
      </c>
      <c r="K56" s="2164">
        <f>'8D - 4% Building'!K75+'8D - 9% Building'!K75</f>
        <v>2949.1895475000001</v>
      </c>
      <c r="L56" s="2164">
        <f>'8D - 4% Building'!L75+'8D - 9% Building'!L75</f>
        <v>3052.4111816625</v>
      </c>
      <c r="M56" s="2164">
        <f>'8D - 4% Building'!M75+'8D - 9% Building'!M75</f>
        <v>3159.2455730206875</v>
      </c>
      <c r="N56" s="2164">
        <f>'8D - 4% Building'!N75+'8D - 9% Building'!N75</f>
        <v>3269.8191680764116</v>
      </c>
      <c r="O56" s="2164">
        <f>'8D - 4% Building'!O75+'8D - 9% Building'!O75</f>
        <v>3384.2628389590859</v>
      </c>
      <c r="P56" s="2164">
        <f>'8D - 4% Building'!P75+'8D - 9% Building'!P75</f>
        <v>3502.7120383226538</v>
      </c>
      <c r="Q56" s="2164">
        <f>'8D - 4% Building'!Q75+'8D - 9% Building'!Q75</f>
        <v>3625.3069596639466</v>
      </c>
      <c r="R56" s="2164">
        <f>'8D - 4% Building'!R75+'8D - 9% Building'!R75</f>
        <v>3752.1927032521849</v>
      </c>
      <c r="S56" s="2164">
        <f>'8D - 4% Building'!S75+'8D - 9% Building'!S75</f>
        <v>3883.5194478660114</v>
      </c>
      <c r="T56" s="2164">
        <f>'8D - 4% Building'!T75+'8D - 9% Building'!T75</f>
        <v>4019.4426285413219</v>
      </c>
      <c r="U56" s="2164">
        <f>'8D - 4% Building'!U75+'8D - 9% Building'!U75</f>
        <v>4160.1231205402682</v>
      </c>
      <c r="V56" s="2165">
        <f>'8D - 4% Building'!V75+'8D - 9% Building'!V75</f>
        <v>4305.7274297591775</v>
      </c>
      <c r="W56" s="1527"/>
    </row>
    <row r="57" spans="2:23" x14ac:dyDescent="0.3">
      <c r="B57" s="260"/>
      <c r="C57" s="280" t="s">
        <v>380</v>
      </c>
      <c r="D57" s="281"/>
      <c r="E57" s="785"/>
      <c r="F57" s="2162">
        <f>AVERAGE('8D - 4% Building'!F76,'8D - 9% Building'!F76)</f>
        <v>3.5000000000000003E-2</v>
      </c>
      <c r="G57" s="2163"/>
      <c r="H57" s="2166">
        <f>'8D - 4% Building'!H76+'8D - 9% Building'!H76</f>
        <v>67375</v>
      </c>
      <c r="I57" s="2164">
        <f>'8D - 4% Building'!I76+'8D - 9% Building'!I76</f>
        <v>69733.125</v>
      </c>
      <c r="J57" s="2164">
        <f>'8D - 4% Building'!J76+'8D - 9% Building'!J76</f>
        <v>72173.784375000003</v>
      </c>
      <c r="K57" s="2164">
        <f>'8D - 4% Building'!K76+'8D - 9% Building'!K76</f>
        <v>74699.866828124999</v>
      </c>
      <c r="L57" s="2164">
        <f>'8D - 4% Building'!L76+'8D - 9% Building'!L76</f>
        <v>77314.362167109372</v>
      </c>
      <c r="M57" s="2164">
        <f>'8D - 4% Building'!M76+'8D - 9% Building'!M76</f>
        <v>80020.364842958195</v>
      </c>
      <c r="N57" s="2164">
        <f>'8D - 4% Building'!N76+'8D - 9% Building'!N76</f>
        <v>82821.077612461726</v>
      </c>
      <c r="O57" s="2164">
        <f>'8D - 4% Building'!O76+'8D - 9% Building'!O76</f>
        <v>85719.815328897894</v>
      </c>
      <c r="P57" s="2164">
        <f>'8D - 4% Building'!P76+'8D - 9% Building'!P76</f>
        <v>88720.008865409327</v>
      </c>
      <c r="Q57" s="2164">
        <f>'8D - 4% Building'!Q76+'8D - 9% Building'!Q76</f>
        <v>91825.209175698648</v>
      </c>
      <c r="R57" s="2164">
        <f>'8D - 4% Building'!R76+'8D - 9% Building'!R76</f>
        <v>95039.091496848108</v>
      </c>
      <c r="S57" s="2164">
        <f>'8D - 4% Building'!S76+'8D - 9% Building'!S76</f>
        <v>98365.459699237792</v>
      </c>
      <c r="T57" s="2164">
        <f>'8D - 4% Building'!T76+'8D - 9% Building'!T76</f>
        <v>101808.25078871111</v>
      </c>
      <c r="U57" s="2164">
        <f>'8D - 4% Building'!U76+'8D - 9% Building'!U76</f>
        <v>105371.539566316</v>
      </c>
      <c r="V57" s="2165">
        <f>'8D - 4% Building'!V76+'8D - 9% Building'!V76</f>
        <v>109059.54345113705</v>
      </c>
      <c r="W57" s="1527"/>
    </row>
    <row r="58" spans="2:23" x14ac:dyDescent="0.3">
      <c r="B58" s="260"/>
      <c r="C58" s="280" t="s">
        <v>381</v>
      </c>
      <c r="D58" s="281"/>
      <c r="E58" s="785"/>
      <c r="F58" s="2162">
        <f>AVERAGE('8D - 4% Building'!F77,'8D - 9% Building'!F77)</f>
        <v>3.5000000000000003E-2</v>
      </c>
      <c r="G58" s="2163"/>
      <c r="H58" s="2166">
        <f>'8D - 4% Building'!H77+'8D - 9% Building'!H77</f>
        <v>47500</v>
      </c>
      <c r="I58" s="2164">
        <f>'8D - 4% Building'!I77+'8D - 9% Building'!I77</f>
        <v>49162.5</v>
      </c>
      <c r="J58" s="2164">
        <f>'8D - 4% Building'!J77+'8D - 9% Building'!J77</f>
        <v>50883.1875</v>
      </c>
      <c r="K58" s="2164">
        <f>'8D - 4% Building'!K77+'8D - 9% Building'!K77</f>
        <v>52664.099062499998</v>
      </c>
      <c r="L58" s="2164">
        <f>'8D - 4% Building'!L77+'8D - 9% Building'!L77</f>
        <v>54507.342529687499</v>
      </c>
      <c r="M58" s="2164">
        <f>'8D - 4% Building'!M77+'8D - 9% Building'!M77</f>
        <v>56415.099518226561</v>
      </c>
      <c r="N58" s="2164">
        <f>'8D - 4% Building'!N77+'8D - 9% Building'!N77</f>
        <v>58389.628001364494</v>
      </c>
      <c r="O58" s="2164">
        <f>'8D - 4% Building'!O77+'8D - 9% Building'!O77</f>
        <v>60433.264981412256</v>
      </c>
      <c r="P58" s="2164">
        <f>'8D - 4% Building'!P77+'8D - 9% Building'!P77</f>
        <v>62548.429255761686</v>
      </c>
      <c r="Q58" s="2164">
        <f>'8D - 4% Building'!Q77+'8D - 9% Building'!Q77</f>
        <v>64737.624279713345</v>
      </c>
      <c r="R58" s="2164">
        <f>'8D - 4% Building'!R77+'8D - 9% Building'!R77</f>
        <v>67003.441129503321</v>
      </c>
      <c r="S58" s="2164">
        <f>'8D - 4% Building'!S77+'8D - 9% Building'!S77</f>
        <v>69348.561569035926</v>
      </c>
      <c r="T58" s="2164">
        <f>'8D - 4% Building'!T77+'8D - 9% Building'!T77</f>
        <v>71775.761223952184</v>
      </c>
      <c r="U58" s="2164">
        <f>'8D - 4% Building'!U77+'8D - 9% Building'!U77</f>
        <v>74287.912866790517</v>
      </c>
      <c r="V58" s="2165">
        <f>'8D - 4% Building'!V77+'8D - 9% Building'!V77</f>
        <v>76887.989817128182</v>
      </c>
      <c r="W58" s="1527"/>
    </row>
    <row r="59" spans="2:23" x14ac:dyDescent="0.3">
      <c r="B59" s="260"/>
      <c r="C59" s="280" t="s">
        <v>382</v>
      </c>
      <c r="D59" s="281"/>
      <c r="E59" s="785"/>
      <c r="F59" s="2162">
        <f>AVERAGE('8D - 4% Building'!F78,'8D - 9% Building'!F78)</f>
        <v>3.5000000000000003E-2</v>
      </c>
      <c r="G59" s="2163"/>
      <c r="H59" s="2166">
        <f>'8D - 4% Building'!H78+'8D - 9% Building'!H78</f>
        <v>1403</v>
      </c>
      <c r="I59" s="2164">
        <f>'8D - 4% Building'!I78+'8D - 9% Building'!I78</f>
        <v>1452.105</v>
      </c>
      <c r="J59" s="2164">
        <f>'8D - 4% Building'!J78+'8D - 9% Building'!J78</f>
        <v>1502.9286749999999</v>
      </c>
      <c r="K59" s="2164">
        <f>'8D - 4% Building'!K78+'8D - 9% Building'!K78</f>
        <v>1555.5311786249999</v>
      </c>
      <c r="L59" s="2164">
        <f>'8D - 4% Building'!L78+'8D - 9% Building'!L78</f>
        <v>1609.9747698768749</v>
      </c>
      <c r="M59" s="2164">
        <f>'8D - 4% Building'!M78+'8D - 9% Building'!M78</f>
        <v>1666.3238868225656</v>
      </c>
      <c r="N59" s="2164">
        <f>'8D - 4% Building'!N78+'8D - 9% Building'!N78</f>
        <v>1724.6452228613555</v>
      </c>
      <c r="O59" s="2164">
        <f>'8D - 4% Building'!O78+'8D - 9% Building'!O78</f>
        <v>1785.007805661503</v>
      </c>
      <c r="P59" s="2164">
        <f>'8D - 4% Building'!P78+'8D - 9% Building'!P78</f>
        <v>1847.4830788596555</v>
      </c>
      <c r="Q59" s="2164">
        <f>'8D - 4% Building'!Q78+'8D - 9% Building'!Q78</f>
        <v>1912.1449866197436</v>
      </c>
      <c r="R59" s="2164">
        <f>'8D - 4% Building'!R78+'8D - 9% Building'!R78</f>
        <v>1979.0700611514346</v>
      </c>
      <c r="S59" s="2164">
        <f>'8D - 4% Building'!S78+'8D - 9% Building'!S78</f>
        <v>2048.3375132917349</v>
      </c>
      <c r="T59" s="2164">
        <f>'8D - 4% Building'!T78+'8D - 9% Building'!T78</f>
        <v>2120.0293262569458</v>
      </c>
      <c r="U59" s="2164">
        <f>'8D - 4% Building'!U78+'8D - 9% Building'!U78</f>
        <v>2194.2303526759388</v>
      </c>
      <c r="V59" s="2165">
        <f>'8D - 4% Building'!V78+'8D - 9% Building'!V78</f>
        <v>2271.0284150195962</v>
      </c>
      <c r="W59" s="1527"/>
    </row>
    <row r="60" spans="2:23" x14ac:dyDescent="0.3">
      <c r="B60" s="260"/>
      <c r="C60" s="280" t="s">
        <v>383</v>
      </c>
      <c r="D60" s="282"/>
      <c r="E60" s="785"/>
      <c r="F60" s="2162">
        <f>AVERAGE('8D - 4% Building'!F79,'8D - 9% Building'!F79)</f>
        <v>3.5000000000000003E-2</v>
      </c>
      <c r="G60" s="2163"/>
      <c r="H60" s="2166">
        <f>'8D - 4% Building'!H79+'8D - 9% Building'!H79</f>
        <v>0</v>
      </c>
      <c r="I60" s="2164">
        <f>'8D - 4% Building'!I79+'8D - 9% Building'!I79</f>
        <v>0</v>
      </c>
      <c r="J60" s="2164">
        <f>'8D - 4% Building'!J79+'8D - 9% Building'!J79</f>
        <v>0</v>
      </c>
      <c r="K60" s="2164">
        <f>'8D - 4% Building'!K79+'8D - 9% Building'!K79</f>
        <v>0</v>
      </c>
      <c r="L60" s="2164">
        <f>'8D - 4% Building'!L79+'8D - 9% Building'!L79</f>
        <v>0</v>
      </c>
      <c r="M60" s="2164">
        <f>'8D - 4% Building'!M79+'8D - 9% Building'!M79</f>
        <v>0</v>
      </c>
      <c r="N60" s="2164">
        <f>'8D - 4% Building'!N79+'8D - 9% Building'!N79</f>
        <v>0</v>
      </c>
      <c r="O60" s="2164">
        <f>'8D - 4% Building'!O79+'8D - 9% Building'!O79</f>
        <v>0</v>
      </c>
      <c r="P60" s="2164">
        <f>'8D - 4% Building'!P79+'8D - 9% Building'!P79</f>
        <v>0</v>
      </c>
      <c r="Q60" s="2164">
        <f>'8D - 4% Building'!Q79+'8D - 9% Building'!Q79</f>
        <v>0</v>
      </c>
      <c r="R60" s="2164">
        <f>'8D - 4% Building'!R79+'8D - 9% Building'!R79</f>
        <v>0</v>
      </c>
      <c r="S60" s="2164">
        <f>'8D - 4% Building'!S79+'8D - 9% Building'!S79</f>
        <v>0</v>
      </c>
      <c r="T60" s="2164">
        <f>'8D - 4% Building'!T79+'8D - 9% Building'!T79</f>
        <v>0</v>
      </c>
      <c r="U60" s="2164">
        <f>'8D - 4% Building'!U79+'8D - 9% Building'!U79</f>
        <v>0</v>
      </c>
      <c r="V60" s="2165">
        <f>'8D - 4% Building'!V79+'8D - 9% Building'!V79</f>
        <v>0</v>
      </c>
      <c r="W60" s="1527"/>
    </row>
    <row r="61" spans="2:23" x14ac:dyDescent="0.3">
      <c r="B61" s="260"/>
      <c r="C61" s="280" t="s">
        <v>384</v>
      </c>
      <c r="D61" s="281"/>
      <c r="E61" s="785"/>
      <c r="F61" s="2162">
        <f>AVERAGE('8D - 4% Building'!F80,'8D - 9% Building'!F80)</f>
        <v>3.5000000000000003E-2</v>
      </c>
      <c r="G61" s="2163"/>
      <c r="H61" s="2166">
        <f>'8D - 4% Building'!H80+'8D - 9% Building'!H80</f>
        <v>36750</v>
      </c>
      <c r="I61" s="2164">
        <f>'8D - 4% Building'!I80+'8D - 9% Building'!I80</f>
        <v>38036.25</v>
      </c>
      <c r="J61" s="2164">
        <f>'8D - 4% Building'!J80+'8D - 9% Building'!J80</f>
        <v>39367.518750000003</v>
      </c>
      <c r="K61" s="2164">
        <f>'8D - 4% Building'!K80+'8D - 9% Building'!K80</f>
        <v>40745.381906249997</v>
      </c>
      <c r="L61" s="2164">
        <f>'8D - 4% Building'!L80+'8D - 9% Building'!L80</f>
        <v>42171.470272968749</v>
      </c>
      <c r="M61" s="2164">
        <f>'8D - 4% Building'!M80+'8D - 9% Building'!M80</f>
        <v>43647.471732522652</v>
      </c>
      <c r="N61" s="2164">
        <f>'8D - 4% Building'!N80+'8D - 9% Building'!N80</f>
        <v>45175.133243160948</v>
      </c>
      <c r="O61" s="2164">
        <f>'8D - 4% Building'!O80+'8D - 9% Building'!O80</f>
        <v>46756.262906671582</v>
      </c>
      <c r="P61" s="2164">
        <f>'8D - 4% Building'!P80+'8D - 9% Building'!P80</f>
        <v>48392.732108405093</v>
      </c>
      <c r="Q61" s="2164">
        <f>'8D - 4% Building'!Q80+'8D - 9% Building'!Q80</f>
        <v>50086.477732199273</v>
      </c>
      <c r="R61" s="2164">
        <f>'8D - 4% Building'!R80+'8D - 9% Building'!R80</f>
        <v>51839.504452826252</v>
      </c>
      <c r="S61" s="2164">
        <f>'8D - 4% Building'!S80+'8D - 9% Building'!S80</f>
        <v>53653.887108675175</v>
      </c>
      <c r="T61" s="2164">
        <f>'8D - 4% Building'!T80+'8D - 9% Building'!T80</f>
        <v>55531.773157478805</v>
      </c>
      <c r="U61" s="2164">
        <f>'8D - 4% Building'!U80+'8D - 9% Building'!U80</f>
        <v>57475.385217990566</v>
      </c>
      <c r="V61" s="2165">
        <f>'8D - 4% Building'!V80+'8D - 9% Building'!V80</f>
        <v>59487.023700620237</v>
      </c>
      <c r="W61" s="1527"/>
    </row>
    <row r="62" spans="2:23" x14ac:dyDescent="0.3">
      <c r="B62" s="260"/>
      <c r="C62" s="280" t="s">
        <v>385</v>
      </c>
      <c r="D62" s="282"/>
      <c r="E62" s="785"/>
      <c r="F62" s="2162">
        <f>AVERAGE('8D - 4% Building'!F81,'8D - 9% Building'!F81)</f>
        <v>3.5000000000000003E-2</v>
      </c>
      <c r="G62" s="2163"/>
      <c r="H62" s="2166">
        <f>'8D - 4% Building'!H81+'8D - 9% Building'!H81</f>
        <v>49000</v>
      </c>
      <c r="I62" s="2164">
        <f>'8D - 4% Building'!I81+'8D - 9% Building'!I81</f>
        <v>50715</v>
      </c>
      <c r="J62" s="2164">
        <f>'8D - 4% Building'!J81+'8D - 9% Building'!J81</f>
        <v>52490.024999999994</v>
      </c>
      <c r="K62" s="2164">
        <f>'8D - 4% Building'!K81+'8D - 9% Building'!K81</f>
        <v>54327.175875000001</v>
      </c>
      <c r="L62" s="2164">
        <f>'8D - 4% Building'!L81+'8D - 9% Building'!L81</f>
        <v>56228.627030624993</v>
      </c>
      <c r="M62" s="2164">
        <f>'8D - 4% Building'!M81+'8D - 9% Building'!M81</f>
        <v>58196.628976696869</v>
      </c>
      <c r="N62" s="2164">
        <f>'8D - 4% Building'!N81+'8D - 9% Building'!N81</f>
        <v>60233.510990881266</v>
      </c>
      <c r="O62" s="2164">
        <f>'8D - 4% Building'!O81+'8D - 9% Building'!O81</f>
        <v>62341.683875562114</v>
      </c>
      <c r="P62" s="2164">
        <f>'8D - 4% Building'!P81+'8D - 9% Building'!P81</f>
        <v>64523.642811206788</v>
      </c>
      <c r="Q62" s="2164">
        <f>'8D - 4% Building'!Q81+'8D - 9% Building'!Q81</f>
        <v>66781.970309599026</v>
      </c>
      <c r="R62" s="2164">
        <f>'8D - 4% Building'!R81+'8D - 9% Building'!R81</f>
        <v>69119.339270434983</v>
      </c>
      <c r="S62" s="2164">
        <f>'8D - 4% Building'!S81+'8D - 9% Building'!S81</f>
        <v>71538.516144900204</v>
      </c>
      <c r="T62" s="2164">
        <f>'8D - 4% Building'!T81+'8D - 9% Building'!T81</f>
        <v>74042.364209971711</v>
      </c>
      <c r="U62" s="2164">
        <f>'8D - 4% Building'!U81+'8D - 9% Building'!U81</f>
        <v>76633.846957320726</v>
      </c>
      <c r="V62" s="2165">
        <f>'8D - 4% Building'!V81+'8D - 9% Building'!V81</f>
        <v>79316.031600826944</v>
      </c>
      <c r="W62" s="1527"/>
    </row>
    <row r="63" spans="2:23" x14ac:dyDescent="0.3">
      <c r="B63" s="260"/>
      <c r="C63" s="280" t="s">
        <v>386</v>
      </c>
      <c r="D63" s="281"/>
      <c r="E63" s="785"/>
      <c r="F63" s="2162">
        <f>AVERAGE('8D - 4% Building'!F82,'8D - 9% Building'!F82)</f>
        <v>3.5000000000000003E-2</v>
      </c>
      <c r="G63" s="2163"/>
      <c r="H63" s="2166">
        <f>'8D - 4% Building'!H82+'8D - 9% Building'!H82</f>
        <v>36750</v>
      </c>
      <c r="I63" s="2164">
        <f>'8D - 4% Building'!I82+'8D - 9% Building'!I82</f>
        <v>38036.25</v>
      </c>
      <c r="J63" s="2164">
        <f>'8D - 4% Building'!J82+'8D - 9% Building'!J82</f>
        <v>39367.518750000003</v>
      </c>
      <c r="K63" s="2164">
        <f>'8D - 4% Building'!K82+'8D - 9% Building'!K82</f>
        <v>40745.381906249997</v>
      </c>
      <c r="L63" s="2164">
        <f>'8D - 4% Building'!L82+'8D - 9% Building'!L82</f>
        <v>42171.470272968749</v>
      </c>
      <c r="M63" s="2164">
        <f>'8D - 4% Building'!M82+'8D - 9% Building'!M82</f>
        <v>43647.471732522652</v>
      </c>
      <c r="N63" s="2164">
        <f>'8D - 4% Building'!N82+'8D - 9% Building'!N82</f>
        <v>45175.133243160948</v>
      </c>
      <c r="O63" s="2164">
        <f>'8D - 4% Building'!O82+'8D - 9% Building'!O82</f>
        <v>46756.262906671582</v>
      </c>
      <c r="P63" s="2164">
        <f>'8D - 4% Building'!P82+'8D - 9% Building'!P82</f>
        <v>48392.732108405093</v>
      </c>
      <c r="Q63" s="2164">
        <f>'8D - 4% Building'!Q82+'8D - 9% Building'!Q82</f>
        <v>50086.477732199273</v>
      </c>
      <c r="R63" s="2164">
        <f>'8D - 4% Building'!R82+'8D - 9% Building'!R82</f>
        <v>51839.504452826252</v>
      </c>
      <c r="S63" s="2164">
        <f>'8D - 4% Building'!S82+'8D - 9% Building'!S82</f>
        <v>53653.887108675175</v>
      </c>
      <c r="T63" s="2164">
        <f>'8D - 4% Building'!T82+'8D - 9% Building'!T82</f>
        <v>55531.773157478805</v>
      </c>
      <c r="U63" s="2164">
        <f>'8D - 4% Building'!U82+'8D - 9% Building'!U82</f>
        <v>57475.385217990566</v>
      </c>
      <c r="V63" s="2165">
        <f>'8D - 4% Building'!V82+'8D - 9% Building'!V82</f>
        <v>59487.023700620237</v>
      </c>
      <c r="W63" s="1527"/>
    </row>
    <row r="64" spans="2:23" x14ac:dyDescent="0.3">
      <c r="B64" s="260"/>
      <c r="C64" s="280" t="s">
        <v>387</v>
      </c>
      <c r="D64" s="282"/>
      <c r="E64" s="785"/>
      <c r="F64" s="2162">
        <f>AVERAGE('8D - 4% Building'!F83,'8D - 9% Building'!F83)</f>
        <v>3.5000000000000003E-2</v>
      </c>
      <c r="G64" s="2163"/>
      <c r="H64" s="2166">
        <f>'8D - 4% Building'!H83+'8D - 9% Building'!H83</f>
        <v>18375</v>
      </c>
      <c r="I64" s="2164">
        <f>'8D - 4% Building'!I83+'8D - 9% Building'!I83</f>
        <v>19018.125</v>
      </c>
      <c r="J64" s="2164">
        <f>'8D - 4% Building'!J83+'8D - 9% Building'!J83</f>
        <v>19683.759375000001</v>
      </c>
      <c r="K64" s="2164">
        <f>'8D - 4% Building'!K83+'8D - 9% Building'!K83</f>
        <v>20372.690953124998</v>
      </c>
      <c r="L64" s="2164">
        <f>'8D - 4% Building'!L83+'8D - 9% Building'!L83</f>
        <v>21085.735136484374</v>
      </c>
      <c r="M64" s="2164">
        <f>'8D - 4% Building'!M83+'8D - 9% Building'!M83</f>
        <v>21823.735866261326</v>
      </c>
      <c r="N64" s="2164">
        <f>'8D - 4% Building'!N83+'8D - 9% Building'!N83</f>
        <v>22587.566621580474</v>
      </c>
      <c r="O64" s="2164">
        <f>'8D - 4% Building'!O83+'8D - 9% Building'!O83</f>
        <v>23378.131453335791</v>
      </c>
      <c r="P64" s="2164">
        <f>'8D - 4% Building'!P83+'8D - 9% Building'!P83</f>
        <v>24196.366054202546</v>
      </c>
      <c r="Q64" s="2164">
        <f>'8D - 4% Building'!Q83+'8D - 9% Building'!Q83</f>
        <v>25043.238866099637</v>
      </c>
      <c r="R64" s="2164">
        <f>'8D - 4% Building'!R83+'8D - 9% Building'!R83</f>
        <v>25919.752226413126</v>
      </c>
      <c r="S64" s="2164">
        <f>'8D - 4% Building'!S83+'8D - 9% Building'!S83</f>
        <v>26826.943554337588</v>
      </c>
      <c r="T64" s="2164">
        <f>'8D - 4% Building'!T83+'8D - 9% Building'!T83</f>
        <v>27765.886578739402</v>
      </c>
      <c r="U64" s="2164">
        <f>'8D - 4% Building'!U83+'8D - 9% Building'!U83</f>
        <v>28737.692608995283</v>
      </c>
      <c r="V64" s="2165">
        <f>'8D - 4% Building'!V83+'8D - 9% Building'!V83</f>
        <v>29743.511850310118</v>
      </c>
      <c r="W64" s="1527"/>
    </row>
    <row r="65" spans="2:23" x14ac:dyDescent="0.3">
      <c r="B65" s="260"/>
      <c r="C65" s="280" t="s">
        <v>388</v>
      </c>
      <c r="D65" s="282"/>
      <c r="E65" s="785"/>
      <c r="F65" s="2162">
        <f>AVERAGE('8D - 4% Building'!F84,'8D - 9% Building'!F84)</f>
        <v>3.5000000000000003E-2</v>
      </c>
      <c r="G65" s="2163"/>
      <c r="H65" s="2166">
        <f>'8D - 4% Building'!H84+'8D - 9% Building'!H84</f>
        <v>24500</v>
      </c>
      <c r="I65" s="2164">
        <f>'8D - 4% Building'!I84+'8D - 9% Building'!I84</f>
        <v>25357.5</v>
      </c>
      <c r="J65" s="2164">
        <f>'8D - 4% Building'!J84+'8D - 9% Building'!J84</f>
        <v>26245.012499999997</v>
      </c>
      <c r="K65" s="2164">
        <f>'8D - 4% Building'!K84+'8D - 9% Building'!K84</f>
        <v>27163.5879375</v>
      </c>
      <c r="L65" s="2164">
        <f>'8D - 4% Building'!L84+'8D - 9% Building'!L84</f>
        <v>28114.313515312497</v>
      </c>
      <c r="M65" s="2164">
        <f>'8D - 4% Building'!M84+'8D - 9% Building'!M84</f>
        <v>29098.314488348435</v>
      </c>
      <c r="N65" s="2164">
        <f>'8D - 4% Building'!N84+'8D - 9% Building'!N84</f>
        <v>30116.755495440633</v>
      </c>
      <c r="O65" s="2164">
        <f>'8D - 4% Building'!O84+'8D - 9% Building'!O84</f>
        <v>31170.841937781057</v>
      </c>
      <c r="P65" s="2164">
        <f>'8D - 4% Building'!P84+'8D - 9% Building'!P84</f>
        <v>32261.821405603394</v>
      </c>
      <c r="Q65" s="2164">
        <f>'8D - 4% Building'!Q84+'8D - 9% Building'!Q84</f>
        <v>33390.985154799513</v>
      </c>
      <c r="R65" s="2164">
        <f>'8D - 4% Building'!R84+'8D - 9% Building'!R84</f>
        <v>34559.669635217491</v>
      </c>
      <c r="S65" s="2164">
        <f>'8D - 4% Building'!S84+'8D - 9% Building'!S84</f>
        <v>35769.258072450102</v>
      </c>
      <c r="T65" s="2164">
        <f>'8D - 4% Building'!T84+'8D - 9% Building'!T84</f>
        <v>37021.182104985855</v>
      </c>
      <c r="U65" s="2164">
        <f>'8D - 4% Building'!U84+'8D - 9% Building'!U84</f>
        <v>38316.923478660363</v>
      </c>
      <c r="V65" s="2165">
        <f>'8D - 4% Building'!V84+'8D - 9% Building'!V84</f>
        <v>39658.015800413472</v>
      </c>
      <c r="W65" s="1527"/>
    </row>
    <row r="66" spans="2:23" x14ac:dyDescent="0.3">
      <c r="B66" s="260"/>
      <c r="C66" s="280" t="s">
        <v>389</v>
      </c>
      <c r="D66" s="282"/>
      <c r="E66" s="785"/>
      <c r="F66" s="2162">
        <f>AVERAGE('8D - 4% Building'!F85,'8D - 9% Building'!F85)</f>
        <v>3.5000000000000003E-2</v>
      </c>
      <c r="G66" s="2163"/>
      <c r="H66" s="2166">
        <f>'8D - 4% Building'!H85+'8D - 9% Building'!H85</f>
        <v>36750</v>
      </c>
      <c r="I66" s="2164">
        <f>'8D - 4% Building'!I85+'8D - 9% Building'!I85</f>
        <v>38036.25</v>
      </c>
      <c r="J66" s="2164">
        <f>'8D - 4% Building'!J85+'8D - 9% Building'!J85</f>
        <v>39367.518750000003</v>
      </c>
      <c r="K66" s="2164">
        <f>'8D - 4% Building'!K85+'8D - 9% Building'!K85</f>
        <v>40745.381906249997</v>
      </c>
      <c r="L66" s="2164">
        <f>'8D - 4% Building'!L85+'8D - 9% Building'!L85</f>
        <v>42171.470272968749</v>
      </c>
      <c r="M66" s="2164">
        <f>'8D - 4% Building'!M85+'8D - 9% Building'!M85</f>
        <v>43647.471732522652</v>
      </c>
      <c r="N66" s="2164">
        <f>'8D - 4% Building'!N85+'8D - 9% Building'!N85</f>
        <v>45175.133243160948</v>
      </c>
      <c r="O66" s="2164">
        <f>'8D - 4% Building'!O85+'8D - 9% Building'!O85</f>
        <v>46756.262906671582</v>
      </c>
      <c r="P66" s="2164">
        <f>'8D - 4% Building'!P85+'8D - 9% Building'!P85</f>
        <v>48392.732108405093</v>
      </c>
      <c r="Q66" s="2164">
        <f>'8D - 4% Building'!Q85+'8D - 9% Building'!Q85</f>
        <v>50086.477732199273</v>
      </c>
      <c r="R66" s="2164">
        <f>'8D - 4% Building'!R85+'8D - 9% Building'!R85</f>
        <v>51839.504452826252</v>
      </c>
      <c r="S66" s="2164">
        <f>'8D - 4% Building'!S85+'8D - 9% Building'!S85</f>
        <v>53653.887108675175</v>
      </c>
      <c r="T66" s="2164">
        <f>'8D - 4% Building'!T85+'8D - 9% Building'!T85</f>
        <v>55531.773157478805</v>
      </c>
      <c r="U66" s="2164">
        <f>'8D - 4% Building'!U85+'8D - 9% Building'!U85</f>
        <v>57475.385217990566</v>
      </c>
      <c r="V66" s="2165">
        <f>'8D - 4% Building'!V85+'8D - 9% Building'!V85</f>
        <v>59487.023700620237</v>
      </c>
      <c r="W66" s="1527"/>
    </row>
    <row r="67" spans="2:23" x14ac:dyDescent="0.3">
      <c r="B67" s="260"/>
      <c r="C67" s="280" t="s">
        <v>390</v>
      </c>
      <c r="D67" s="282"/>
      <c r="E67" s="785"/>
      <c r="F67" s="2162">
        <f>AVERAGE('8D - 4% Building'!F86,'8D - 9% Building'!F86)</f>
        <v>3.5000000000000003E-2</v>
      </c>
      <c r="G67" s="2163"/>
      <c r="H67" s="2166">
        <f>'8D - 4% Building'!H86+'8D - 9% Building'!H86</f>
        <v>29795</v>
      </c>
      <c r="I67" s="2164">
        <f>'8D - 4% Building'!I86+'8D - 9% Building'!I86</f>
        <v>30837.825000000001</v>
      </c>
      <c r="J67" s="2164">
        <f>'8D - 4% Building'!J86+'8D - 9% Building'!J86</f>
        <v>31917.148874999999</v>
      </c>
      <c r="K67" s="2164">
        <f>'8D - 4% Building'!K86+'8D - 9% Building'!K86</f>
        <v>33034.249085624993</v>
      </c>
      <c r="L67" s="2164">
        <f>'8D - 4% Building'!L86+'8D - 9% Building'!L86</f>
        <v>34190.447803621872</v>
      </c>
      <c r="M67" s="2164">
        <f>'8D - 4% Building'!M86+'8D - 9% Building'!M86</f>
        <v>35387.113476748636</v>
      </c>
      <c r="N67" s="2164">
        <f>'8D - 4% Building'!N86+'8D - 9% Building'!N86</f>
        <v>36625.662448434843</v>
      </c>
      <c r="O67" s="2164">
        <f>'8D - 4% Building'!O86+'8D - 9% Building'!O86</f>
        <v>37907.560634130059</v>
      </c>
      <c r="P67" s="2164">
        <f>'8D - 4% Building'!P86+'8D - 9% Building'!P86</f>
        <v>39234.325256324613</v>
      </c>
      <c r="Q67" s="2164">
        <f>'8D - 4% Building'!Q86+'8D - 9% Building'!Q86</f>
        <v>40607.526640295975</v>
      </c>
      <c r="R67" s="2164">
        <f>'8D - 4% Building'!R86+'8D - 9% Building'!R86</f>
        <v>42028.790072706339</v>
      </c>
      <c r="S67" s="2164">
        <f>'8D - 4% Building'!S86+'8D - 9% Building'!S86</f>
        <v>43499.797725251061</v>
      </c>
      <c r="T67" s="2164">
        <f>'8D - 4% Building'!T86+'8D - 9% Building'!T86</f>
        <v>45022.290645634843</v>
      </c>
      <c r="U67" s="2164">
        <f>'8D - 4% Building'!U86+'8D - 9% Building'!U86</f>
        <v>46598.070818232067</v>
      </c>
      <c r="V67" s="2165">
        <f>'8D - 4% Building'!V86+'8D - 9% Building'!V86</f>
        <v>48229.003296870185</v>
      </c>
      <c r="W67" s="1527"/>
    </row>
    <row r="68" spans="2:23" x14ac:dyDescent="0.3">
      <c r="B68" s="260"/>
      <c r="C68" s="280" t="s">
        <v>391</v>
      </c>
      <c r="D68" s="281"/>
      <c r="E68" s="785"/>
      <c r="F68" s="2162">
        <f>AVERAGE('8D - 4% Building'!F87,'8D - 9% Building'!F87)</f>
        <v>0.04</v>
      </c>
      <c r="G68" s="2163"/>
      <c r="H68" s="2166">
        <f>'8D - 4% Building'!H87+'8D - 9% Building'!H87</f>
        <v>155575</v>
      </c>
      <c r="I68" s="2164">
        <f>'8D - 4% Building'!I87+'8D - 9% Building'!I87</f>
        <v>161798</v>
      </c>
      <c r="J68" s="2164">
        <f>'8D - 4% Building'!J87+'8D - 9% Building'!J87</f>
        <v>168269.91999999998</v>
      </c>
      <c r="K68" s="2164">
        <f>'8D - 4% Building'!K87+'8D - 9% Building'!K87</f>
        <v>175000.71679999999</v>
      </c>
      <c r="L68" s="2164">
        <f>'8D - 4% Building'!L87+'8D - 9% Building'!L87</f>
        <v>182000.74547199998</v>
      </c>
      <c r="M68" s="2164">
        <f>'8D - 4% Building'!M87+'8D - 9% Building'!M87</f>
        <v>189280.77529088</v>
      </c>
      <c r="N68" s="2164">
        <f>'8D - 4% Building'!N87+'8D - 9% Building'!N87</f>
        <v>196852.00630251519</v>
      </c>
      <c r="O68" s="2164">
        <f>'8D - 4% Building'!O87+'8D - 9% Building'!O87</f>
        <v>204726.08655461579</v>
      </c>
      <c r="P68" s="2164">
        <f>'8D - 4% Building'!P87+'8D - 9% Building'!P87</f>
        <v>212915.13001680042</v>
      </c>
      <c r="Q68" s="2164">
        <f>'8D - 4% Building'!Q87+'8D - 9% Building'!Q87</f>
        <v>221431.73521747248</v>
      </c>
      <c r="R68" s="2164">
        <f>'8D - 4% Building'!R87+'8D - 9% Building'!R87</f>
        <v>230289.00462617137</v>
      </c>
      <c r="S68" s="2164">
        <f>'8D - 4% Building'!S87+'8D - 9% Building'!S87</f>
        <v>239500.56481121821</v>
      </c>
      <c r="T68" s="2164">
        <f>'8D - 4% Building'!T87+'8D - 9% Building'!T87</f>
        <v>249080.58740366696</v>
      </c>
      <c r="U68" s="2164">
        <f>'8D - 4% Building'!U87+'8D - 9% Building'!U87</f>
        <v>259043.81089981363</v>
      </c>
      <c r="V68" s="2165">
        <f>'8D - 4% Building'!V87+'8D - 9% Building'!V87</f>
        <v>269405.56333580619</v>
      </c>
      <c r="W68" s="1527"/>
    </row>
    <row r="69" spans="2:23" x14ac:dyDescent="0.3">
      <c r="B69" s="260"/>
      <c r="C69" s="280" t="s">
        <v>392</v>
      </c>
      <c r="D69" s="281"/>
      <c r="E69" s="785"/>
      <c r="F69" s="2162">
        <f>AVERAGE('8D - 4% Building'!F88,'8D - 9% Building'!F88)</f>
        <v>3.5000000000000003E-2</v>
      </c>
      <c r="G69" s="2163"/>
      <c r="H69" s="2166">
        <f>'8D - 4% Building'!H88+'8D - 9% Building'!H88</f>
        <v>34300</v>
      </c>
      <c r="I69" s="2164">
        <f>'8D - 4% Building'!I88+'8D - 9% Building'!I88</f>
        <v>35500.5</v>
      </c>
      <c r="J69" s="2164">
        <f>'8D - 4% Building'!J88+'8D - 9% Building'!J88</f>
        <v>36743.017500000002</v>
      </c>
      <c r="K69" s="2164">
        <f>'8D - 4% Building'!K88+'8D - 9% Building'!K88</f>
        <v>38029.023112499999</v>
      </c>
      <c r="L69" s="2164">
        <f>'8D - 4% Building'!L88+'8D - 9% Building'!L88</f>
        <v>39360.038921437503</v>
      </c>
      <c r="M69" s="2164">
        <f>'8D - 4% Building'!M88+'8D - 9% Building'!M88</f>
        <v>40737.640283687811</v>
      </c>
      <c r="N69" s="2164">
        <f>'8D - 4% Building'!N88+'8D - 9% Building'!N88</f>
        <v>42163.457693616881</v>
      </c>
      <c r="O69" s="2164">
        <f>'8D - 4% Building'!O88+'8D - 9% Building'!O88</f>
        <v>43639.178712893474</v>
      </c>
      <c r="P69" s="2164">
        <f>'8D - 4% Building'!P88+'8D - 9% Building'!P88</f>
        <v>45166.549967844745</v>
      </c>
      <c r="Q69" s="2164">
        <f>'8D - 4% Building'!Q88+'8D - 9% Building'!Q88</f>
        <v>46747.379216719317</v>
      </c>
      <c r="R69" s="2164">
        <f>'8D - 4% Building'!R88+'8D - 9% Building'!R88</f>
        <v>48383.537489304494</v>
      </c>
      <c r="S69" s="2164">
        <f>'8D - 4% Building'!S88+'8D - 9% Building'!S88</f>
        <v>50076.96130143015</v>
      </c>
      <c r="T69" s="2164">
        <f>'8D - 4% Building'!T88+'8D - 9% Building'!T88</f>
        <v>51829.654946980205</v>
      </c>
      <c r="U69" s="2164">
        <f>'8D - 4% Building'!U88+'8D - 9% Building'!U88</f>
        <v>53643.69287012452</v>
      </c>
      <c r="V69" s="2165">
        <f>'8D - 4% Building'!V88+'8D - 9% Building'!V88</f>
        <v>55521.222120578881</v>
      </c>
      <c r="W69" s="1527"/>
    </row>
    <row r="70" spans="2:23" x14ac:dyDescent="0.3">
      <c r="B70" s="283"/>
      <c r="C70" s="280" t="s">
        <v>393</v>
      </c>
      <c r="D70" s="281"/>
      <c r="E70" s="785"/>
      <c r="F70" s="2162">
        <f>AVERAGE('8D - 4% Building'!F89,'8D - 9% Building'!F89)</f>
        <v>3.5000000000000003E-2</v>
      </c>
      <c r="G70" s="2163"/>
      <c r="H70" s="2166">
        <f>'8D - 4% Building'!H89+'8D - 9% Building'!H89</f>
        <v>19600</v>
      </c>
      <c r="I70" s="2164">
        <f>'8D - 4% Building'!I89+'8D - 9% Building'!I89</f>
        <v>20286</v>
      </c>
      <c r="J70" s="2164">
        <f>'8D - 4% Building'!J89+'8D - 9% Building'!J89</f>
        <v>20996.01</v>
      </c>
      <c r="K70" s="2164">
        <f>'8D - 4% Building'!K89+'8D - 9% Building'!K89</f>
        <v>21730.870349999997</v>
      </c>
      <c r="L70" s="2164">
        <f>'8D - 4% Building'!L89+'8D - 9% Building'!L89</f>
        <v>22491.450812249997</v>
      </c>
      <c r="M70" s="2164">
        <f>'8D - 4% Building'!M89+'8D - 9% Building'!M89</f>
        <v>23278.65159067875</v>
      </c>
      <c r="N70" s="2164">
        <f>'8D - 4% Building'!N89+'8D - 9% Building'!N89</f>
        <v>24093.404396352504</v>
      </c>
      <c r="O70" s="2164">
        <f>'8D - 4% Building'!O89+'8D - 9% Building'!O89</f>
        <v>24936.673550224841</v>
      </c>
      <c r="P70" s="2164">
        <f>'8D - 4% Building'!P89+'8D - 9% Building'!P89</f>
        <v>25809.457124482709</v>
      </c>
      <c r="Q70" s="2164">
        <f>'8D - 4% Building'!Q89+'8D - 9% Building'!Q89</f>
        <v>26712.788123839608</v>
      </c>
      <c r="R70" s="2164">
        <f>'8D - 4% Building'!R89+'8D - 9% Building'!R89</f>
        <v>27647.73570817399</v>
      </c>
      <c r="S70" s="2164">
        <f>'8D - 4% Building'!S89+'8D - 9% Building'!S89</f>
        <v>28615.406457960082</v>
      </c>
      <c r="T70" s="2164">
        <f>'8D - 4% Building'!T89+'8D - 9% Building'!T89</f>
        <v>29616.945683988684</v>
      </c>
      <c r="U70" s="2164">
        <f>'8D - 4% Building'!U89+'8D - 9% Building'!U89</f>
        <v>30653.538782928284</v>
      </c>
      <c r="V70" s="2165">
        <f>'8D - 4% Building'!V89+'8D - 9% Building'!V89</f>
        <v>31726.412640330775</v>
      </c>
      <c r="W70" s="1527"/>
    </row>
    <row r="71" spans="2:23" x14ac:dyDescent="0.3">
      <c r="B71" s="260"/>
      <c r="C71" s="280" t="s">
        <v>394</v>
      </c>
      <c r="D71" s="282"/>
      <c r="E71" s="785"/>
      <c r="F71" s="2162">
        <f>AVERAGE('8D - 4% Building'!F90,'8D - 9% Building'!F90)</f>
        <v>3.5000000000000003E-2</v>
      </c>
      <c r="G71" s="2163"/>
      <c r="H71" s="2166">
        <f>'8D - 4% Building'!H90+'8D - 9% Building'!H90</f>
        <v>30625</v>
      </c>
      <c r="I71" s="2164">
        <f>'8D - 4% Building'!I90+'8D - 9% Building'!I90</f>
        <v>31696.875</v>
      </c>
      <c r="J71" s="2164">
        <f>'8D - 4% Building'!J90+'8D - 9% Building'!J90</f>
        <v>32806.265625</v>
      </c>
      <c r="K71" s="2164">
        <f>'8D - 4% Building'!K90+'8D - 9% Building'!K90</f>
        <v>33954.484921875002</v>
      </c>
      <c r="L71" s="2164">
        <f>'8D - 4% Building'!L90+'8D - 9% Building'!L90</f>
        <v>35142.891894140623</v>
      </c>
      <c r="M71" s="2164">
        <f>'8D - 4% Building'!M90+'8D - 9% Building'!M90</f>
        <v>36372.893110435543</v>
      </c>
      <c r="N71" s="2164">
        <f>'8D - 4% Building'!N90+'8D - 9% Building'!N90</f>
        <v>37645.944369300792</v>
      </c>
      <c r="O71" s="2164">
        <f>'8D - 4% Building'!O90+'8D - 9% Building'!O90</f>
        <v>38963.552422226319</v>
      </c>
      <c r="P71" s="2164">
        <f>'8D - 4% Building'!P90+'8D - 9% Building'!P90</f>
        <v>40327.276757004242</v>
      </c>
      <c r="Q71" s="2164">
        <f>'8D - 4% Building'!Q90+'8D - 9% Building'!Q90</f>
        <v>41738.73144349939</v>
      </c>
      <c r="R71" s="2164">
        <f>'8D - 4% Building'!R90+'8D - 9% Building'!R90</f>
        <v>43199.587044021864</v>
      </c>
      <c r="S71" s="2164">
        <f>'8D - 4% Building'!S90+'8D - 9% Building'!S90</f>
        <v>44711.572590562631</v>
      </c>
      <c r="T71" s="2164">
        <f>'8D - 4% Building'!T90+'8D - 9% Building'!T90</f>
        <v>46276.477631232323</v>
      </c>
      <c r="U71" s="2164">
        <f>'8D - 4% Building'!U90+'8D - 9% Building'!U90</f>
        <v>47896.15434832545</v>
      </c>
      <c r="V71" s="2165">
        <f>'8D - 4% Building'!V90+'8D - 9% Building'!V90</f>
        <v>49572.519750516847</v>
      </c>
      <c r="W71" s="1527"/>
    </row>
    <row r="72" spans="2:23" x14ac:dyDescent="0.3">
      <c r="B72" s="260"/>
      <c r="C72" s="280" t="s">
        <v>395</v>
      </c>
      <c r="D72" s="282"/>
      <c r="E72" s="785"/>
      <c r="F72" s="2162">
        <f>AVERAGE('8D - 4% Building'!F91,'8D - 9% Building'!F91)</f>
        <v>3.5000000000000003E-2</v>
      </c>
      <c r="G72" s="2163"/>
      <c r="H72" s="2166">
        <f>'8D - 4% Building'!H91+'8D - 9% Building'!H91</f>
        <v>5951</v>
      </c>
      <c r="I72" s="2164">
        <f>'8D - 4% Building'!I91+'8D - 9% Building'!I91</f>
        <v>6159.2849999999999</v>
      </c>
      <c r="J72" s="2164">
        <f>'8D - 4% Building'!J91+'8D - 9% Building'!J91</f>
        <v>6374.8599749999994</v>
      </c>
      <c r="K72" s="2164">
        <f>'8D - 4% Building'!K91+'8D - 9% Building'!K91</f>
        <v>6597.9800741249992</v>
      </c>
      <c r="L72" s="2164">
        <f>'8D - 4% Building'!L91+'8D - 9% Building'!L91</f>
        <v>6828.9093767193744</v>
      </c>
      <c r="M72" s="2164">
        <f>'8D - 4% Building'!M91+'8D - 9% Building'!M91</f>
        <v>7067.9212049045527</v>
      </c>
      <c r="N72" s="2164">
        <f>'8D - 4% Building'!N91+'8D - 9% Building'!N91</f>
        <v>7315.2984470762121</v>
      </c>
      <c r="O72" s="2164">
        <f>'8D - 4% Building'!O91+'8D - 9% Building'!O91</f>
        <v>7571.3338927238801</v>
      </c>
      <c r="P72" s="2164">
        <f>'8D - 4% Building'!P91+'8D - 9% Building'!P91</f>
        <v>7836.3305789692158</v>
      </c>
      <c r="Q72" s="2164">
        <f>'8D - 4% Building'!Q91+'8D - 9% Building'!Q91</f>
        <v>8110.6021492331383</v>
      </c>
      <c r="R72" s="2164">
        <f>'8D - 4% Building'!R91+'8D - 9% Building'!R91</f>
        <v>8394.4732244562983</v>
      </c>
      <c r="S72" s="2164">
        <f>'8D - 4% Building'!S91+'8D - 9% Building'!S91</f>
        <v>8688.279787312269</v>
      </c>
      <c r="T72" s="2164">
        <f>'8D - 4% Building'!T91+'8D - 9% Building'!T91</f>
        <v>8992.3695798681983</v>
      </c>
      <c r="U72" s="2164">
        <f>'8D - 4% Building'!U91+'8D - 9% Building'!U91</f>
        <v>9307.102515163584</v>
      </c>
      <c r="V72" s="2165">
        <f>'8D - 4% Building'!V91+'8D - 9% Building'!V91</f>
        <v>9632.851103194309</v>
      </c>
      <c r="W72" s="1527"/>
    </row>
    <row r="73" spans="2:23" ht="15" thickBot="1" x14ac:dyDescent="0.35">
      <c r="B73" s="260"/>
      <c r="C73" s="284" t="s">
        <v>226</v>
      </c>
      <c r="D73" s="285"/>
      <c r="E73" s="785"/>
      <c r="F73" s="2167">
        <f>AVERAGE('8D - 4% Building'!F92,'8D - 9% Building'!F92)</f>
        <v>3.5000000000000003E-2</v>
      </c>
      <c r="G73" s="2163"/>
      <c r="H73" s="2168">
        <f>'8D - 4% Building'!H92+'8D - 9% Building'!H92</f>
        <v>150115</v>
      </c>
      <c r="I73" s="2169">
        <f>'8D - 4% Building'!I92+'8D - 9% Building'!I92</f>
        <v>155369.02499999999</v>
      </c>
      <c r="J73" s="2169">
        <f>'8D - 4% Building'!J92+'8D - 9% Building'!J92</f>
        <v>160806.940875</v>
      </c>
      <c r="K73" s="2169">
        <f>'8D - 4% Building'!K92+'8D - 9% Building'!K92</f>
        <v>166435.18380562501</v>
      </c>
      <c r="L73" s="2169">
        <f>'8D - 4% Building'!L92+'8D - 9% Building'!L92</f>
        <v>172260.41523882188</v>
      </c>
      <c r="M73" s="2169">
        <f>'8D - 4% Building'!M92+'8D - 9% Building'!M92</f>
        <v>178289.52977218063</v>
      </c>
      <c r="N73" s="2169">
        <f>'8D - 4% Building'!N92+'8D - 9% Building'!N92</f>
        <v>184529.66331420696</v>
      </c>
      <c r="O73" s="2169">
        <f>'8D - 4% Building'!O92+'8D - 9% Building'!O92</f>
        <v>190988.20153020421</v>
      </c>
      <c r="P73" s="2169">
        <f>'8D - 4% Building'!P92+'8D - 9% Building'!P92</f>
        <v>197672.78858376137</v>
      </c>
      <c r="Q73" s="2169">
        <f>'8D - 4% Building'!Q92+'8D - 9% Building'!Q92</f>
        <v>204591.336184193</v>
      </c>
      <c r="R73" s="2169">
        <f>'8D - 4% Building'!R92+'8D - 9% Building'!R92</f>
        <v>211752.03295063975</v>
      </c>
      <c r="S73" s="2169">
        <f>'8D - 4% Building'!S92+'8D - 9% Building'!S92</f>
        <v>219163.35410391213</v>
      </c>
      <c r="T73" s="2169">
        <f>'8D - 4% Building'!T92+'8D - 9% Building'!T92</f>
        <v>226834.07149754907</v>
      </c>
      <c r="U73" s="2169">
        <f>'8D - 4% Building'!U92+'8D - 9% Building'!U92</f>
        <v>234773.2639999633</v>
      </c>
      <c r="V73" s="2170">
        <f>'8D - 4% Building'!V92+'8D - 9% Building'!V92</f>
        <v>242990.32823996202</v>
      </c>
      <c r="W73" s="1527"/>
    </row>
    <row r="74" spans="2:23" x14ac:dyDescent="0.3">
      <c r="B74" s="260"/>
      <c r="C74" s="251" t="s">
        <v>396</v>
      </c>
      <c r="D74" s="267"/>
      <c r="E74" s="268"/>
      <c r="F74" s="268"/>
      <c r="G74" s="2135"/>
      <c r="H74" s="1069">
        <f>SUM(H53:H73)</f>
        <v>1127552.3999999999</v>
      </c>
      <c r="I74" s="1070">
        <f t="shared" ref="I74:V74" si="8">SUM(I53:I73)</f>
        <v>1166165.469</v>
      </c>
      <c r="J74" s="1070">
        <f t="shared" si="8"/>
        <v>1206120.3819150003</v>
      </c>
      <c r="K74" s="1070">
        <f t="shared" si="8"/>
        <v>1247464.3296695251</v>
      </c>
      <c r="L74" s="1070">
        <f t="shared" si="8"/>
        <v>1290246.1791991456</v>
      </c>
      <c r="M74" s="1070">
        <f t="shared" si="8"/>
        <v>1334516.5334658429</v>
      </c>
      <c r="N74" s="1070">
        <f t="shared" si="8"/>
        <v>1380327.7936376536</v>
      </c>
      <c r="O74" s="1070">
        <f t="shared" si="8"/>
        <v>1427734.2235111368</v>
      </c>
      <c r="P74" s="1070">
        <f t="shared" si="8"/>
        <v>1476792.0162580684</v>
      </c>
      <c r="Q74" s="1070">
        <f t="shared" si="8"/>
        <v>1527559.3635807356</v>
      </c>
      <c r="R74" s="1070">
        <f t="shared" si="8"/>
        <v>1580096.527363288</v>
      </c>
      <c r="S74" s="1070">
        <f t="shared" si="8"/>
        <v>1634465.9139098022</v>
      </c>
      <c r="T74" s="1070">
        <f t="shared" si="8"/>
        <v>1690732.1508630109</v>
      </c>
      <c r="U74" s="1070">
        <f t="shared" si="8"/>
        <v>1748962.1669011023</v>
      </c>
      <c r="V74" s="1071">
        <f t="shared" si="8"/>
        <v>1809225.2743135288</v>
      </c>
      <c r="W74" s="1527"/>
    </row>
    <row r="75" spans="2:23" ht="15" thickBot="1" x14ac:dyDescent="0.35">
      <c r="B75" s="260"/>
      <c r="C75" s="251"/>
      <c r="D75" s="267"/>
      <c r="E75" s="276"/>
      <c r="F75" s="738" t="s">
        <v>364</v>
      </c>
      <c r="G75" s="2135"/>
      <c r="H75" s="248"/>
      <c r="I75" s="249"/>
      <c r="J75" s="249"/>
      <c r="K75" s="249"/>
      <c r="L75" s="249"/>
      <c r="M75" s="249"/>
      <c r="N75" s="249"/>
      <c r="O75" s="249"/>
      <c r="P75" s="249"/>
      <c r="Q75" s="249"/>
      <c r="R75" s="249"/>
      <c r="S75" s="249"/>
      <c r="T75" s="249"/>
      <c r="U75" s="249"/>
      <c r="V75" s="250"/>
      <c r="W75" s="1527"/>
    </row>
    <row r="76" spans="2:23" x14ac:dyDescent="0.3">
      <c r="B76" s="279"/>
      <c r="C76" s="286" t="s">
        <v>397</v>
      </c>
      <c r="D76" s="287"/>
      <c r="E76" s="786"/>
      <c r="F76" s="2138">
        <f>AVERAGE('8D - 4% Building'!F95,'8D - 9% Building'!F95)</f>
        <v>3.5000000000000003E-2</v>
      </c>
      <c r="G76" s="2159"/>
      <c r="H76" s="2171">
        <f>'8D - 4% Building'!H95+'8D - 9% Building'!H95</f>
        <v>85750</v>
      </c>
      <c r="I76" s="2172">
        <f>'8D - 4% Building'!I95+'8D - 9% Building'!I95</f>
        <v>88751.25</v>
      </c>
      <c r="J76" s="2172">
        <f>'8D - 4% Building'!J95+'8D - 9% Building'!J95</f>
        <v>91857.543749999997</v>
      </c>
      <c r="K76" s="2172">
        <f>'8D - 4% Building'!K95+'8D - 9% Building'!K95</f>
        <v>95072.557781249998</v>
      </c>
      <c r="L76" s="2172">
        <f>'8D - 4% Building'!L95+'8D - 9% Building'!L95</f>
        <v>98400.09730359375</v>
      </c>
      <c r="M76" s="2172">
        <f>'8D - 4% Building'!M95+'8D - 9% Building'!M95</f>
        <v>101844.10070921954</v>
      </c>
      <c r="N76" s="2172">
        <f>'8D - 4% Building'!N95+'8D - 9% Building'!N95</f>
        <v>105408.64423404221</v>
      </c>
      <c r="O76" s="2172">
        <f>'8D - 4% Building'!O95+'8D - 9% Building'!O95</f>
        <v>109097.94678223369</v>
      </c>
      <c r="P76" s="2172">
        <f>'8D - 4% Building'!P95+'8D - 9% Building'!P95</f>
        <v>112916.37491961187</v>
      </c>
      <c r="Q76" s="2172">
        <f>'8D - 4% Building'!Q95+'8D - 9% Building'!Q95</f>
        <v>116868.44804179828</v>
      </c>
      <c r="R76" s="2172">
        <f>'8D - 4% Building'!R95+'8D - 9% Building'!R95</f>
        <v>120958.84372326123</v>
      </c>
      <c r="S76" s="2172">
        <f>'8D - 4% Building'!S95+'8D - 9% Building'!S95</f>
        <v>125192.40325357536</v>
      </c>
      <c r="T76" s="2172">
        <f>'8D - 4% Building'!T95+'8D - 9% Building'!T95</f>
        <v>129574.1373674505</v>
      </c>
      <c r="U76" s="2172">
        <f>'8D - 4% Building'!U95+'8D - 9% Building'!U95</f>
        <v>134109.23217531128</v>
      </c>
      <c r="V76" s="2173">
        <f>'8D - 4% Building'!V95+'8D - 9% Building'!V95</f>
        <v>138803.05530144717</v>
      </c>
      <c r="W76" s="1527"/>
    </row>
    <row r="77" spans="2:23" ht="15" thickBot="1" x14ac:dyDescent="0.35">
      <c r="B77" s="279"/>
      <c r="C77" s="288" t="s">
        <v>398</v>
      </c>
      <c r="D77" s="285"/>
      <c r="E77" s="785"/>
      <c r="F77" s="2167">
        <f>AVERAGE('8D - 4% Building'!F96,'8D - 9% Building'!F96)</f>
        <v>3.5000000000000003E-2</v>
      </c>
      <c r="G77" s="2163"/>
      <c r="H77" s="2174">
        <f>'8D - 4% Building'!H96+'8D - 9% Building'!H96</f>
        <v>0</v>
      </c>
      <c r="I77" s="2169">
        <f>'8D - 4% Building'!I96+'8D - 9% Building'!I96</f>
        <v>0</v>
      </c>
      <c r="J77" s="2169">
        <f>'8D - 4% Building'!J96+'8D - 9% Building'!J96</f>
        <v>0</v>
      </c>
      <c r="K77" s="2169">
        <f>'8D - 4% Building'!K96+'8D - 9% Building'!K96</f>
        <v>0</v>
      </c>
      <c r="L77" s="2169">
        <f>'8D - 4% Building'!L96+'8D - 9% Building'!L96</f>
        <v>0</v>
      </c>
      <c r="M77" s="2169">
        <f>'8D - 4% Building'!M96+'8D - 9% Building'!M96</f>
        <v>0</v>
      </c>
      <c r="N77" s="2169">
        <f>'8D - 4% Building'!N96+'8D - 9% Building'!N96</f>
        <v>0</v>
      </c>
      <c r="O77" s="2169">
        <f>'8D - 4% Building'!O96+'8D - 9% Building'!O96</f>
        <v>0</v>
      </c>
      <c r="P77" s="2169">
        <f>'8D - 4% Building'!P96+'8D - 9% Building'!P96</f>
        <v>0</v>
      </c>
      <c r="Q77" s="2169">
        <f>'8D - 4% Building'!Q96+'8D - 9% Building'!Q96</f>
        <v>0</v>
      </c>
      <c r="R77" s="2169">
        <f>'8D - 4% Building'!R96+'8D - 9% Building'!R96</f>
        <v>0</v>
      </c>
      <c r="S77" s="2169">
        <f>'8D - 4% Building'!S96+'8D - 9% Building'!S96</f>
        <v>0</v>
      </c>
      <c r="T77" s="2169">
        <f>'8D - 4% Building'!T96+'8D - 9% Building'!T96</f>
        <v>0</v>
      </c>
      <c r="U77" s="2169">
        <f>'8D - 4% Building'!U96+'8D - 9% Building'!U96</f>
        <v>0</v>
      </c>
      <c r="V77" s="2170">
        <f>'8D - 4% Building'!V96+'8D - 9% Building'!V96</f>
        <v>0</v>
      </c>
      <c r="W77" s="1527"/>
    </row>
    <row r="78" spans="2:23" x14ac:dyDescent="0.3">
      <c r="B78" s="279"/>
      <c r="C78" s="251" t="s">
        <v>399</v>
      </c>
      <c r="D78" s="267"/>
      <c r="E78" s="267"/>
      <c r="F78" s="267"/>
      <c r="G78" s="2135"/>
      <c r="H78" s="1069">
        <f>SUM(H76:H77)</f>
        <v>85750</v>
      </c>
      <c r="I78" s="1070">
        <f t="shared" ref="I78:V78" si="9">SUM(I76:I77)</f>
        <v>88751.25</v>
      </c>
      <c r="J78" s="1070">
        <f t="shared" si="9"/>
        <v>91857.543749999997</v>
      </c>
      <c r="K78" s="1070">
        <f t="shared" si="9"/>
        <v>95072.557781249998</v>
      </c>
      <c r="L78" s="1070">
        <f t="shared" si="9"/>
        <v>98400.09730359375</v>
      </c>
      <c r="M78" s="1070">
        <f t="shared" si="9"/>
        <v>101844.10070921954</v>
      </c>
      <c r="N78" s="1070">
        <f t="shared" si="9"/>
        <v>105408.64423404221</v>
      </c>
      <c r="O78" s="1070">
        <f t="shared" si="9"/>
        <v>109097.94678223369</v>
      </c>
      <c r="P78" s="1070">
        <f t="shared" si="9"/>
        <v>112916.37491961187</v>
      </c>
      <c r="Q78" s="1070">
        <f t="shared" si="9"/>
        <v>116868.44804179828</v>
      </c>
      <c r="R78" s="1070">
        <f t="shared" si="9"/>
        <v>120958.84372326123</v>
      </c>
      <c r="S78" s="1070">
        <f t="shared" si="9"/>
        <v>125192.40325357536</v>
      </c>
      <c r="T78" s="1070">
        <f t="shared" si="9"/>
        <v>129574.1373674505</v>
      </c>
      <c r="U78" s="1070">
        <f t="shared" si="9"/>
        <v>134109.23217531128</v>
      </c>
      <c r="V78" s="1071">
        <f t="shared" si="9"/>
        <v>138803.05530144717</v>
      </c>
      <c r="W78" s="1527"/>
    </row>
    <row r="79" spans="2:23" ht="7.5" customHeight="1" thickBot="1" x14ac:dyDescent="0.35">
      <c r="B79" s="279"/>
      <c r="C79" s="251"/>
      <c r="D79" s="267"/>
      <c r="E79" s="267"/>
      <c r="F79" s="267"/>
      <c r="G79" s="2135"/>
      <c r="H79" s="248"/>
      <c r="I79" s="249"/>
      <c r="J79" s="249"/>
      <c r="K79" s="249"/>
      <c r="L79" s="249"/>
      <c r="M79" s="249"/>
      <c r="N79" s="249"/>
      <c r="O79" s="249"/>
      <c r="P79" s="249"/>
      <c r="Q79" s="249"/>
      <c r="R79" s="249"/>
      <c r="S79" s="249"/>
      <c r="T79" s="249"/>
      <c r="U79" s="249"/>
      <c r="V79" s="250"/>
      <c r="W79" s="1527"/>
    </row>
    <row r="80" spans="2:23" ht="15" thickBot="1" x14ac:dyDescent="0.35">
      <c r="B80" s="260"/>
      <c r="C80" s="251" t="s">
        <v>400</v>
      </c>
      <c r="D80" s="267"/>
      <c r="E80" s="787"/>
      <c r="F80" s="2175">
        <f>AVERAGE('8D - 4% Building'!F99,'8D - 9% Building'!F99)</f>
        <v>3.5000000000000003E-2</v>
      </c>
      <c r="G80" s="2135"/>
      <c r="H80" s="2197">
        <f>'8D - 4% Building'!H99+'8D - 9% Building'!H99</f>
        <v>215450</v>
      </c>
      <c r="I80" s="2176">
        <f>'8D - 4% Building'!I99+'8D - 9% Building'!I99</f>
        <v>222990.75</v>
      </c>
      <c r="J80" s="2176">
        <f>'8D - 4% Building'!J99+'8D - 9% Building'!J99</f>
        <v>230795.42625000002</v>
      </c>
      <c r="K80" s="2176">
        <f>'8D - 4% Building'!K99+'8D - 9% Building'!K99</f>
        <v>238873.26616875001</v>
      </c>
      <c r="L80" s="2176">
        <f>'8D - 4% Building'!L99+'8D - 9% Building'!L99</f>
        <v>247233.83048465627</v>
      </c>
      <c r="M80" s="2176">
        <f>'8D - 4% Building'!M99+'8D - 9% Building'!M99</f>
        <v>255887.01455161924</v>
      </c>
      <c r="N80" s="2176">
        <f>'8D - 4% Building'!N99+'8D - 9% Building'!N99</f>
        <v>264843.0600609259</v>
      </c>
      <c r="O80" s="2176">
        <f>'8D - 4% Building'!O99+'8D - 9% Building'!O99</f>
        <v>274112.56716305832</v>
      </c>
      <c r="P80" s="2176">
        <f>'8D - 4% Building'!P99+'8D - 9% Building'!P99</f>
        <v>283706.50701376534</v>
      </c>
      <c r="Q80" s="2176">
        <f>'8D - 4% Building'!Q99+'8D - 9% Building'!Q99</f>
        <v>293636.23475924716</v>
      </c>
      <c r="R80" s="2176">
        <f>'8D - 4% Building'!R99+'8D - 9% Building'!R99</f>
        <v>303913.5029758208</v>
      </c>
      <c r="S80" s="2176">
        <f>'8D - 4% Building'!S99+'8D - 9% Building'!S99</f>
        <v>314550.47557997453</v>
      </c>
      <c r="T80" s="2176">
        <f>'8D - 4% Building'!T99+'8D - 9% Building'!T99</f>
        <v>325559.74222527363</v>
      </c>
      <c r="U80" s="2176">
        <f>'8D - 4% Building'!U99+'8D - 9% Building'!U99</f>
        <v>336954.33320315822</v>
      </c>
      <c r="V80" s="2177">
        <f>'8D - 4% Building'!V99+'8D - 9% Building'!V99</f>
        <v>348747.73486526881</v>
      </c>
      <c r="W80" s="1527"/>
    </row>
    <row r="81" spans="2:23" ht="7.5" customHeight="1" thickBot="1" x14ac:dyDescent="0.35">
      <c r="B81" s="260"/>
      <c r="C81" s="251"/>
      <c r="D81" s="267"/>
      <c r="E81" s="267"/>
      <c r="F81" s="267"/>
      <c r="G81" s="2135"/>
      <c r="H81" s="248"/>
      <c r="I81" s="249"/>
      <c r="J81" s="249"/>
      <c r="K81" s="249"/>
      <c r="L81" s="249"/>
      <c r="M81" s="249"/>
      <c r="N81" s="249"/>
      <c r="O81" s="249"/>
      <c r="P81" s="249"/>
      <c r="Q81" s="249"/>
      <c r="R81" s="249"/>
      <c r="S81" s="249"/>
      <c r="T81" s="249"/>
      <c r="U81" s="249"/>
      <c r="V81" s="250"/>
      <c r="W81" s="1527"/>
    </row>
    <row r="82" spans="2:23" ht="15" thickBot="1" x14ac:dyDescent="0.35">
      <c r="B82" s="260"/>
      <c r="C82" s="290" t="s">
        <v>401</v>
      </c>
      <c r="D82" s="270"/>
      <c r="E82" s="619"/>
      <c r="F82" s="2178">
        <f>AVERAGE('8D - 4% Building'!F101,'8D - 9% Building'!F101)</f>
        <v>0</v>
      </c>
      <c r="G82" s="270"/>
      <c r="H82" s="2179">
        <f>'8D - 4% Building'!H101+'8D - 9% Building'!H101</f>
        <v>0</v>
      </c>
      <c r="I82" s="2180">
        <f>'8D - 4% Building'!I101+'8D - 9% Building'!I101</f>
        <v>0</v>
      </c>
      <c r="J82" s="2180">
        <f>'8D - 4% Building'!J101+'8D - 9% Building'!J101</f>
        <v>0</v>
      </c>
      <c r="K82" s="2180">
        <f>'8D - 4% Building'!K101+'8D - 9% Building'!K101</f>
        <v>0</v>
      </c>
      <c r="L82" s="2180">
        <f>'8D - 4% Building'!L101+'8D - 9% Building'!L101</f>
        <v>0</v>
      </c>
      <c r="M82" s="2180">
        <f>'8D - 4% Building'!M101+'8D - 9% Building'!M101</f>
        <v>0</v>
      </c>
      <c r="N82" s="2180">
        <f>'8D - 4% Building'!N101+'8D - 9% Building'!N101</f>
        <v>0</v>
      </c>
      <c r="O82" s="2180">
        <f>'8D - 4% Building'!O101+'8D - 9% Building'!O101</f>
        <v>0</v>
      </c>
      <c r="P82" s="2180">
        <f>'8D - 4% Building'!P101+'8D - 9% Building'!P101</f>
        <v>0</v>
      </c>
      <c r="Q82" s="2180">
        <f>'8D - 4% Building'!Q101+'8D - 9% Building'!Q101</f>
        <v>0</v>
      </c>
      <c r="R82" s="2180">
        <f>'8D - 4% Building'!R101+'8D - 9% Building'!R101</f>
        <v>0</v>
      </c>
      <c r="S82" s="2180">
        <f>'8D - 4% Building'!S101+'8D - 9% Building'!S101</f>
        <v>0</v>
      </c>
      <c r="T82" s="2180">
        <f>'8D - 4% Building'!T101+'8D - 9% Building'!T101</f>
        <v>0</v>
      </c>
      <c r="U82" s="2180">
        <f>'8D - 4% Building'!U101+'8D - 9% Building'!U101</f>
        <v>0</v>
      </c>
      <c r="V82" s="2181">
        <f>'8D - 4% Building'!V101+'8D - 9% Building'!V101</f>
        <v>0</v>
      </c>
      <c r="W82" s="1527"/>
    </row>
    <row r="83" spans="2:23" ht="15.6" thickTop="1" thickBot="1" x14ac:dyDescent="0.35">
      <c r="B83" s="260"/>
      <c r="C83" s="275" t="s">
        <v>402</v>
      </c>
      <c r="D83" s="267"/>
      <c r="E83" s="267"/>
      <c r="F83" s="267"/>
      <c r="G83" s="268" t="s">
        <v>366</v>
      </c>
      <c r="H83" s="1140">
        <f>H74+H78+H80+H82</f>
        <v>1428752.4</v>
      </c>
      <c r="I83" s="1141">
        <f t="shared" ref="I83:V83" si="10">I74+I78+I80+I82</f>
        <v>1477907.469</v>
      </c>
      <c r="J83" s="1141">
        <f t="shared" si="10"/>
        <v>1528773.3519150002</v>
      </c>
      <c r="K83" s="1141">
        <f t="shared" si="10"/>
        <v>1581410.153619525</v>
      </c>
      <c r="L83" s="1141">
        <f t="shared" si="10"/>
        <v>1635880.1069873958</v>
      </c>
      <c r="M83" s="1141">
        <f t="shared" si="10"/>
        <v>1692247.6487266817</v>
      </c>
      <c r="N83" s="1141">
        <f t="shared" si="10"/>
        <v>1750579.4979326217</v>
      </c>
      <c r="O83" s="1141">
        <f t="shared" si="10"/>
        <v>1810944.7374564288</v>
      </c>
      <c r="P83" s="1141">
        <f t="shared" si="10"/>
        <v>1873414.8981914457</v>
      </c>
      <c r="Q83" s="1141">
        <f t="shared" si="10"/>
        <v>1938064.0463817811</v>
      </c>
      <c r="R83" s="1141">
        <f t="shared" si="10"/>
        <v>2004968.87406237</v>
      </c>
      <c r="S83" s="1141">
        <f t="shared" si="10"/>
        <v>2074208.792743352</v>
      </c>
      <c r="T83" s="1141">
        <f t="shared" si="10"/>
        <v>2145866.030455735</v>
      </c>
      <c r="U83" s="1141">
        <f t="shared" si="10"/>
        <v>2220025.7322795717</v>
      </c>
      <c r="V83" s="1142">
        <f t="shared" si="10"/>
        <v>2296776.0644802446</v>
      </c>
      <c r="W83" s="1527"/>
    </row>
    <row r="84" spans="2:23" ht="7.5" customHeight="1" thickBot="1" x14ac:dyDescent="0.35">
      <c r="B84" s="260"/>
      <c r="C84" s="267"/>
      <c r="D84" s="267"/>
      <c r="E84" s="267"/>
      <c r="F84" s="267"/>
      <c r="G84" s="267"/>
      <c r="H84" s="739"/>
      <c r="I84" s="739"/>
      <c r="J84" s="739"/>
      <c r="K84" s="739"/>
      <c r="L84" s="739"/>
      <c r="M84" s="739"/>
      <c r="N84" s="739"/>
      <c r="O84" s="739"/>
      <c r="P84" s="739"/>
      <c r="Q84" s="739"/>
      <c r="R84" s="739"/>
      <c r="S84" s="739"/>
      <c r="T84" s="739"/>
      <c r="U84" s="739"/>
      <c r="V84" s="739"/>
      <c r="W84" s="1527"/>
    </row>
    <row r="85" spans="2:23" ht="15" thickBot="1" x14ac:dyDescent="0.35">
      <c r="B85" s="260"/>
      <c r="C85" s="384"/>
      <c r="D85" s="267"/>
      <c r="E85" s="267"/>
      <c r="F85" s="2133" t="s">
        <v>403</v>
      </c>
      <c r="G85" s="268" t="s">
        <v>366</v>
      </c>
      <c r="H85" s="1087">
        <f t="shared" ref="H85:V85" si="11">(H28+H30)-H83</f>
        <v>1324469.2000000002</v>
      </c>
      <c r="I85" s="1088">
        <f t="shared" si="11"/>
        <v>1344144.6710000001</v>
      </c>
      <c r="J85" s="1088">
        <f t="shared" si="11"/>
        <v>1363830.0915849993</v>
      </c>
      <c r="K85" s="1088">
        <f t="shared" si="11"/>
        <v>1383508.3759679748</v>
      </c>
      <c r="L85" s="1088">
        <f t="shared" si="11"/>
        <v>1403161.385839791</v>
      </c>
      <c r="M85" s="1088">
        <f t="shared" si="11"/>
        <v>1422769.8814211856</v>
      </c>
      <c r="N85" s="1088">
        <f t="shared" si="11"/>
        <v>1442313.4704689416</v>
      </c>
      <c r="O85" s="1088">
        <f t="shared" si="11"/>
        <v>1461770.5551551739</v>
      </c>
      <c r="P85" s="1088">
        <f t="shared" si="11"/>
        <v>1481118.2767354471</v>
      </c>
      <c r="Q85" s="1088">
        <f t="shared" si="11"/>
        <v>1500332.4579182842</v>
      </c>
      <c r="R85" s="1088">
        <f t="shared" si="11"/>
        <v>1519387.542845197</v>
      </c>
      <c r="S85" s="1088">
        <f t="shared" si="11"/>
        <v>1538256.5345869048</v>
      </c>
      <c r="T85" s="1088">
        <f t="shared" si="11"/>
        <v>1556910.9300577771</v>
      </c>
      <c r="U85" s="1088">
        <f t="shared" si="11"/>
        <v>1575320.6522467784</v>
      </c>
      <c r="V85" s="1089">
        <f t="shared" si="11"/>
        <v>1593453.9796592644</v>
      </c>
      <c r="W85" s="1527"/>
    </row>
    <row r="86" spans="2:23" s="399" customFormat="1" ht="7.5" customHeight="1" x14ac:dyDescent="0.3">
      <c r="B86" s="1538"/>
      <c r="C86" s="1030"/>
      <c r="D86" s="1030"/>
      <c r="E86" s="1030"/>
      <c r="F86" s="1030"/>
      <c r="G86" s="1030"/>
      <c r="H86" s="1030"/>
      <c r="I86" s="1030"/>
      <c r="J86" s="1030"/>
      <c r="K86" s="1030"/>
      <c r="L86" s="1030"/>
      <c r="M86" s="1030"/>
      <c r="N86" s="1030"/>
      <c r="O86" s="1030"/>
      <c r="P86" s="1030"/>
      <c r="Q86" s="1030"/>
      <c r="R86" s="1030"/>
      <c r="S86" s="1030"/>
      <c r="T86" s="1030"/>
      <c r="U86" s="1030"/>
      <c r="V86" s="1030"/>
      <c r="W86" s="1539"/>
    </row>
    <row r="87" spans="2:23" s="399" customFormat="1" x14ac:dyDescent="0.3">
      <c r="B87" s="1538"/>
      <c r="C87" s="1030"/>
      <c r="D87" s="1030"/>
      <c r="E87" s="1030"/>
      <c r="F87" s="1030"/>
      <c r="G87" s="1030"/>
      <c r="H87" s="1030"/>
      <c r="I87" s="1030"/>
      <c r="J87" s="1030"/>
      <c r="K87" s="1030"/>
      <c r="L87" s="1030"/>
      <c r="M87" s="1030"/>
      <c r="N87" s="1030"/>
      <c r="O87" s="1030"/>
      <c r="P87" s="1030"/>
      <c r="Q87" s="1030"/>
      <c r="R87" s="1030"/>
      <c r="S87" s="1030"/>
      <c r="T87" s="1030"/>
      <c r="U87" s="1030"/>
      <c r="V87" s="1030"/>
      <c r="W87" s="1539"/>
    </row>
    <row r="88" spans="2:23" s="399" customFormat="1" ht="15" thickBot="1" x14ac:dyDescent="0.35">
      <c r="B88" s="1538"/>
      <c r="C88" s="1030" t="s">
        <v>541</v>
      </c>
      <c r="D88" s="1030"/>
      <c r="E88" s="1030"/>
      <c r="F88" s="1030"/>
      <c r="G88" s="1030"/>
      <c r="H88" s="1030"/>
      <c r="I88" s="1030"/>
      <c r="J88" s="1030"/>
      <c r="K88" s="1030"/>
      <c r="L88" s="1030"/>
      <c r="M88" s="1030"/>
      <c r="N88" s="1030"/>
      <c r="O88" s="1030"/>
      <c r="P88" s="1030"/>
      <c r="Q88" s="1030"/>
      <c r="R88" s="1030"/>
      <c r="S88" s="1030"/>
      <c r="T88" s="1030"/>
      <c r="U88" s="1030"/>
      <c r="V88" s="1030"/>
      <c r="W88" s="1539"/>
    </row>
    <row r="89" spans="2:23" s="399" customFormat="1" x14ac:dyDescent="0.3">
      <c r="B89" s="1538"/>
      <c r="C89" s="2891"/>
      <c r="D89" s="2892"/>
      <c r="E89" s="2892"/>
      <c r="F89" s="2892"/>
      <c r="G89" s="2892"/>
      <c r="H89" s="2892"/>
      <c r="I89" s="2892"/>
      <c r="J89" s="2892"/>
      <c r="K89" s="2892"/>
      <c r="L89" s="2892"/>
      <c r="M89" s="2892"/>
      <c r="N89" s="2892"/>
      <c r="O89" s="2892"/>
      <c r="P89" s="2892"/>
      <c r="Q89" s="2892"/>
      <c r="R89" s="2892"/>
      <c r="S89" s="2892"/>
      <c r="T89" s="2892"/>
      <c r="U89" s="2892"/>
      <c r="V89" s="2893"/>
      <c r="W89" s="1539"/>
    </row>
    <row r="90" spans="2:23" s="399" customFormat="1" x14ac:dyDescent="0.3">
      <c r="B90" s="1538"/>
      <c r="C90" s="2894"/>
      <c r="D90" s="2895"/>
      <c r="E90" s="2895"/>
      <c r="F90" s="2895"/>
      <c r="G90" s="2895"/>
      <c r="H90" s="2895"/>
      <c r="I90" s="2895"/>
      <c r="J90" s="2895"/>
      <c r="K90" s="2895"/>
      <c r="L90" s="2895"/>
      <c r="M90" s="2895"/>
      <c r="N90" s="2895"/>
      <c r="O90" s="2895"/>
      <c r="P90" s="2895"/>
      <c r="Q90" s="2895"/>
      <c r="R90" s="2895"/>
      <c r="S90" s="2895"/>
      <c r="T90" s="2895"/>
      <c r="U90" s="2895"/>
      <c r="V90" s="2896"/>
      <c r="W90" s="1539"/>
    </row>
    <row r="91" spans="2:23" s="399" customFormat="1" x14ac:dyDescent="0.3">
      <c r="B91" s="1538"/>
      <c r="C91" s="2894"/>
      <c r="D91" s="2895"/>
      <c r="E91" s="2895"/>
      <c r="F91" s="2895"/>
      <c r="G91" s="2895"/>
      <c r="H91" s="2895"/>
      <c r="I91" s="2895"/>
      <c r="J91" s="2895"/>
      <c r="K91" s="2895"/>
      <c r="L91" s="2895"/>
      <c r="M91" s="2895"/>
      <c r="N91" s="2895"/>
      <c r="O91" s="2895"/>
      <c r="P91" s="2895"/>
      <c r="Q91" s="2895"/>
      <c r="R91" s="2895"/>
      <c r="S91" s="2895"/>
      <c r="T91" s="2895"/>
      <c r="U91" s="2895"/>
      <c r="V91" s="2896"/>
      <c r="W91" s="1539"/>
    </row>
    <row r="92" spans="2:23" s="399" customFormat="1" x14ac:dyDescent="0.3">
      <c r="B92" s="1538"/>
      <c r="C92" s="2894"/>
      <c r="D92" s="2895"/>
      <c r="E92" s="2895"/>
      <c r="F92" s="2895"/>
      <c r="G92" s="2895"/>
      <c r="H92" s="2895"/>
      <c r="I92" s="2895"/>
      <c r="J92" s="2895"/>
      <c r="K92" s="2895"/>
      <c r="L92" s="2895"/>
      <c r="M92" s="2895"/>
      <c r="N92" s="2895"/>
      <c r="O92" s="2895"/>
      <c r="P92" s="2895"/>
      <c r="Q92" s="2895"/>
      <c r="R92" s="2895"/>
      <c r="S92" s="2895"/>
      <c r="T92" s="2895"/>
      <c r="U92" s="2895"/>
      <c r="V92" s="2896"/>
      <c r="W92" s="1539"/>
    </row>
    <row r="93" spans="2:23" s="399" customFormat="1" ht="15" thickBot="1" x14ac:dyDescent="0.35">
      <c r="B93" s="1538"/>
      <c r="C93" s="2897"/>
      <c r="D93" s="2898"/>
      <c r="E93" s="2898"/>
      <c r="F93" s="2898"/>
      <c r="G93" s="2898"/>
      <c r="H93" s="2898"/>
      <c r="I93" s="2898"/>
      <c r="J93" s="2898"/>
      <c r="K93" s="2898"/>
      <c r="L93" s="2898"/>
      <c r="M93" s="2898"/>
      <c r="N93" s="2898"/>
      <c r="O93" s="2898"/>
      <c r="P93" s="2898"/>
      <c r="Q93" s="2898"/>
      <c r="R93" s="2898"/>
      <c r="S93" s="2898"/>
      <c r="T93" s="2898"/>
      <c r="U93" s="2898"/>
      <c r="V93" s="2899"/>
      <c r="W93" s="1539"/>
    </row>
    <row r="94" spans="2:23" s="399" customFormat="1" ht="15" thickBot="1" x14ac:dyDescent="0.35">
      <c r="B94" s="1540"/>
      <c r="C94" s="1541"/>
      <c r="D94" s="1541"/>
      <c r="E94" s="1541"/>
      <c r="F94" s="1541"/>
      <c r="G94" s="1541"/>
      <c r="H94" s="1541"/>
      <c r="I94" s="1541"/>
      <c r="J94" s="1541"/>
      <c r="K94" s="1541"/>
      <c r="L94" s="1541"/>
      <c r="M94" s="1541"/>
      <c r="N94" s="1541"/>
      <c r="O94" s="1541"/>
      <c r="P94" s="1541"/>
      <c r="Q94" s="1541"/>
      <c r="R94" s="1541"/>
      <c r="S94" s="1541"/>
      <c r="T94" s="1541"/>
      <c r="U94" s="1541"/>
      <c r="V94" s="1541"/>
      <c r="W94" s="1542"/>
    </row>
    <row r="95" spans="2:23" s="399" customFormat="1" ht="7.5" customHeight="1" x14ac:dyDescent="0.3"/>
    <row r="96" spans="2:23" s="399" customFormat="1" x14ac:dyDescent="0.3"/>
    <row r="97" s="399" customFormat="1" x14ac:dyDescent="0.3"/>
    <row r="98" s="399" customFormat="1" x14ac:dyDescent="0.3"/>
    <row r="99" s="399" customFormat="1" ht="7.5" customHeight="1" x14ac:dyDescent="0.3"/>
    <row r="100" s="399" customFormat="1" x14ac:dyDescent="0.3"/>
    <row r="101" s="399" customFormat="1" ht="7.5" customHeight="1" x14ac:dyDescent="0.3"/>
    <row r="102" s="399" customFormat="1" x14ac:dyDescent="0.3"/>
    <row r="103" s="399" customFormat="1" x14ac:dyDescent="0.3"/>
    <row r="104" s="399" customFormat="1" ht="7.5" customHeight="1" x14ac:dyDescent="0.3"/>
    <row r="105" s="399" customFormat="1" x14ac:dyDescent="0.3"/>
    <row r="106" s="399" customFormat="1" x14ac:dyDescent="0.3"/>
    <row r="107" s="399" customFormat="1" x14ac:dyDescent="0.3"/>
    <row r="108" s="399" customFormat="1" x14ac:dyDescent="0.3"/>
    <row r="109" s="399" customFormat="1" x14ac:dyDescent="0.3"/>
    <row r="110" s="399" customFormat="1" x14ac:dyDescent="0.3"/>
    <row r="111" s="399" customFormat="1" x14ac:dyDescent="0.3"/>
    <row r="112" s="399" customFormat="1" x14ac:dyDescent="0.3"/>
    <row r="113" s="399" customFormat="1" x14ac:dyDescent="0.3"/>
    <row r="114" s="399" customFormat="1" x14ac:dyDescent="0.3"/>
    <row r="115" s="399" customFormat="1" x14ac:dyDescent="0.3"/>
    <row r="116" s="399" customFormat="1" x14ac:dyDescent="0.3"/>
    <row r="117" s="399" customFormat="1" x14ac:dyDescent="0.3"/>
    <row r="118" s="399" customFormat="1" x14ac:dyDescent="0.3"/>
    <row r="119" s="399" customFormat="1" x14ac:dyDescent="0.3"/>
    <row r="120" s="399" customFormat="1" x14ac:dyDescent="0.3"/>
    <row r="121" s="399" customFormat="1" x14ac:dyDescent="0.3"/>
    <row r="122" s="399" customFormat="1" ht="7.5" customHeight="1" x14ac:dyDescent="0.3"/>
    <row r="123" s="399" customFormat="1" x14ac:dyDescent="0.3"/>
    <row r="124" s="399" customFormat="1" x14ac:dyDescent="0.3"/>
    <row r="125" s="399" customFormat="1" ht="9" customHeight="1" x14ac:dyDescent="0.3"/>
  </sheetData>
  <sheetProtection algorithmName="SHA-512" hashValue="8udANHFEujI8LNIkxLLfVHQD7kw/VhPYZ2Eu6MxVXdPQJLkFfpPesCuxqg46K+BAdpS7//e9wy69PMtvP/SuzA==" saltValue="XM+ee9i2T5Mf88xKOji3Fw==" spinCount="100000" sheet="1" formatCells="0" formatColumns="0" formatRows="0"/>
  <mergeCells count="11">
    <mergeCell ref="C89:V93"/>
    <mergeCell ref="E39:G39"/>
    <mergeCell ref="F41:G41"/>
    <mergeCell ref="C8:V8"/>
    <mergeCell ref="C10:M10"/>
    <mergeCell ref="C16:F16"/>
    <mergeCell ref="C17:F17"/>
    <mergeCell ref="C20:F20"/>
    <mergeCell ref="C21:F21"/>
    <mergeCell ref="C35:D35"/>
    <mergeCell ref="F36:G36"/>
  </mergeCells>
  <conditionalFormatting sqref="H39:V39">
    <cfRule type="cellIs" dxfId="9" priority="8" operator="lessThan">
      <formula>0</formula>
    </cfRule>
  </conditionalFormatting>
  <conditionalFormatting sqref="H28:V28 H33:V33 H39:V39 H45:V45 H85:V85">
    <cfRule type="cellIs" dxfId="8" priority="7" operator="lessThan">
      <formula>0</formula>
    </cfRule>
  </conditionalFormatting>
  <conditionalFormatting sqref="G15:G16">
    <cfRule type="cellIs" dxfId="7" priority="6" operator="notEqual">
      <formula>0.025</formula>
    </cfRule>
  </conditionalFormatting>
  <conditionalFormatting sqref="G26">
    <cfRule type="cellIs" dxfId="6" priority="5" operator="notEqual">
      <formula>0.05</formula>
    </cfRule>
  </conditionalFormatting>
  <conditionalFormatting sqref="G27">
    <cfRule type="cellIs" dxfId="5" priority="4" operator="notEqual">
      <formula>0.1</formula>
    </cfRule>
  </conditionalFormatting>
  <conditionalFormatting sqref="F53:F73">
    <cfRule type="cellIs" dxfId="4" priority="3" operator="notEqual">
      <formula>0.035</formula>
    </cfRule>
  </conditionalFormatting>
  <conditionalFormatting sqref="F76:F77">
    <cfRule type="cellIs" dxfId="3" priority="2" operator="notEqual">
      <formula>0.035</formula>
    </cfRule>
  </conditionalFormatting>
  <conditionalFormatting sqref="F80">
    <cfRule type="cellIs" dxfId="2" priority="1" operator="notEqual">
      <formula>0.035</formula>
    </cfRule>
  </conditionalFormatting>
  <pageMargins left="1" right="1" top="0.75" bottom="0.75" header="0.3" footer="0.3"/>
  <pageSetup paperSize="17" scale="81" fitToHeight="0" orientation="landscape" r:id="rId1"/>
  <headerFooter>
    <oddFooter>&amp;LForm 8D
Operating Pro Forma&amp;CCFA Forms&amp;REdition: 2017
Version: 1.0</oddFooter>
  </headerFooter>
  <rowBreaks count="1" manualBreakCount="1">
    <brk id="46" min="1" max="22"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I81"/>
  <sheetViews>
    <sheetView showGridLines="0" topLeftCell="A2" zoomScaleNormal="100" workbookViewId="0">
      <selection activeCell="D24" sqref="D24:H24"/>
    </sheetView>
  </sheetViews>
  <sheetFormatPr defaultColWidth="9.109375" defaultRowHeight="14.4" x14ac:dyDescent="0.3"/>
  <cols>
    <col min="1" max="2" width="1.6640625" style="403" customWidth="1"/>
    <col min="3" max="4" width="22.88671875" style="403" customWidth="1"/>
    <col min="5" max="6" width="5.6640625" style="403" customWidth="1"/>
    <col min="7" max="7" width="9.109375" style="403"/>
    <col min="8" max="8" width="26.88671875" style="403" customWidth="1"/>
    <col min="9" max="9" width="1.6640625" style="403" customWidth="1"/>
    <col min="10" max="16384" width="9.109375" style="403"/>
  </cols>
  <sheetData>
    <row r="1" spans="2:9" s="400" customFormat="1" ht="15" thickBot="1" x14ac:dyDescent="0.35"/>
    <row r="2" spans="2:9" s="400" customFormat="1" ht="9" customHeight="1" x14ac:dyDescent="0.3">
      <c r="B2" s="640"/>
      <c r="C2" s="641"/>
      <c r="D2" s="641"/>
      <c r="E2" s="641"/>
      <c r="F2" s="641"/>
      <c r="G2" s="641"/>
      <c r="H2" s="641"/>
      <c r="I2" s="642"/>
    </row>
    <row r="3" spans="2:9" s="400" customFormat="1" ht="18" x14ac:dyDescent="0.35">
      <c r="B3" s="643"/>
      <c r="C3" s="2657" t="s">
        <v>427</v>
      </c>
      <c r="D3" s="2657"/>
      <c r="E3" s="2657"/>
      <c r="F3" s="2657"/>
      <c r="G3" s="2657"/>
      <c r="H3" s="2657"/>
      <c r="I3" s="644"/>
    </row>
    <row r="4" spans="2:9" s="400" customFormat="1" ht="15" customHeight="1" x14ac:dyDescent="0.3">
      <c r="B4" s="643"/>
      <c r="C4" s="493"/>
      <c r="D4" s="424"/>
      <c r="E4" s="424"/>
      <c r="F4" s="424"/>
      <c r="G4" s="424"/>
      <c r="H4" s="424"/>
      <c r="I4" s="644"/>
    </row>
    <row r="5" spans="2:9" s="400" customFormat="1" ht="15" thickBot="1" x14ac:dyDescent="0.35">
      <c r="B5" s="645"/>
      <c r="C5" s="2939" t="str">
        <f>IF('1'!G5="","Enter Project Name on Form 1",(CONCATENATE("Project Name: ",'1'!G5)))</f>
        <v>Project Name: 6600 Roosevelt Way NE</v>
      </c>
      <c r="D5" s="2939"/>
      <c r="E5" s="2939"/>
      <c r="F5" s="2939"/>
      <c r="G5" s="2939"/>
      <c r="H5" s="1883"/>
      <c r="I5" s="646"/>
    </row>
    <row r="6" spans="2:9" s="400" customFormat="1" ht="15" customHeight="1" thickBot="1" x14ac:dyDescent="0.35">
      <c r="B6" s="643"/>
      <c r="C6" s="424"/>
      <c r="D6" s="424"/>
      <c r="E6" s="424"/>
      <c r="F6" s="424"/>
      <c r="G6" s="424"/>
      <c r="H6" s="424"/>
      <c r="I6" s="644"/>
    </row>
    <row r="7" spans="2:9" s="400" customFormat="1" x14ac:dyDescent="0.3">
      <c r="B7" s="643"/>
      <c r="C7" s="2924" t="s">
        <v>428</v>
      </c>
      <c r="D7" s="2925"/>
      <c r="E7" s="2925"/>
      <c r="F7" s="2925"/>
      <c r="G7" s="2925"/>
      <c r="H7" s="2926"/>
      <c r="I7" s="644"/>
    </row>
    <row r="8" spans="2:9" s="400" customFormat="1" x14ac:dyDescent="0.3">
      <c r="B8" s="643"/>
      <c r="C8" s="342" t="s">
        <v>429</v>
      </c>
      <c r="D8" s="2929" t="str">
        <f>IF('1'!G8="","Enter Organization Name on Form 1A",'1'!G8)</f>
        <v>Bellwether Housing/Mercy Housing Northwest</v>
      </c>
      <c r="E8" s="2929"/>
      <c r="F8" s="2929"/>
      <c r="G8" s="2929"/>
      <c r="H8" s="2940"/>
      <c r="I8" s="644"/>
    </row>
    <row r="9" spans="2:9" s="400" customFormat="1" x14ac:dyDescent="0.3">
      <c r="B9" s="643"/>
      <c r="C9" s="342" t="s">
        <v>430</v>
      </c>
      <c r="D9" s="2920" t="s">
        <v>1914</v>
      </c>
      <c r="E9" s="2920"/>
      <c r="F9" s="2920"/>
      <c r="G9" s="2920"/>
      <c r="H9" s="2921"/>
      <c r="I9" s="644"/>
    </row>
    <row r="10" spans="2:9" s="400" customFormat="1" x14ac:dyDescent="0.3">
      <c r="B10" s="643"/>
      <c r="C10" s="342" t="s">
        <v>12</v>
      </c>
      <c r="D10" s="1880" t="s">
        <v>1888</v>
      </c>
      <c r="E10" s="424" t="s">
        <v>431</v>
      </c>
      <c r="F10" s="1876" t="s">
        <v>1915</v>
      </c>
      <c r="G10" s="424" t="s">
        <v>432</v>
      </c>
      <c r="H10" s="1881">
        <v>98122</v>
      </c>
      <c r="I10" s="644"/>
    </row>
    <row r="11" spans="2:9" s="400" customFormat="1" x14ac:dyDescent="0.3">
      <c r="B11" s="643"/>
      <c r="C11" s="342" t="s">
        <v>433</v>
      </c>
      <c r="D11" s="2922" t="s">
        <v>2190</v>
      </c>
      <c r="E11" s="2922"/>
      <c r="F11" s="2922"/>
      <c r="G11" s="2922"/>
      <c r="H11" s="2923"/>
      <c r="I11" s="644"/>
    </row>
    <row r="12" spans="2:9" s="400" customFormat="1" x14ac:dyDescent="0.3">
      <c r="B12" s="643"/>
      <c r="C12" s="351" t="s">
        <v>434</v>
      </c>
      <c r="D12" s="2927" t="s">
        <v>2191</v>
      </c>
      <c r="E12" s="2927"/>
      <c r="F12" s="2927"/>
      <c r="G12" s="2927"/>
      <c r="H12" s="2928"/>
      <c r="I12" s="644"/>
    </row>
    <row r="13" spans="2:9" x14ac:dyDescent="0.3">
      <c r="B13" s="647"/>
      <c r="C13" s="298"/>
      <c r="D13" s="299"/>
      <c r="E13" s="300"/>
      <c r="F13" s="300"/>
      <c r="G13" s="300"/>
      <c r="H13" s="301"/>
      <c r="I13" s="648"/>
    </row>
    <row r="14" spans="2:9" s="400" customFormat="1" ht="27.6" x14ac:dyDescent="0.3">
      <c r="B14" s="643"/>
      <c r="C14" s="341" t="s">
        <v>435</v>
      </c>
      <c r="D14" s="2922" t="s">
        <v>1913</v>
      </c>
      <c r="E14" s="2922"/>
      <c r="F14" s="2922"/>
      <c r="G14" s="2922"/>
      <c r="H14" s="2923"/>
      <c r="I14" s="644"/>
    </row>
    <row r="15" spans="2:9" s="400" customFormat="1" x14ac:dyDescent="0.3">
      <c r="B15" s="643"/>
      <c r="C15" s="342" t="s">
        <v>4</v>
      </c>
      <c r="D15" s="2520" t="s">
        <v>1929</v>
      </c>
      <c r="E15" s="2520"/>
      <c r="F15" s="2520"/>
      <c r="G15" s="217" t="s">
        <v>436</v>
      </c>
      <c r="H15" s="1881"/>
      <c r="I15" s="644"/>
    </row>
    <row r="16" spans="2:9" s="400" customFormat="1" x14ac:dyDescent="0.3">
      <c r="B16" s="643"/>
      <c r="C16" s="342" t="s">
        <v>5</v>
      </c>
      <c r="D16" s="2922" t="s">
        <v>1916</v>
      </c>
      <c r="E16" s="2922"/>
      <c r="F16" s="2922"/>
      <c r="G16" s="2922"/>
      <c r="H16" s="2923"/>
      <c r="I16" s="644"/>
    </row>
    <row r="17" spans="2:9" s="400" customFormat="1" x14ac:dyDescent="0.3">
      <c r="B17" s="643"/>
      <c r="C17" s="343" t="s">
        <v>437</v>
      </c>
      <c r="D17" s="2934" t="str">
        <f>IF('1'!G10="","Enter Contact Name on Form 1A",'1'!G10)</f>
        <v>Richard Loo</v>
      </c>
      <c r="E17" s="2934"/>
      <c r="F17" s="2934"/>
      <c r="G17" s="2934"/>
      <c r="H17" s="2935"/>
      <c r="I17" s="644"/>
    </row>
    <row r="18" spans="2:9" s="400" customFormat="1" x14ac:dyDescent="0.3">
      <c r="B18" s="643"/>
      <c r="C18" s="342" t="s">
        <v>4</v>
      </c>
      <c r="D18" s="2938" t="str">
        <f>IF('1'!G12="","Enter Phone Number on Form 1A",'1'!G12)</f>
        <v>206-957-2729</v>
      </c>
      <c r="E18" s="2938"/>
      <c r="F18" s="2938"/>
      <c r="G18" s="217" t="s">
        <v>436</v>
      </c>
      <c r="H18" s="1881"/>
      <c r="I18" s="644"/>
    </row>
    <row r="19" spans="2:9" s="400" customFormat="1" x14ac:dyDescent="0.3">
      <c r="B19" s="643"/>
      <c r="C19" s="342" t="s">
        <v>5</v>
      </c>
      <c r="D19" s="2936" t="str">
        <f>IF('1'!J12="","Enter Email on Form 1A",'1'!J12)</f>
        <v>rloo@bellwetherhousing.org</v>
      </c>
      <c r="E19" s="2936"/>
      <c r="F19" s="2936"/>
      <c r="G19" s="2936"/>
      <c r="H19" s="2937"/>
      <c r="I19" s="644"/>
    </row>
    <row r="20" spans="2:9" s="400" customFormat="1" ht="15" thickBot="1" x14ac:dyDescent="0.35">
      <c r="B20" s="643"/>
      <c r="C20" s="344"/>
      <c r="D20" s="347"/>
      <c r="E20" s="347"/>
      <c r="F20" s="347"/>
      <c r="G20" s="347"/>
      <c r="H20" s="348"/>
      <c r="I20" s="644"/>
    </row>
    <row r="21" spans="2:9" s="400" customFormat="1" ht="7.5" customHeight="1" thickBot="1" x14ac:dyDescent="0.35">
      <c r="B21" s="643"/>
      <c r="C21" s="424"/>
      <c r="D21" s="424"/>
      <c r="E21" s="424"/>
      <c r="F21" s="424"/>
      <c r="G21" s="424"/>
      <c r="H21" s="424"/>
      <c r="I21" s="644"/>
    </row>
    <row r="22" spans="2:9" s="400" customFormat="1" x14ac:dyDescent="0.3">
      <c r="B22" s="643"/>
      <c r="C22" s="2924" t="s">
        <v>438</v>
      </c>
      <c r="D22" s="2925"/>
      <c r="E22" s="2925"/>
      <c r="F22" s="2925"/>
      <c r="G22" s="2925"/>
      <c r="H22" s="2926"/>
      <c r="I22" s="644"/>
    </row>
    <row r="23" spans="2:9" s="400" customFormat="1" x14ac:dyDescent="0.3">
      <c r="B23" s="643"/>
      <c r="C23" s="342" t="s">
        <v>429</v>
      </c>
      <c r="D23" s="2936" t="str">
        <f>IF('1'!G15="","Enter Firm Name on Form 1A, if applicable",'1'!G15)</f>
        <v>N/A</v>
      </c>
      <c r="E23" s="2936"/>
      <c r="F23" s="2936"/>
      <c r="G23" s="2936"/>
      <c r="H23" s="2937"/>
      <c r="I23" s="644"/>
    </row>
    <row r="24" spans="2:9" s="400" customFormat="1" x14ac:dyDescent="0.3">
      <c r="B24" s="643"/>
      <c r="C24" s="343" t="s">
        <v>437</v>
      </c>
      <c r="D24" s="2934" t="str">
        <f>IF('1'!G17="","Enter Contact Name on Form 1A",'1'!G17)</f>
        <v>Enter Contact Name on Form 1A</v>
      </c>
      <c r="E24" s="2934"/>
      <c r="F24" s="2934"/>
      <c r="G24" s="2934"/>
      <c r="H24" s="2935"/>
      <c r="I24" s="644"/>
    </row>
    <row r="25" spans="2:9" s="400" customFormat="1" x14ac:dyDescent="0.3">
      <c r="B25" s="643"/>
      <c r="C25" s="342" t="s">
        <v>430</v>
      </c>
      <c r="D25" s="2920"/>
      <c r="E25" s="2920"/>
      <c r="F25" s="2920"/>
      <c r="G25" s="2920"/>
      <c r="H25" s="2921"/>
      <c r="I25" s="644"/>
    </row>
    <row r="26" spans="2:9" s="400" customFormat="1" x14ac:dyDescent="0.3">
      <c r="B26" s="643"/>
      <c r="C26" s="342" t="s">
        <v>12</v>
      </c>
      <c r="D26" s="1880"/>
      <c r="E26" s="424" t="s">
        <v>431</v>
      </c>
      <c r="F26" s="1876"/>
      <c r="G26" s="424" t="s">
        <v>432</v>
      </c>
      <c r="H26" s="345"/>
      <c r="I26" s="644"/>
    </row>
    <row r="27" spans="2:9" s="400" customFormat="1" x14ac:dyDescent="0.3">
      <c r="B27" s="643"/>
      <c r="C27" s="342" t="s">
        <v>4</v>
      </c>
      <c r="D27" s="2936" t="str">
        <f>IF('1'!G19="","Enter Phone Number on Form 1A",'1'!G19)</f>
        <v>Enter Phone Number on Form 1A</v>
      </c>
      <c r="E27" s="2936"/>
      <c r="F27" s="217" t="s">
        <v>436</v>
      </c>
      <c r="G27" s="2520"/>
      <c r="H27" s="2933"/>
      <c r="I27" s="644"/>
    </row>
    <row r="28" spans="2:9" s="400" customFormat="1" x14ac:dyDescent="0.3">
      <c r="B28" s="643"/>
      <c r="C28" s="342" t="s">
        <v>5</v>
      </c>
      <c r="D28" s="2936" t="str">
        <f>IF('1'!J19="","Enter Email on Form 1A",'1'!J19)</f>
        <v>Enter Email on Form 1A</v>
      </c>
      <c r="E28" s="2936"/>
      <c r="F28" s="2936"/>
      <c r="G28" s="2936"/>
      <c r="H28" s="2937"/>
      <c r="I28" s="644"/>
    </row>
    <row r="29" spans="2:9" s="400" customFormat="1" ht="15" thickBot="1" x14ac:dyDescent="0.35">
      <c r="B29" s="643"/>
      <c r="C29" s="344"/>
      <c r="D29" s="347"/>
      <c r="E29" s="347"/>
      <c r="F29" s="347"/>
      <c r="G29" s="347"/>
      <c r="H29" s="348"/>
      <c r="I29" s="644"/>
    </row>
    <row r="30" spans="2:9" s="400" customFormat="1" ht="7.5" customHeight="1" thickBot="1" x14ac:dyDescent="0.35">
      <c r="B30" s="643"/>
      <c r="C30" s="346"/>
      <c r="D30" s="424"/>
      <c r="E30" s="424"/>
      <c r="F30" s="424"/>
      <c r="G30" s="424"/>
      <c r="H30" s="424"/>
      <c r="I30" s="644"/>
    </row>
    <row r="31" spans="2:9" s="400" customFormat="1" x14ac:dyDescent="0.3">
      <c r="B31" s="643"/>
      <c r="C31" s="2924" t="s">
        <v>173</v>
      </c>
      <c r="D31" s="2925"/>
      <c r="E31" s="2925"/>
      <c r="F31" s="2925"/>
      <c r="G31" s="2925"/>
      <c r="H31" s="2926"/>
      <c r="I31" s="644"/>
    </row>
    <row r="32" spans="2:9" s="400" customFormat="1" x14ac:dyDescent="0.3">
      <c r="B32" s="643"/>
      <c r="C32" s="342" t="s">
        <v>429</v>
      </c>
      <c r="D32" s="2922" t="s">
        <v>1917</v>
      </c>
      <c r="E32" s="2922"/>
      <c r="F32" s="2922"/>
      <c r="G32" s="2922"/>
      <c r="H32" s="2923"/>
      <c r="I32" s="644"/>
    </row>
    <row r="33" spans="2:9" s="400" customFormat="1" x14ac:dyDescent="0.3">
      <c r="B33" s="643"/>
      <c r="C33" s="343" t="s">
        <v>437</v>
      </c>
      <c r="D33" s="2920" t="s">
        <v>1918</v>
      </c>
      <c r="E33" s="2920"/>
      <c r="F33" s="2920"/>
      <c r="G33" s="2920"/>
      <c r="H33" s="2921"/>
      <c r="I33" s="644"/>
    </row>
    <row r="34" spans="2:9" s="400" customFormat="1" x14ac:dyDescent="0.3">
      <c r="B34" s="643"/>
      <c r="C34" s="342" t="s">
        <v>4</v>
      </c>
      <c r="D34" s="1879" t="s">
        <v>1920</v>
      </c>
      <c r="E34" s="424" t="s">
        <v>5</v>
      </c>
      <c r="F34" s="2922" t="s">
        <v>1919</v>
      </c>
      <c r="G34" s="2922"/>
      <c r="H34" s="2923"/>
      <c r="I34" s="644"/>
    </row>
    <row r="35" spans="2:9" s="400" customFormat="1" ht="15" thickBot="1" x14ac:dyDescent="0.35">
      <c r="B35" s="643"/>
      <c r="C35" s="344"/>
      <c r="D35" s="347"/>
      <c r="E35" s="347"/>
      <c r="F35" s="347"/>
      <c r="G35" s="347"/>
      <c r="H35" s="348"/>
      <c r="I35" s="644"/>
    </row>
    <row r="36" spans="2:9" s="400" customFormat="1" ht="7.5" customHeight="1" thickBot="1" x14ac:dyDescent="0.35">
      <c r="B36" s="643"/>
      <c r="C36" s="424"/>
      <c r="D36" s="424"/>
      <c r="E36" s="424"/>
      <c r="F36" s="424"/>
      <c r="G36" s="424"/>
      <c r="H36" s="424"/>
      <c r="I36" s="644"/>
    </row>
    <row r="37" spans="2:9" s="400" customFormat="1" x14ac:dyDescent="0.3">
      <c r="B37" s="643"/>
      <c r="C37" s="2924" t="s">
        <v>439</v>
      </c>
      <c r="D37" s="2925"/>
      <c r="E37" s="2925"/>
      <c r="F37" s="2925"/>
      <c r="G37" s="2925"/>
      <c r="H37" s="2926"/>
      <c r="I37" s="644"/>
    </row>
    <row r="38" spans="2:9" s="400" customFormat="1" x14ac:dyDescent="0.3">
      <c r="B38" s="643"/>
      <c r="C38" s="342" t="s">
        <v>429</v>
      </c>
      <c r="D38" s="2922" t="s">
        <v>1921</v>
      </c>
      <c r="E38" s="2922"/>
      <c r="F38" s="2922"/>
      <c r="G38" s="2922"/>
      <c r="H38" s="2923"/>
      <c r="I38" s="644"/>
    </row>
    <row r="39" spans="2:9" s="400" customFormat="1" x14ac:dyDescent="0.3">
      <c r="B39" s="643"/>
      <c r="C39" s="343" t="s">
        <v>437</v>
      </c>
      <c r="D39" s="2920" t="s">
        <v>1922</v>
      </c>
      <c r="E39" s="2920"/>
      <c r="F39" s="2920"/>
      <c r="G39" s="2920"/>
      <c r="H39" s="2921"/>
      <c r="I39" s="644"/>
    </row>
    <row r="40" spans="2:9" s="400" customFormat="1" x14ac:dyDescent="0.3">
      <c r="B40" s="643"/>
      <c r="C40" s="342" t="s">
        <v>4</v>
      </c>
      <c r="D40" s="1879" t="s">
        <v>1924</v>
      </c>
      <c r="E40" s="424" t="s">
        <v>5</v>
      </c>
      <c r="F40" s="2922" t="s">
        <v>1923</v>
      </c>
      <c r="G40" s="2922"/>
      <c r="H40" s="2923"/>
      <c r="I40" s="644"/>
    </row>
    <row r="41" spans="2:9" s="400" customFormat="1" ht="15" thickBot="1" x14ac:dyDescent="0.35">
      <c r="B41" s="643"/>
      <c r="C41" s="344"/>
      <c r="D41" s="347"/>
      <c r="E41" s="347"/>
      <c r="F41" s="347"/>
      <c r="G41" s="347"/>
      <c r="H41" s="348"/>
      <c r="I41" s="644"/>
    </row>
    <row r="42" spans="2:9" s="400" customFormat="1" ht="9" customHeight="1" thickBot="1" x14ac:dyDescent="0.35">
      <c r="B42" s="643"/>
      <c r="C42" s="349"/>
      <c r="D42" s="349"/>
      <c r="E42" s="349"/>
      <c r="F42" s="349"/>
      <c r="G42" s="349"/>
      <c r="H42" s="349"/>
      <c r="I42" s="644"/>
    </row>
    <row r="43" spans="2:9" s="400" customFormat="1" x14ac:dyDescent="0.3">
      <c r="B43" s="643"/>
      <c r="C43" s="2924" t="s">
        <v>440</v>
      </c>
      <c r="D43" s="2932"/>
      <c r="E43" s="2932"/>
      <c r="F43" s="2932"/>
      <c r="G43" s="2932"/>
      <c r="H43" s="2926"/>
      <c r="I43" s="644"/>
    </row>
    <row r="44" spans="2:9" s="400" customFormat="1" x14ac:dyDescent="0.3">
      <c r="B44" s="643"/>
      <c r="C44" s="342" t="s">
        <v>429</v>
      </c>
      <c r="D44" s="2922" t="s">
        <v>1925</v>
      </c>
      <c r="E44" s="2922"/>
      <c r="F44" s="2922"/>
      <c r="G44" s="2922"/>
      <c r="H44" s="2923"/>
      <c r="I44" s="644"/>
    </row>
    <row r="45" spans="2:9" s="400" customFormat="1" x14ac:dyDescent="0.3">
      <c r="B45" s="643"/>
      <c r="C45" s="343" t="s">
        <v>437</v>
      </c>
      <c r="D45" s="2930"/>
      <c r="E45" s="2930"/>
      <c r="F45" s="2930"/>
      <c r="G45" s="2930"/>
      <c r="H45" s="2931"/>
      <c r="I45" s="644"/>
    </row>
    <row r="46" spans="2:9" s="400" customFormat="1" x14ac:dyDescent="0.3">
      <c r="B46" s="643"/>
      <c r="C46" s="342" t="s">
        <v>4</v>
      </c>
      <c r="D46" s="1882"/>
      <c r="E46" s="424" t="s">
        <v>5</v>
      </c>
      <c r="F46" s="2922"/>
      <c r="G46" s="2922"/>
      <c r="H46" s="2923"/>
      <c r="I46" s="644"/>
    </row>
    <row r="47" spans="2:9" s="400" customFormat="1" ht="15" thickBot="1" x14ac:dyDescent="0.35">
      <c r="B47" s="643"/>
      <c r="C47" s="344"/>
      <c r="D47" s="363"/>
      <c r="E47" s="363"/>
      <c r="F47" s="363"/>
      <c r="G47" s="363"/>
      <c r="H47" s="364"/>
      <c r="I47" s="644"/>
    </row>
    <row r="48" spans="2:9" s="400" customFormat="1" ht="7.5" customHeight="1" thickBot="1" x14ac:dyDescent="0.35">
      <c r="B48" s="624"/>
      <c r="C48" s="349"/>
      <c r="D48" s="349"/>
      <c r="E48" s="349"/>
      <c r="F48" s="349"/>
      <c r="G48" s="349"/>
      <c r="H48" s="349"/>
      <c r="I48" s="625"/>
    </row>
    <row r="49" spans="2:9" s="400" customFormat="1" ht="9" customHeight="1" x14ac:dyDescent="0.3">
      <c r="B49" s="640"/>
      <c r="C49" s="641"/>
      <c r="D49" s="641"/>
      <c r="E49" s="641"/>
      <c r="F49" s="641"/>
      <c r="G49" s="641"/>
      <c r="H49" s="641"/>
      <c r="I49" s="642"/>
    </row>
    <row r="50" spans="2:9" s="400" customFormat="1" ht="18" x14ac:dyDescent="0.35">
      <c r="B50" s="643"/>
      <c r="C50" s="2657" t="s">
        <v>530</v>
      </c>
      <c r="D50" s="2657"/>
      <c r="E50" s="2657"/>
      <c r="F50" s="2657"/>
      <c r="G50" s="2657"/>
      <c r="H50" s="2657"/>
      <c r="I50" s="644"/>
    </row>
    <row r="51" spans="2:9" s="400" customFormat="1" ht="15" customHeight="1" x14ac:dyDescent="0.3">
      <c r="B51" s="643"/>
      <c r="C51" s="493"/>
      <c r="D51" s="424"/>
      <c r="E51" s="424"/>
      <c r="F51" s="424"/>
      <c r="G51" s="424"/>
      <c r="H51" s="424"/>
      <c r="I51" s="644"/>
    </row>
    <row r="52" spans="2:9" s="400" customFormat="1" x14ac:dyDescent="0.3">
      <c r="B52" s="645"/>
      <c r="C52" s="384" t="s">
        <v>0</v>
      </c>
      <c r="D52" s="2929" t="str">
        <f>IF('1'!G5="","Enter Project Name on Form 1A",'1'!G5)</f>
        <v>6600 Roosevelt Way NE</v>
      </c>
      <c r="E52" s="2929"/>
      <c r="F52" s="2929"/>
      <c r="G52" s="2929"/>
      <c r="H52" s="2929"/>
      <c r="I52" s="646"/>
    </row>
    <row r="53" spans="2:9" s="400" customFormat="1" ht="15" customHeight="1" thickBot="1" x14ac:dyDescent="0.35">
      <c r="B53" s="643"/>
      <c r="C53" s="424"/>
      <c r="D53" s="424"/>
      <c r="E53" s="424"/>
      <c r="F53" s="424"/>
      <c r="G53" s="424"/>
      <c r="H53" s="424"/>
      <c r="I53" s="644"/>
    </row>
    <row r="54" spans="2:9" s="400" customFormat="1" x14ac:dyDescent="0.3">
      <c r="B54" s="643"/>
      <c r="C54" s="2924" t="s">
        <v>441</v>
      </c>
      <c r="D54" s="2925"/>
      <c r="E54" s="2925"/>
      <c r="F54" s="2925"/>
      <c r="G54" s="2925"/>
      <c r="H54" s="2926"/>
      <c r="I54" s="644"/>
    </row>
    <row r="55" spans="2:9" s="400" customFormat="1" x14ac:dyDescent="0.3">
      <c r="B55" s="643"/>
      <c r="C55" s="342" t="s">
        <v>429</v>
      </c>
      <c r="D55" s="2922" t="s">
        <v>1926</v>
      </c>
      <c r="E55" s="2922"/>
      <c r="F55" s="2922"/>
      <c r="G55" s="2922"/>
      <c r="H55" s="2923"/>
      <c r="I55" s="644"/>
    </row>
    <row r="56" spans="2:9" s="400" customFormat="1" x14ac:dyDescent="0.3">
      <c r="B56" s="643"/>
      <c r="C56" s="343" t="s">
        <v>437</v>
      </c>
      <c r="D56" s="2920" t="s">
        <v>1927</v>
      </c>
      <c r="E56" s="2920"/>
      <c r="F56" s="2920"/>
      <c r="G56" s="2920"/>
      <c r="H56" s="2921"/>
      <c r="I56" s="644"/>
    </row>
    <row r="57" spans="2:9" s="400" customFormat="1" x14ac:dyDescent="0.3">
      <c r="B57" s="643"/>
      <c r="C57" s="342" t="s">
        <v>430</v>
      </c>
      <c r="D57" s="2920" t="s">
        <v>1928</v>
      </c>
      <c r="E57" s="2920"/>
      <c r="F57" s="2920"/>
      <c r="G57" s="2920"/>
      <c r="H57" s="2921"/>
      <c r="I57" s="644"/>
    </row>
    <row r="58" spans="2:9" s="400" customFormat="1" x14ac:dyDescent="0.3">
      <c r="B58" s="643"/>
      <c r="C58" s="342" t="s">
        <v>12</v>
      </c>
      <c r="D58" s="1880" t="s">
        <v>1888</v>
      </c>
      <c r="E58" s="424" t="s">
        <v>431</v>
      </c>
      <c r="F58" s="1876" t="s">
        <v>1915</v>
      </c>
      <c r="G58" s="424" t="s">
        <v>432</v>
      </c>
      <c r="H58" s="1881">
        <v>98122</v>
      </c>
      <c r="I58" s="644"/>
    </row>
    <row r="59" spans="2:9" s="400" customFormat="1" x14ac:dyDescent="0.3">
      <c r="B59" s="643"/>
      <c r="C59" s="342" t="s">
        <v>4</v>
      </c>
      <c r="D59" s="1879" t="s">
        <v>1929</v>
      </c>
      <c r="E59" s="424" t="s">
        <v>5</v>
      </c>
      <c r="F59" s="2922" t="s">
        <v>1930</v>
      </c>
      <c r="G59" s="2922"/>
      <c r="H59" s="2923"/>
      <c r="I59" s="644"/>
    </row>
    <row r="60" spans="2:9" s="400" customFormat="1" ht="15" thickBot="1" x14ac:dyDescent="0.35">
      <c r="B60" s="645"/>
      <c r="C60" s="344"/>
      <c r="D60" s="347"/>
      <c r="E60" s="347"/>
      <c r="F60" s="347"/>
      <c r="G60" s="347"/>
      <c r="H60" s="348"/>
      <c r="I60" s="646"/>
    </row>
    <row r="61" spans="2:9" s="400" customFormat="1" ht="7.5" customHeight="1" thickBot="1" x14ac:dyDescent="0.35">
      <c r="B61" s="643"/>
      <c r="C61" s="350"/>
      <c r="D61" s="1877"/>
      <c r="E61" s="1877"/>
      <c r="F61" s="1877"/>
      <c r="G61" s="1877"/>
      <c r="H61" s="350"/>
      <c r="I61" s="644"/>
    </row>
    <row r="62" spans="2:9" s="400" customFormat="1" x14ac:dyDescent="0.3">
      <c r="B62" s="643"/>
      <c r="C62" s="2924" t="s">
        <v>442</v>
      </c>
      <c r="D62" s="2925"/>
      <c r="E62" s="2925"/>
      <c r="F62" s="2925"/>
      <c r="G62" s="2925"/>
      <c r="H62" s="2926"/>
      <c r="I62" s="644"/>
    </row>
    <row r="63" spans="2:9" s="400" customFormat="1" x14ac:dyDescent="0.3">
      <c r="B63" s="643"/>
      <c r="C63" s="342" t="s">
        <v>429</v>
      </c>
      <c r="D63" s="2922" t="s">
        <v>1936</v>
      </c>
      <c r="E63" s="2922"/>
      <c r="F63" s="2922"/>
      <c r="G63" s="2922"/>
      <c r="H63" s="2923"/>
      <c r="I63" s="644"/>
    </row>
    <row r="64" spans="2:9" s="400" customFormat="1" x14ac:dyDescent="0.3">
      <c r="B64" s="643"/>
      <c r="C64" s="343" t="s">
        <v>437</v>
      </c>
      <c r="D64" s="2920"/>
      <c r="E64" s="2920"/>
      <c r="F64" s="2920"/>
      <c r="G64" s="2920"/>
      <c r="H64" s="2921"/>
      <c r="I64" s="644"/>
    </row>
    <row r="65" spans="2:9" s="400" customFormat="1" x14ac:dyDescent="0.3">
      <c r="B65" s="643"/>
      <c r="C65" s="342" t="s">
        <v>4</v>
      </c>
      <c r="D65" s="1879"/>
      <c r="E65" s="424" t="s">
        <v>5</v>
      </c>
      <c r="F65" s="2922"/>
      <c r="G65" s="2922"/>
      <c r="H65" s="2923"/>
      <c r="I65" s="644"/>
    </row>
    <row r="66" spans="2:9" s="400" customFormat="1" ht="15" thickBot="1" x14ac:dyDescent="0.35">
      <c r="B66" s="643"/>
      <c r="C66" s="344"/>
      <c r="D66" s="347"/>
      <c r="E66" s="347"/>
      <c r="F66" s="347"/>
      <c r="G66" s="347"/>
      <c r="H66" s="348"/>
      <c r="I66" s="644"/>
    </row>
    <row r="67" spans="2:9" s="400" customFormat="1" ht="7.5" customHeight="1" thickBot="1" x14ac:dyDescent="0.35">
      <c r="B67" s="643"/>
      <c r="C67" s="424"/>
      <c r="D67" s="424"/>
      <c r="E67" s="424"/>
      <c r="F67" s="424"/>
      <c r="G67" s="424"/>
      <c r="H67" s="424"/>
      <c r="I67" s="644"/>
    </row>
    <row r="68" spans="2:9" s="400" customFormat="1" x14ac:dyDescent="0.3">
      <c r="B68" s="643"/>
      <c r="C68" s="2924" t="s">
        <v>443</v>
      </c>
      <c r="D68" s="2925"/>
      <c r="E68" s="2925"/>
      <c r="F68" s="2925"/>
      <c r="G68" s="2925"/>
      <c r="H68" s="2926"/>
      <c r="I68" s="644"/>
    </row>
    <row r="69" spans="2:9" s="400" customFormat="1" x14ac:dyDescent="0.3">
      <c r="B69" s="643"/>
      <c r="C69" s="342" t="s">
        <v>429</v>
      </c>
      <c r="D69" s="2922" t="s">
        <v>1925</v>
      </c>
      <c r="E69" s="2922"/>
      <c r="F69" s="2922"/>
      <c r="G69" s="2922"/>
      <c r="H69" s="2923"/>
      <c r="I69" s="644"/>
    </row>
    <row r="70" spans="2:9" s="400" customFormat="1" x14ac:dyDescent="0.3">
      <c r="B70" s="643"/>
      <c r="C70" s="343" t="s">
        <v>437</v>
      </c>
      <c r="D70" s="2920"/>
      <c r="E70" s="2920"/>
      <c r="F70" s="2920"/>
      <c r="G70" s="2920"/>
      <c r="H70" s="2921"/>
      <c r="I70" s="644"/>
    </row>
    <row r="71" spans="2:9" s="400" customFormat="1" x14ac:dyDescent="0.3">
      <c r="B71" s="643"/>
      <c r="C71" s="342" t="s">
        <v>4</v>
      </c>
      <c r="D71" s="1879"/>
      <c r="E71" s="424" t="s">
        <v>5</v>
      </c>
      <c r="F71" s="2922"/>
      <c r="G71" s="2922"/>
      <c r="H71" s="2923"/>
      <c r="I71" s="644"/>
    </row>
    <row r="72" spans="2:9" s="400" customFormat="1" ht="15" thickBot="1" x14ac:dyDescent="0.35">
      <c r="B72" s="643"/>
      <c r="C72" s="344"/>
      <c r="D72" s="347"/>
      <c r="E72" s="347"/>
      <c r="F72" s="347"/>
      <c r="G72" s="347"/>
      <c r="H72" s="348"/>
      <c r="I72" s="644"/>
    </row>
    <row r="73" spans="2:9" s="400" customFormat="1" ht="7.5" customHeight="1" thickBot="1" x14ac:dyDescent="0.35">
      <c r="B73" s="643"/>
      <c r="C73" s="424"/>
      <c r="D73" s="424"/>
      <c r="E73" s="424"/>
      <c r="F73" s="424"/>
      <c r="G73" s="424"/>
      <c r="H73" s="424"/>
      <c r="I73" s="644"/>
    </row>
    <row r="74" spans="2:9" s="400" customFormat="1" x14ac:dyDescent="0.3">
      <c r="B74" s="643"/>
      <c r="C74" s="2924" t="s">
        <v>444</v>
      </c>
      <c r="D74" s="2925"/>
      <c r="E74" s="2925"/>
      <c r="F74" s="2925"/>
      <c r="G74" s="2925"/>
      <c r="H74" s="2926"/>
      <c r="I74" s="644"/>
    </row>
    <row r="75" spans="2:9" s="400" customFormat="1" x14ac:dyDescent="0.3">
      <c r="B75" s="643"/>
      <c r="C75" s="342" t="s">
        <v>429</v>
      </c>
      <c r="D75" s="2922" t="s">
        <v>1931</v>
      </c>
      <c r="E75" s="2922"/>
      <c r="F75" s="2922"/>
      <c r="G75" s="2922"/>
      <c r="H75" s="2923"/>
      <c r="I75" s="644"/>
    </row>
    <row r="76" spans="2:9" s="400" customFormat="1" x14ac:dyDescent="0.3">
      <c r="B76" s="643"/>
      <c r="C76" s="343" t="s">
        <v>437</v>
      </c>
      <c r="D76" s="2920" t="s">
        <v>1934</v>
      </c>
      <c r="E76" s="2920"/>
      <c r="F76" s="2920"/>
      <c r="G76" s="2920"/>
      <c r="H76" s="2921"/>
      <c r="I76" s="644"/>
    </row>
    <row r="77" spans="2:9" s="400" customFormat="1" x14ac:dyDescent="0.3">
      <c r="B77" s="643"/>
      <c r="C77" s="342" t="s">
        <v>430</v>
      </c>
      <c r="D77" s="2920" t="s">
        <v>1933</v>
      </c>
      <c r="E77" s="2920"/>
      <c r="F77" s="2920"/>
      <c r="G77" s="2920"/>
      <c r="H77" s="2921"/>
      <c r="I77" s="644"/>
    </row>
    <row r="78" spans="2:9" s="400" customFormat="1" x14ac:dyDescent="0.3">
      <c r="B78" s="643"/>
      <c r="C78" s="342" t="s">
        <v>12</v>
      </c>
      <c r="D78" s="1880" t="s">
        <v>1888</v>
      </c>
      <c r="E78" s="424" t="s">
        <v>431</v>
      </c>
      <c r="F78" s="1876" t="s">
        <v>1915</v>
      </c>
      <c r="G78" s="424" t="s">
        <v>432</v>
      </c>
      <c r="H78" s="1881">
        <v>98104</v>
      </c>
      <c r="I78" s="644"/>
    </row>
    <row r="79" spans="2:9" s="400" customFormat="1" x14ac:dyDescent="0.3">
      <c r="B79" s="643"/>
      <c r="C79" s="342" t="s">
        <v>4</v>
      </c>
      <c r="D79" s="1879" t="s">
        <v>1935</v>
      </c>
      <c r="E79" s="424" t="s">
        <v>5</v>
      </c>
      <c r="F79" s="2922" t="s">
        <v>1932</v>
      </c>
      <c r="G79" s="2922"/>
      <c r="H79" s="2923"/>
      <c r="I79" s="644"/>
    </row>
    <row r="80" spans="2:9" s="400" customFormat="1" ht="15" thickBot="1" x14ac:dyDescent="0.35">
      <c r="B80" s="643"/>
      <c r="C80" s="344"/>
      <c r="D80" s="347"/>
      <c r="E80" s="347"/>
      <c r="F80" s="347"/>
      <c r="G80" s="347"/>
      <c r="H80" s="348"/>
      <c r="I80" s="644"/>
    </row>
    <row r="81" spans="2:9" s="400" customFormat="1" ht="9" customHeight="1" thickBot="1" x14ac:dyDescent="0.35">
      <c r="B81" s="624"/>
      <c r="C81" s="349"/>
      <c r="D81" s="349"/>
      <c r="E81" s="349"/>
      <c r="F81" s="349"/>
      <c r="G81" s="349"/>
      <c r="H81" s="349"/>
      <c r="I81" s="625"/>
    </row>
  </sheetData>
  <sheetProtection algorithmName="SHA-512" hashValue="6GM5voS8JnoqWM7qYOsANQoodnNEN+hsXt0Sc4Nr4PPXCvXyrvp4Rv537lZP63nBvDykoIgIMCa3iBbnRBzryg==" saltValue="LPjX4RPEmQrGyQGJv70RB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1" right="0.7" top="0.75" bottom="0.75" header="0.3" footer="0.3"/>
  <pageSetup scale="89" fitToHeight="0" orientation="portrait" r:id="rId1"/>
  <headerFooter>
    <oddFooter>&amp;LForm 9A
Project Team&amp;CCFA Forms&amp;REdition: 2017
Version: 1.0</oddFooter>
  </headerFooter>
  <rowBreaks count="1" manualBreakCount="1">
    <brk id="48" min="1"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6:Z43"/>
  <sheetViews>
    <sheetView showGridLines="0" zoomScaleNormal="100" workbookViewId="0">
      <selection activeCell="AC20" sqref="AC20"/>
    </sheetView>
  </sheetViews>
  <sheetFormatPr defaultColWidth="9.109375" defaultRowHeight="14.4" x14ac:dyDescent="0.3"/>
  <cols>
    <col min="1" max="1" width="1.6640625" style="403" customWidth="1"/>
    <col min="2" max="2" width="1.6640625" style="400" customWidth="1"/>
    <col min="3" max="3" width="14.33203125" style="403" customWidth="1"/>
    <col min="4" max="4" width="30" style="403" customWidth="1"/>
    <col min="5" max="24" width="3.5546875" style="403" customWidth="1"/>
    <col min="25" max="25" width="1.6640625" style="400" customWidth="1"/>
    <col min="26" max="26" width="1.44140625" style="403" customWidth="1"/>
    <col min="27" max="16384" width="9.109375" style="403"/>
  </cols>
  <sheetData>
    <row r="6" spans="2:26" ht="15" thickBot="1" x14ac:dyDescent="0.35"/>
    <row r="7" spans="2:26" s="400" customFormat="1" ht="9" customHeight="1" x14ac:dyDescent="0.35">
      <c r="B7" s="208"/>
      <c r="C7" s="2941"/>
      <c r="D7" s="2941"/>
      <c r="E7" s="2942"/>
      <c r="F7" s="2942"/>
      <c r="G7" s="2942"/>
      <c r="H7" s="2942"/>
      <c r="I7" s="2942"/>
      <c r="J7" s="2942"/>
      <c r="K7" s="2942"/>
      <c r="L7" s="2942"/>
      <c r="M7" s="2942"/>
      <c r="N7" s="2942"/>
      <c r="O7" s="2942"/>
      <c r="P7" s="2942"/>
      <c r="Q7" s="2942"/>
      <c r="R7" s="2942"/>
      <c r="S7" s="2942"/>
      <c r="T7" s="2942"/>
      <c r="U7" s="2942"/>
      <c r="V7" s="2942"/>
      <c r="W7" s="2942"/>
      <c r="X7" s="2942"/>
      <c r="Y7" s="2942"/>
      <c r="Z7" s="1544"/>
    </row>
    <row r="8" spans="2:26" s="400" customFormat="1" ht="18" x14ac:dyDescent="0.35">
      <c r="B8" s="216"/>
      <c r="C8" s="1878" t="s">
        <v>445</v>
      </c>
      <c r="D8" s="711"/>
      <c r="E8" s="712"/>
      <c r="F8" s="712"/>
      <c r="G8" s="712"/>
      <c r="H8" s="712"/>
      <c r="I8" s="712"/>
      <c r="J8" s="712"/>
      <c r="K8" s="712"/>
      <c r="L8" s="712"/>
      <c r="M8" s="712"/>
      <c r="N8" s="712"/>
      <c r="O8" s="712"/>
      <c r="P8" s="712"/>
      <c r="Q8" s="712"/>
      <c r="R8" s="712"/>
      <c r="S8" s="712"/>
      <c r="T8" s="712"/>
      <c r="U8" s="712"/>
      <c r="V8" s="712"/>
      <c r="W8" s="712"/>
      <c r="X8" s="712"/>
      <c r="Y8" s="650"/>
      <c r="Z8" s="1477"/>
    </row>
    <row r="9" spans="2:26" s="400" customFormat="1" ht="18" x14ac:dyDescent="0.35">
      <c r="B9" s="216"/>
      <c r="C9" s="649"/>
      <c r="D9" s="649"/>
      <c r="E9" s="650"/>
      <c r="F9" s="650"/>
      <c r="G9" s="650"/>
      <c r="H9" s="650"/>
      <c r="I9" s="650"/>
      <c r="J9" s="650"/>
      <c r="K9" s="650"/>
      <c r="L9" s="650"/>
      <c r="M9" s="650"/>
      <c r="N9" s="650"/>
      <c r="O9" s="650"/>
      <c r="P9" s="650"/>
      <c r="Q9" s="650"/>
      <c r="R9" s="650"/>
      <c r="S9" s="650"/>
      <c r="T9" s="650"/>
      <c r="U9" s="650"/>
      <c r="V9" s="650"/>
      <c r="W9" s="650"/>
      <c r="X9" s="650"/>
      <c r="Y9" s="650"/>
      <c r="Z9" s="1477"/>
    </row>
    <row r="10" spans="2:26" s="400" customFormat="1" ht="15" thickBot="1" x14ac:dyDescent="0.35">
      <c r="B10" s="216"/>
      <c r="C10" s="2646" t="str">
        <f>IF('1'!G5="","Enter Project Name on Form 1",(CONCATENATE("Project Name: ",'1'!G5)))</f>
        <v>Project Name: 6600 Roosevelt Way NE</v>
      </c>
      <c r="D10" s="2646"/>
      <c r="E10" s="2646"/>
      <c r="F10" s="2646"/>
      <c r="G10" s="2646"/>
      <c r="H10" s="2646"/>
      <c r="I10" s="2646"/>
      <c r="J10" s="2646"/>
      <c r="K10" s="2646"/>
      <c r="L10" s="2646"/>
      <c r="M10" s="2646"/>
      <c r="N10" s="2646"/>
      <c r="O10" s="2646"/>
      <c r="P10" s="2646"/>
      <c r="Q10" s="2646"/>
      <c r="R10" s="2646"/>
      <c r="S10" s="2646"/>
      <c r="T10" s="1883"/>
      <c r="U10" s="424"/>
      <c r="V10" s="424"/>
      <c r="W10" s="424"/>
      <c r="X10" s="424"/>
      <c r="Y10" s="424"/>
      <c r="Z10" s="1477"/>
    </row>
    <row r="11" spans="2:26" s="400" customFormat="1" ht="7.5" customHeight="1" x14ac:dyDescent="0.3">
      <c r="B11" s="216"/>
      <c r="C11" s="493"/>
      <c r="D11" s="493"/>
      <c r="E11" s="493"/>
      <c r="F11" s="493"/>
      <c r="G11" s="493"/>
      <c r="H11" s="493"/>
      <c r="I11" s="493"/>
      <c r="J11" s="493"/>
      <c r="K11" s="493"/>
      <c r="L11" s="493"/>
      <c r="M11" s="493"/>
      <c r="N11" s="493"/>
      <c r="O11" s="493"/>
      <c r="P11" s="424"/>
      <c r="Q11" s="424"/>
      <c r="R11" s="424"/>
      <c r="S11" s="424"/>
      <c r="T11" s="424"/>
      <c r="U11" s="424"/>
      <c r="V11" s="424"/>
      <c r="W11" s="424"/>
      <c r="X11" s="424"/>
      <c r="Y11" s="424"/>
      <c r="Z11" s="1477"/>
    </row>
    <row r="12" spans="2:26" ht="117.75" customHeight="1" x14ac:dyDescent="0.3">
      <c r="B12" s="216"/>
      <c r="C12" s="2949"/>
      <c r="D12" s="2950"/>
      <c r="E12" s="700" t="s">
        <v>446</v>
      </c>
      <c r="F12" s="2943" t="s">
        <v>447</v>
      </c>
      <c r="G12" s="2943" t="s">
        <v>448</v>
      </c>
      <c r="H12" s="2943" t="s">
        <v>449</v>
      </c>
      <c r="I12" s="2943" t="s">
        <v>450</v>
      </c>
      <c r="J12" s="2946" t="s">
        <v>451</v>
      </c>
      <c r="K12" s="2943" t="s">
        <v>452</v>
      </c>
      <c r="L12" s="2943" t="s">
        <v>453</v>
      </c>
      <c r="M12" s="2943" t="s">
        <v>454</v>
      </c>
      <c r="N12" s="2943" t="s">
        <v>455</v>
      </c>
      <c r="O12" s="2943" t="s">
        <v>456</v>
      </c>
      <c r="P12" s="2943" t="s">
        <v>457</v>
      </c>
      <c r="Q12" s="2943" t="s">
        <v>458</v>
      </c>
      <c r="R12" s="2943" t="s">
        <v>459</v>
      </c>
      <c r="S12" s="2943" t="s">
        <v>460</v>
      </c>
      <c r="T12" s="2943" t="s">
        <v>461</v>
      </c>
      <c r="U12" s="2943" t="s">
        <v>462</v>
      </c>
      <c r="V12" s="2943" t="s">
        <v>463</v>
      </c>
      <c r="W12" s="2943" t="s">
        <v>464</v>
      </c>
      <c r="X12" s="1545"/>
      <c r="Y12" s="1149"/>
      <c r="Z12" s="1526"/>
    </row>
    <row r="13" spans="2:26" x14ac:dyDescent="0.3">
      <c r="B13" s="216"/>
      <c r="C13" s="704" t="s">
        <v>465</v>
      </c>
      <c r="D13" s="705"/>
      <c r="E13" s="701" t="s">
        <v>571</v>
      </c>
      <c r="F13" s="2944"/>
      <c r="G13" s="2945"/>
      <c r="H13" s="2945"/>
      <c r="I13" s="2945"/>
      <c r="J13" s="2947"/>
      <c r="K13" s="2945"/>
      <c r="L13" s="2945"/>
      <c r="M13" s="2945"/>
      <c r="N13" s="2945"/>
      <c r="O13" s="2945"/>
      <c r="P13" s="2945"/>
      <c r="Q13" s="2945"/>
      <c r="R13" s="2945"/>
      <c r="S13" s="2945"/>
      <c r="T13" s="2945"/>
      <c r="U13" s="2945"/>
      <c r="V13" s="2945"/>
      <c r="W13" s="2945"/>
      <c r="X13" s="1546"/>
      <c r="Y13" s="1150"/>
      <c r="Z13" s="1526"/>
    </row>
    <row r="14" spans="2:26" x14ac:dyDescent="0.3">
      <c r="B14" s="216"/>
      <c r="C14" s="706" t="s">
        <v>448</v>
      </c>
      <c r="D14" s="707"/>
      <c r="E14" s="701"/>
      <c r="F14" s="701" t="s">
        <v>571</v>
      </c>
      <c r="G14" s="2944"/>
      <c r="H14" s="2945"/>
      <c r="I14" s="2945"/>
      <c r="J14" s="2947"/>
      <c r="K14" s="2945"/>
      <c r="L14" s="2945"/>
      <c r="M14" s="2945"/>
      <c r="N14" s="2945"/>
      <c r="O14" s="2945"/>
      <c r="P14" s="2945"/>
      <c r="Q14" s="2945"/>
      <c r="R14" s="2945"/>
      <c r="S14" s="2945"/>
      <c r="T14" s="2945"/>
      <c r="U14" s="2945"/>
      <c r="V14" s="2945"/>
      <c r="W14" s="2945"/>
      <c r="X14" s="1546"/>
      <c r="Y14" s="1150"/>
      <c r="Z14" s="1526"/>
    </row>
    <row r="15" spans="2:26" x14ac:dyDescent="0.3">
      <c r="B15" s="216"/>
      <c r="C15" s="706" t="s">
        <v>449</v>
      </c>
      <c r="D15" s="707"/>
      <c r="E15" s="701"/>
      <c r="F15" s="701"/>
      <c r="G15" s="701"/>
      <c r="H15" s="2944"/>
      <c r="I15" s="2945"/>
      <c r="J15" s="2947"/>
      <c r="K15" s="2945"/>
      <c r="L15" s="2945"/>
      <c r="M15" s="2945"/>
      <c r="N15" s="2945"/>
      <c r="O15" s="2945"/>
      <c r="P15" s="2945"/>
      <c r="Q15" s="2945"/>
      <c r="R15" s="2945"/>
      <c r="S15" s="2945"/>
      <c r="T15" s="2945"/>
      <c r="U15" s="2945"/>
      <c r="V15" s="2945"/>
      <c r="W15" s="2945"/>
      <c r="X15" s="1546"/>
      <c r="Y15" s="1150"/>
      <c r="Z15" s="1526"/>
    </row>
    <row r="16" spans="2:26" x14ac:dyDescent="0.3">
      <c r="B16" s="216"/>
      <c r="C16" s="706" t="s">
        <v>450</v>
      </c>
      <c r="D16" s="707"/>
      <c r="E16" s="701"/>
      <c r="F16" s="701" t="s">
        <v>571</v>
      </c>
      <c r="G16" s="701" t="s">
        <v>571</v>
      </c>
      <c r="H16" s="701" t="s">
        <v>571</v>
      </c>
      <c r="I16" s="2944"/>
      <c r="J16" s="2947"/>
      <c r="K16" s="2945"/>
      <c r="L16" s="2945"/>
      <c r="M16" s="2945"/>
      <c r="N16" s="2945"/>
      <c r="O16" s="2945"/>
      <c r="P16" s="2945"/>
      <c r="Q16" s="2945"/>
      <c r="R16" s="2945"/>
      <c r="S16" s="2945"/>
      <c r="T16" s="2945"/>
      <c r="U16" s="2945"/>
      <c r="V16" s="2945"/>
      <c r="W16" s="2945"/>
      <c r="X16" s="1546"/>
      <c r="Y16" s="1150"/>
      <c r="Z16" s="1526"/>
    </row>
    <row r="17" spans="2:26" x14ac:dyDescent="0.3">
      <c r="B17" s="216"/>
      <c r="C17" s="706" t="s">
        <v>466</v>
      </c>
      <c r="D17" s="707"/>
      <c r="E17" s="701"/>
      <c r="F17" s="701"/>
      <c r="G17" s="701"/>
      <c r="H17" s="701"/>
      <c r="I17" s="701"/>
      <c r="J17" s="2948"/>
      <c r="K17" s="2945"/>
      <c r="L17" s="2945"/>
      <c r="M17" s="2945"/>
      <c r="N17" s="2945"/>
      <c r="O17" s="2945"/>
      <c r="P17" s="2945"/>
      <c r="Q17" s="2945"/>
      <c r="R17" s="2945"/>
      <c r="S17" s="2945"/>
      <c r="T17" s="2945"/>
      <c r="U17" s="2945"/>
      <c r="V17" s="2945"/>
      <c r="W17" s="2945"/>
      <c r="X17" s="1546"/>
      <c r="Y17" s="1150"/>
      <c r="Z17" s="1526"/>
    </row>
    <row r="18" spans="2:26" x14ac:dyDescent="0.3">
      <c r="B18" s="216"/>
      <c r="C18" s="706" t="s">
        <v>467</v>
      </c>
      <c r="D18" s="707"/>
      <c r="E18" s="701"/>
      <c r="F18" s="701"/>
      <c r="G18" s="701"/>
      <c r="H18" s="701"/>
      <c r="I18" s="701"/>
      <c r="J18" s="701"/>
      <c r="K18" s="2944"/>
      <c r="L18" s="2945"/>
      <c r="M18" s="2945"/>
      <c r="N18" s="2945"/>
      <c r="O18" s="2945"/>
      <c r="P18" s="2945"/>
      <c r="Q18" s="2945"/>
      <c r="R18" s="2945"/>
      <c r="S18" s="2945"/>
      <c r="T18" s="2945"/>
      <c r="U18" s="2945"/>
      <c r="V18" s="2945"/>
      <c r="W18" s="2945"/>
      <c r="X18" s="1546"/>
      <c r="Y18" s="1150"/>
      <c r="Z18" s="1526"/>
    </row>
    <row r="19" spans="2:26" x14ac:dyDescent="0.3">
      <c r="B19" s="216"/>
      <c r="C19" s="706" t="s">
        <v>468</v>
      </c>
      <c r="D19" s="707"/>
      <c r="E19" s="701"/>
      <c r="F19" s="701"/>
      <c r="G19" s="701"/>
      <c r="H19" s="701"/>
      <c r="I19" s="701"/>
      <c r="J19" s="701"/>
      <c r="K19" s="701"/>
      <c r="L19" s="2944"/>
      <c r="M19" s="2945"/>
      <c r="N19" s="2945"/>
      <c r="O19" s="2945"/>
      <c r="P19" s="2945"/>
      <c r="Q19" s="2945"/>
      <c r="R19" s="2945"/>
      <c r="S19" s="2945"/>
      <c r="T19" s="2945"/>
      <c r="U19" s="2945"/>
      <c r="V19" s="2945"/>
      <c r="W19" s="2945"/>
      <c r="X19" s="1546"/>
      <c r="Y19" s="1150"/>
      <c r="Z19" s="1526"/>
    </row>
    <row r="20" spans="2:26" x14ac:dyDescent="0.3">
      <c r="B20" s="216"/>
      <c r="C20" s="706" t="s">
        <v>469</v>
      </c>
      <c r="D20" s="707"/>
      <c r="E20" s="701"/>
      <c r="F20" s="701"/>
      <c r="G20" s="701"/>
      <c r="H20" s="701"/>
      <c r="I20" s="701"/>
      <c r="J20" s="701"/>
      <c r="K20" s="701"/>
      <c r="L20" s="701"/>
      <c r="M20" s="2944"/>
      <c r="N20" s="2945"/>
      <c r="O20" s="2945"/>
      <c r="P20" s="2945"/>
      <c r="Q20" s="2945"/>
      <c r="R20" s="2945"/>
      <c r="S20" s="2945"/>
      <c r="T20" s="2945"/>
      <c r="U20" s="2945"/>
      <c r="V20" s="2945"/>
      <c r="W20" s="2945"/>
      <c r="X20" s="1546"/>
      <c r="Y20" s="1150"/>
      <c r="Z20" s="1526"/>
    </row>
    <row r="21" spans="2:26" x14ac:dyDescent="0.3">
      <c r="B21" s="216"/>
      <c r="C21" s="706" t="s">
        <v>470</v>
      </c>
      <c r="D21" s="707"/>
      <c r="E21" s="701"/>
      <c r="F21" s="701"/>
      <c r="G21" s="701"/>
      <c r="H21" s="701"/>
      <c r="I21" s="701"/>
      <c r="J21" s="701"/>
      <c r="K21" s="701"/>
      <c r="L21" s="701"/>
      <c r="M21" s="701"/>
      <c r="N21" s="2945"/>
      <c r="O21" s="2945"/>
      <c r="P21" s="2945"/>
      <c r="Q21" s="2945"/>
      <c r="R21" s="2945"/>
      <c r="S21" s="2945"/>
      <c r="T21" s="2945"/>
      <c r="U21" s="2945"/>
      <c r="V21" s="2945"/>
      <c r="W21" s="2945"/>
      <c r="X21" s="1546"/>
      <c r="Y21" s="1150"/>
      <c r="Z21" s="1526"/>
    </row>
    <row r="22" spans="2:26" x14ac:dyDescent="0.3">
      <c r="B22" s="216"/>
      <c r="C22" s="706" t="s">
        <v>456</v>
      </c>
      <c r="D22" s="707"/>
      <c r="E22" s="701"/>
      <c r="F22" s="701"/>
      <c r="G22" s="701"/>
      <c r="H22" s="701"/>
      <c r="I22" s="701"/>
      <c r="J22" s="701"/>
      <c r="K22" s="701"/>
      <c r="L22" s="701"/>
      <c r="M22" s="701"/>
      <c r="N22" s="701"/>
      <c r="O22" s="2945"/>
      <c r="P22" s="2945"/>
      <c r="Q22" s="2945"/>
      <c r="R22" s="2945"/>
      <c r="S22" s="2945"/>
      <c r="T22" s="2945"/>
      <c r="U22" s="2945"/>
      <c r="V22" s="2945"/>
      <c r="W22" s="2945"/>
      <c r="X22" s="1546"/>
      <c r="Y22" s="1150"/>
      <c r="Z22" s="1526"/>
    </row>
    <row r="23" spans="2:26" x14ac:dyDescent="0.3">
      <c r="B23" s="216"/>
      <c r="C23" s="706" t="s">
        <v>457</v>
      </c>
      <c r="D23" s="707"/>
      <c r="E23" s="701"/>
      <c r="F23" s="701"/>
      <c r="G23" s="701"/>
      <c r="H23" s="701"/>
      <c r="I23" s="701"/>
      <c r="J23" s="701"/>
      <c r="K23" s="701"/>
      <c r="L23" s="701"/>
      <c r="M23" s="701"/>
      <c r="N23" s="701"/>
      <c r="O23" s="701"/>
      <c r="P23" s="2945"/>
      <c r="Q23" s="2945"/>
      <c r="R23" s="2945"/>
      <c r="S23" s="2945"/>
      <c r="T23" s="2945"/>
      <c r="U23" s="2945"/>
      <c r="V23" s="2945"/>
      <c r="W23" s="2945"/>
      <c r="X23" s="1546"/>
      <c r="Y23" s="1150"/>
      <c r="Z23" s="1526"/>
    </row>
    <row r="24" spans="2:26" x14ac:dyDescent="0.3">
      <c r="B24" s="216"/>
      <c r="C24" s="706" t="s">
        <v>471</v>
      </c>
      <c r="D24" s="707"/>
      <c r="E24" s="701"/>
      <c r="F24" s="701"/>
      <c r="G24" s="701"/>
      <c r="H24" s="701"/>
      <c r="I24" s="701"/>
      <c r="J24" s="701"/>
      <c r="K24" s="701"/>
      <c r="L24" s="701"/>
      <c r="M24" s="701"/>
      <c r="N24" s="701"/>
      <c r="O24" s="701"/>
      <c r="P24" s="701"/>
      <c r="Q24" s="2945"/>
      <c r="R24" s="2945"/>
      <c r="S24" s="2945"/>
      <c r="T24" s="2945"/>
      <c r="U24" s="2945"/>
      <c r="V24" s="2945"/>
      <c r="W24" s="2945"/>
      <c r="X24" s="1546"/>
      <c r="Y24" s="1150"/>
      <c r="Z24" s="1526"/>
    </row>
    <row r="25" spans="2:26" x14ac:dyDescent="0.3">
      <c r="B25" s="216"/>
      <c r="C25" s="706" t="s">
        <v>459</v>
      </c>
      <c r="D25" s="707"/>
      <c r="E25" s="701"/>
      <c r="F25" s="701"/>
      <c r="G25" s="701"/>
      <c r="H25" s="701"/>
      <c r="I25" s="701"/>
      <c r="J25" s="701"/>
      <c r="K25" s="701"/>
      <c r="L25" s="701"/>
      <c r="M25" s="701"/>
      <c r="N25" s="701"/>
      <c r="O25" s="701"/>
      <c r="P25" s="701"/>
      <c r="Q25" s="701"/>
      <c r="R25" s="2945"/>
      <c r="S25" s="2945"/>
      <c r="T25" s="2945"/>
      <c r="U25" s="2945"/>
      <c r="V25" s="2945"/>
      <c r="W25" s="2945"/>
      <c r="X25" s="1546"/>
      <c r="Y25" s="1150"/>
      <c r="Z25" s="1526"/>
    </row>
    <row r="26" spans="2:26" x14ac:dyDescent="0.3">
      <c r="B26" s="216"/>
      <c r="C26" s="706" t="s">
        <v>460</v>
      </c>
      <c r="D26" s="707"/>
      <c r="E26" s="701"/>
      <c r="F26" s="701"/>
      <c r="G26" s="701"/>
      <c r="H26" s="701"/>
      <c r="I26" s="701"/>
      <c r="J26" s="701"/>
      <c r="K26" s="701"/>
      <c r="L26" s="701"/>
      <c r="M26" s="701"/>
      <c r="N26" s="701"/>
      <c r="O26" s="701"/>
      <c r="P26" s="701"/>
      <c r="Q26" s="701"/>
      <c r="R26" s="701"/>
      <c r="S26" s="2945"/>
      <c r="T26" s="2945"/>
      <c r="U26" s="2945"/>
      <c r="V26" s="2945"/>
      <c r="W26" s="2945"/>
      <c r="X26" s="1546"/>
      <c r="Y26" s="1150"/>
      <c r="Z26" s="1526"/>
    </row>
    <row r="27" spans="2:26" x14ac:dyDescent="0.3">
      <c r="B27" s="216"/>
      <c r="C27" s="706" t="s">
        <v>461</v>
      </c>
      <c r="D27" s="707"/>
      <c r="E27" s="701"/>
      <c r="F27" s="701"/>
      <c r="G27" s="701"/>
      <c r="H27" s="701"/>
      <c r="I27" s="701"/>
      <c r="J27" s="701"/>
      <c r="K27" s="701"/>
      <c r="L27" s="701"/>
      <c r="M27" s="701"/>
      <c r="N27" s="701"/>
      <c r="O27" s="701"/>
      <c r="P27" s="701"/>
      <c r="Q27" s="701"/>
      <c r="R27" s="701"/>
      <c r="S27" s="701"/>
      <c r="T27" s="2945"/>
      <c r="U27" s="2945"/>
      <c r="V27" s="2945"/>
      <c r="W27" s="2945"/>
      <c r="X27" s="1546"/>
      <c r="Y27" s="1150"/>
      <c r="Z27" s="1526"/>
    </row>
    <row r="28" spans="2:26" x14ac:dyDescent="0.3">
      <c r="B28" s="216"/>
      <c r="C28" s="706" t="s">
        <v>472</v>
      </c>
      <c r="D28" s="707"/>
      <c r="E28" s="701" t="s">
        <v>571</v>
      </c>
      <c r="F28" s="701" t="s">
        <v>571</v>
      </c>
      <c r="G28" s="701" t="s">
        <v>571</v>
      </c>
      <c r="H28" s="701" t="s">
        <v>571</v>
      </c>
      <c r="I28" s="701" t="s">
        <v>571</v>
      </c>
      <c r="J28" s="701"/>
      <c r="K28" s="701"/>
      <c r="L28" s="701"/>
      <c r="M28" s="701"/>
      <c r="N28" s="701"/>
      <c r="O28" s="701"/>
      <c r="P28" s="701"/>
      <c r="Q28" s="701"/>
      <c r="R28" s="701"/>
      <c r="S28" s="701"/>
      <c r="T28" s="701"/>
      <c r="U28" s="2945"/>
      <c r="V28" s="2945"/>
      <c r="W28" s="2945"/>
      <c r="X28" s="1546"/>
      <c r="Y28" s="1150"/>
      <c r="Z28" s="1526"/>
    </row>
    <row r="29" spans="2:26" x14ac:dyDescent="0.3">
      <c r="B29" s="216"/>
      <c r="C29" s="706" t="s">
        <v>463</v>
      </c>
      <c r="D29" s="707"/>
      <c r="E29" s="701"/>
      <c r="F29" s="701"/>
      <c r="G29" s="701"/>
      <c r="H29" s="701"/>
      <c r="I29" s="701"/>
      <c r="J29" s="701"/>
      <c r="K29" s="701"/>
      <c r="L29" s="701"/>
      <c r="M29" s="701"/>
      <c r="N29" s="701"/>
      <c r="O29" s="701"/>
      <c r="P29" s="701"/>
      <c r="Q29" s="701"/>
      <c r="R29" s="701"/>
      <c r="S29" s="701"/>
      <c r="T29" s="701"/>
      <c r="U29" s="701"/>
      <c r="V29" s="2945"/>
      <c r="W29" s="2945"/>
      <c r="X29" s="1546"/>
      <c r="Y29" s="1150"/>
      <c r="Z29" s="1526"/>
    </row>
    <row r="30" spans="2:26" x14ac:dyDescent="0.3">
      <c r="B30" s="216"/>
      <c r="C30" s="708" t="s">
        <v>464</v>
      </c>
      <c r="D30" s="709"/>
      <c r="E30" s="701"/>
      <c r="F30" s="701"/>
      <c r="G30" s="701"/>
      <c r="H30" s="701"/>
      <c r="I30" s="701"/>
      <c r="J30" s="701"/>
      <c r="K30" s="701"/>
      <c r="L30" s="701"/>
      <c r="M30" s="701"/>
      <c r="N30" s="701"/>
      <c r="O30" s="701"/>
      <c r="P30" s="701"/>
      <c r="Q30" s="701"/>
      <c r="R30" s="701"/>
      <c r="S30" s="701"/>
      <c r="T30" s="701"/>
      <c r="U30" s="701"/>
      <c r="V30" s="701"/>
      <c r="W30" s="2945"/>
      <c r="X30" s="525"/>
      <c r="Y30" s="1150"/>
      <c r="Z30" s="1526"/>
    </row>
    <row r="31" spans="2:26" x14ac:dyDescent="0.3">
      <c r="B31" s="216"/>
      <c r="C31" s="1543" t="s">
        <v>422</v>
      </c>
      <c r="D31" s="710" t="s">
        <v>2117</v>
      </c>
      <c r="E31" s="702" t="s">
        <v>571</v>
      </c>
      <c r="F31" s="703" t="s">
        <v>571</v>
      </c>
      <c r="G31" s="703" t="s">
        <v>571</v>
      </c>
      <c r="H31" s="703" t="s">
        <v>571</v>
      </c>
      <c r="I31" s="703" t="s">
        <v>571</v>
      </c>
      <c r="J31" s="703"/>
      <c r="K31" s="703"/>
      <c r="L31" s="703"/>
      <c r="M31" s="703"/>
      <c r="N31" s="703"/>
      <c r="O31" s="703"/>
      <c r="P31" s="703"/>
      <c r="Q31" s="703"/>
      <c r="R31" s="703"/>
      <c r="S31" s="703"/>
      <c r="T31" s="703"/>
      <c r="U31" s="703"/>
      <c r="V31" s="703"/>
      <c r="W31" s="703"/>
      <c r="X31" s="1877" t="s">
        <v>226</v>
      </c>
      <c r="Y31" s="1150"/>
      <c r="Z31" s="1526"/>
    </row>
    <row r="32" spans="2:26" x14ac:dyDescent="0.3">
      <c r="B32" s="216"/>
      <c r="C32" s="651" t="s">
        <v>422</v>
      </c>
      <c r="D32" s="710"/>
      <c r="E32" s="302"/>
      <c r="F32" s="303"/>
      <c r="G32" s="303"/>
      <c r="H32" s="303"/>
      <c r="I32" s="303"/>
      <c r="J32" s="303"/>
      <c r="K32" s="303"/>
      <c r="L32" s="303"/>
      <c r="M32" s="303"/>
      <c r="N32" s="303"/>
      <c r="O32" s="303"/>
      <c r="P32" s="303"/>
      <c r="Q32" s="303"/>
      <c r="R32" s="303"/>
      <c r="S32" s="303"/>
      <c r="T32" s="303"/>
      <c r="U32" s="303"/>
      <c r="V32" s="303"/>
      <c r="W32" s="303"/>
      <c r="X32" s="1152"/>
      <c r="Y32" s="1151"/>
      <c r="Z32" s="1526"/>
    </row>
    <row r="33" spans="2:26" ht="7.5" customHeight="1" x14ac:dyDescent="0.3">
      <c r="B33" s="216"/>
      <c r="C33" s="1148"/>
      <c r="D33" s="388"/>
      <c r="E33" s="1547"/>
      <c r="F33" s="1547"/>
      <c r="G33" s="1547"/>
      <c r="H33" s="1547"/>
      <c r="I33" s="1547"/>
      <c r="J33" s="1547"/>
      <c r="K33" s="1547"/>
      <c r="L33" s="1547"/>
      <c r="M33" s="1547"/>
      <c r="N33" s="1547"/>
      <c r="O33" s="1547"/>
      <c r="P33" s="1547"/>
      <c r="Q33" s="1547"/>
      <c r="R33" s="1547"/>
      <c r="S33" s="1547"/>
      <c r="T33" s="1547"/>
      <c r="U33" s="1547"/>
      <c r="V33" s="1547"/>
      <c r="W33" s="1547"/>
      <c r="X33" s="1548"/>
      <c r="Y33" s="424"/>
      <c r="Z33" s="1526"/>
    </row>
    <row r="34" spans="2:26" x14ac:dyDescent="0.3">
      <c r="B34" s="216"/>
      <c r="C34" s="1148"/>
      <c r="D34" s="388"/>
      <c r="E34" s="1547"/>
      <c r="F34" s="1547"/>
      <c r="G34" s="1547"/>
      <c r="H34" s="1547"/>
      <c r="I34" s="1547"/>
      <c r="J34" s="1547"/>
      <c r="K34" s="1547"/>
      <c r="L34" s="1547"/>
      <c r="M34" s="2954"/>
      <c r="N34" s="2955"/>
      <c r="O34" s="2955"/>
      <c r="P34" s="2955"/>
      <c r="Q34" s="2955"/>
      <c r="R34" s="2955"/>
      <c r="S34" s="2955"/>
      <c r="T34" s="2955"/>
      <c r="U34" s="2955"/>
      <c r="V34" s="2956"/>
      <c r="W34" s="525"/>
      <c r="X34" s="525"/>
      <c r="Y34" s="424"/>
      <c r="Z34" s="1526"/>
    </row>
    <row r="35" spans="2:26" ht="7.5" customHeight="1" x14ac:dyDescent="0.3">
      <c r="B35" s="216"/>
      <c r="C35" s="1148"/>
      <c r="D35" s="388"/>
      <c r="E35" s="1547"/>
      <c r="F35" s="1547"/>
      <c r="G35" s="1547"/>
      <c r="H35" s="1547"/>
      <c r="I35" s="1547"/>
      <c r="J35" s="1547"/>
      <c r="K35" s="1547"/>
      <c r="L35" s="1547"/>
      <c r="M35" s="1547"/>
      <c r="N35" s="1547"/>
      <c r="O35" s="525"/>
      <c r="P35" s="525"/>
      <c r="Q35" s="525"/>
      <c r="R35" s="525"/>
      <c r="S35" s="525"/>
      <c r="T35" s="525"/>
      <c r="U35" s="525"/>
      <c r="V35" s="525"/>
      <c r="W35" s="525"/>
      <c r="X35" s="525"/>
      <c r="Y35" s="424"/>
      <c r="Z35" s="1526"/>
    </row>
    <row r="36" spans="2:26" s="400" customFormat="1" x14ac:dyDescent="0.3">
      <c r="B36" s="216"/>
      <c r="C36" s="376" t="s">
        <v>473</v>
      </c>
      <c r="D36" s="376"/>
      <c r="E36" s="376"/>
      <c r="F36" s="376"/>
      <c r="G36" s="376"/>
      <c r="H36" s="376"/>
      <c r="I36" s="376"/>
      <c r="J36" s="376"/>
      <c r="K36" s="376"/>
      <c r="L36" s="376"/>
      <c r="M36" s="376"/>
      <c r="N36" s="376"/>
      <c r="O36" s="376"/>
      <c r="P36" s="376"/>
      <c r="Q36" s="376"/>
      <c r="R36" s="376"/>
      <c r="S36" s="376"/>
      <c r="T36" s="376"/>
      <c r="U36" s="376"/>
      <c r="V36" s="376"/>
      <c r="W36" s="376"/>
      <c r="X36" s="376"/>
      <c r="Y36" s="424"/>
      <c r="Z36" s="1477"/>
    </row>
    <row r="37" spans="2:26" s="400" customFormat="1" ht="45" customHeight="1" x14ac:dyDescent="0.3">
      <c r="B37" s="216"/>
      <c r="C37" s="2951"/>
      <c r="D37" s="2952"/>
      <c r="E37" s="2952"/>
      <c r="F37" s="2952"/>
      <c r="G37" s="2952"/>
      <c r="H37" s="2952"/>
      <c r="I37" s="2952"/>
      <c r="J37" s="2952"/>
      <c r="K37" s="2952"/>
      <c r="L37" s="2952"/>
      <c r="M37" s="2952"/>
      <c r="N37" s="2952"/>
      <c r="O37" s="2952"/>
      <c r="P37" s="2952"/>
      <c r="Q37" s="2952"/>
      <c r="R37" s="2952"/>
      <c r="S37" s="2952"/>
      <c r="T37" s="2952"/>
      <c r="U37" s="2952"/>
      <c r="V37" s="2952"/>
      <c r="W37" s="2952"/>
      <c r="X37" s="2953"/>
      <c r="Y37" s="424"/>
      <c r="Z37" s="1477"/>
    </row>
    <row r="38" spans="2:26" s="400" customFormat="1" ht="9" customHeight="1" thickBot="1" x14ac:dyDescent="0.35">
      <c r="B38" s="605"/>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549"/>
    </row>
    <row r="39" spans="2:26" s="400" customFormat="1" x14ac:dyDescent="0.3"/>
    <row r="40" spans="2:26" s="400" customFormat="1" x14ac:dyDescent="0.3"/>
    <row r="41" spans="2:26" s="400" customFormat="1" x14ac:dyDescent="0.3"/>
    <row r="42" spans="2:26" s="400" customFormat="1" x14ac:dyDescent="0.3"/>
    <row r="43" spans="2:26" s="400" customFormat="1" x14ac:dyDescent="0.3"/>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1"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xr:uid="{00000000-0002-0000-2A00-000000000000}">
      <formula1>"X"</formula1>
    </dataValidation>
  </dataValidations>
  <pageMargins left="1" right="0.7" top="1" bottom="0.75" header="0.3" footer="0.3"/>
  <pageSetup scale="85" orientation="landscape" r:id="rId1"/>
  <headerFooter>
    <oddFooter>&amp;LForm 9B
Identity of Interest Matrix&amp;CCFA Forms&amp;REdition: 2017
Version: 1.0</oddFooter>
  </headerFooter>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1:M66"/>
  <sheetViews>
    <sheetView showGridLines="0" topLeftCell="A12" zoomScaleNormal="100" workbookViewId="0">
      <selection activeCell="N22" sqref="N22"/>
    </sheetView>
  </sheetViews>
  <sheetFormatPr defaultColWidth="9.109375" defaultRowHeight="14.4" x14ac:dyDescent="0.3"/>
  <cols>
    <col min="1" max="2" width="1.6640625" style="403" customWidth="1"/>
    <col min="3" max="3" width="27.109375" style="403" customWidth="1"/>
    <col min="4" max="4" width="9.109375" style="403"/>
    <col min="5" max="5" width="11.44140625" style="403" customWidth="1"/>
    <col min="6" max="6" width="15.33203125" style="403" customWidth="1"/>
    <col min="7" max="7" width="13.109375" style="403" customWidth="1"/>
    <col min="8" max="8" width="9.109375" style="403"/>
    <col min="9" max="9" width="14.5546875" style="403" bestFit="1" customWidth="1"/>
    <col min="10" max="11" width="11" style="403" customWidth="1"/>
    <col min="12" max="12" width="14.88671875" style="403" customWidth="1"/>
    <col min="13" max="13" width="1.6640625" style="403" customWidth="1"/>
    <col min="14" max="16384" width="9.109375" style="403"/>
  </cols>
  <sheetData>
    <row r="11" spans="2:13" ht="7.5" customHeight="1" thickBot="1" x14ac:dyDescent="0.35">
      <c r="B11" s="652"/>
      <c r="C11" s="652"/>
      <c r="D11" s="652"/>
      <c r="E11" s="652"/>
      <c r="F11" s="652"/>
      <c r="G11" s="652"/>
      <c r="H11" s="652"/>
      <c r="I11" s="652"/>
      <c r="J11" s="652"/>
      <c r="K11" s="652"/>
      <c r="L11" s="652"/>
      <c r="M11" s="653"/>
    </row>
    <row r="12" spans="2:13" ht="9" customHeight="1" x14ac:dyDescent="0.35">
      <c r="B12" s="304"/>
      <c r="C12" s="305"/>
      <c r="D12" s="306"/>
      <c r="E12" s="305"/>
      <c r="F12" s="305"/>
      <c r="G12" s="305"/>
      <c r="H12" s="305"/>
      <c r="I12" s="305"/>
      <c r="J12" s="305"/>
      <c r="K12" s="306"/>
      <c r="L12" s="305"/>
      <c r="M12" s="307"/>
    </row>
    <row r="13" spans="2:13" ht="18" x14ac:dyDescent="0.35">
      <c r="B13" s="308"/>
      <c r="C13" s="2657" t="s">
        <v>474</v>
      </c>
      <c r="D13" s="2657"/>
      <c r="E13" s="2657"/>
      <c r="F13" s="2657"/>
      <c r="G13" s="2657"/>
      <c r="H13" s="2657"/>
      <c r="I13" s="2657"/>
      <c r="J13" s="2657"/>
      <c r="K13" s="2657"/>
      <c r="L13" s="2657"/>
      <c r="M13" s="309"/>
    </row>
    <row r="14" spans="2:13" ht="15" customHeight="1" x14ac:dyDescent="0.35">
      <c r="B14" s="308"/>
      <c r="C14" s="725"/>
      <c r="D14" s="725"/>
      <c r="E14" s="725"/>
      <c r="F14" s="725"/>
      <c r="G14" s="725"/>
      <c r="H14" s="725"/>
      <c r="I14" s="725"/>
      <c r="J14" s="725"/>
      <c r="K14" s="725"/>
      <c r="L14" s="725"/>
      <c r="M14" s="309"/>
    </row>
    <row r="15" spans="2:13" ht="15" thickBot="1" x14ac:dyDescent="0.35">
      <c r="B15" s="310"/>
      <c r="C15" s="2957" t="str">
        <f>IF('1'!G5="","Enter Project Name on Form 1",(CONCATENATE("Project Name: ",'1'!G5)))</f>
        <v>Project Name: 6600 Roosevelt Way NE</v>
      </c>
      <c r="D15" s="2957"/>
      <c r="E15" s="2957"/>
      <c r="F15" s="2957"/>
      <c r="G15" s="2957"/>
      <c r="H15" s="2957"/>
      <c r="I15" s="2957"/>
      <c r="J15" s="130"/>
      <c r="K15" s="130"/>
      <c r="L15" s="130"/>
      <c r="M15" s="312"/>
    </row>
    <row r="16" spans="2:13" ht="22.5" customHeight="1" x14ac:dyDescent="0.3">
      <c r="B16" s="310"/>
      <c r="C16" s="313"/>
      <c r="D16" s="311"/>
      <c r="E16" s="311"/>
      <c r="F16" s="311"/>
      <c r="G16" s="311"/>
      <c r="H16" s="311"/>
      <c r="I16" s="654"/>
      <c r="J16" s="654"/>
      <c r="K16" s="654"/>
      <c r="L16" s="654"/>
      <c r="M16" s="312"/>
    </row>
    <row r="17" spans="2:13" ht="16.2" thickBot="1" x14ac:dyDescent="0.35">
      <c r="B17" s="310"/>
      <c r="C17" s="325" t="s">
        <v>475</v>
      </c>
      <c r="D17" s="314"/>
      <c r="E17" s="315"/>
      <c r="F17" s="313"/>
      <c r="G17" s="313"/>
      <c r="H17" s="313"/>
      <c r="I17" s="313"/>
      <c r="J17" s="313"/>
      <c r="K17" s="313"/>
      <c r="L17" s="313"/>
      <c r="M17" s="312"/>
    </row>
    <row r="18" spans="2:13" ht="24.6" thickBot="1" x14ac:dyDescent="0.35">
      <c r="B18" s="316"/>
      <c r="C18" s="724" t="s">
        <v>476</v>
      </c>
      <c r="D18" s="941" t="s">
        <v>477</v>
      </c>
      <c r="E18" s="317" t="s">
        <v>478</v>
      </c>
      <c r="F18" s="318" t="s">
        <v>479</v>
      </c>
      <c r="G18" s="318" t="s">
        <v>480</v>
      </c>
      <c r="H18" s="318" t="s">
        <v>507</v>
      </c>
      <c r="I18" s="318" t="s">
        <v>481</v>
      </c>
      <c r="J18" s="318" t="s">
        <v>599</v>
      </c>
      <c r="K18" s="318" t="s">
        <v>482</v>
      </c>
      <c r="L18" s="319" t="s">
        <v>483</v>
      </c>
      <c r="M18" s="309"/>
    </row>
    <row r="19" spans="2:13" ht="27.6" x14ac:dyDescent="0.3">
      <c r="B19" s="320"/>
      <c r="C19" s="937" t="s">
        <v>1959</v>
      </c>
      <c r="D19" s="961" t="s">
        <v>601</v>
      </c>
      <c r="E19" s="962" t="s">
        <v>605</v>
      </c>
      <c r="F19" s="2505" t="s">
        <v>2224</v>
      </c>
      <c r="G19" s="925" t="s">
        <v>1969</v>
      </c>
      <c r="H19" s="926" t="s">
        <v>1970</v>
      </c>
      <c r="I19" s="926" t="s">
        <v>2225</v>
      </c>
      <c r="J19" s="926" t="s">
        <v>611</v>
      </c>
      <c r="K19" s="958" t="s">
        <v>2230</v>
      </c>
      <c r="L19" s="2506" t="s">
        <v>2234</v>
      </c>
      <c r="M19" s="309"/>
    </row>
    <row r="20" spans="2:13" ht="27.6" x14ac:dyDescent="0.3">
      <c r="B20" s="316"/>
      <c r="C20" s="938" t="s">
        <v>2222</v>
      </c>
      <c r="D20" s="963" t="s">
        <v>601</v>
      </c>
      <c r="E20" s="964" t="s">
        <v>605</v>
      </c>
      <c r="F20" s="2505" t="s">
        <v>2224</v>
      </c>
      <c r="G20" s="930" t="s">
        <v>1969</v>
      </c>
      <c r="H20" s="931" t="s">
        <v>2013</v>
      </c>
      <c r="I20" s="931" t="s">
        <v>2226</v>
      </c>
      <c r="J20" s="931" t="s">
        <v>611</v>
      </c>
      <c r="K20" s="959" t="s">
        <v>2231</v>
      </c>
      <c r="L20" s="2350" t="s">
        <v>2235</v>
      </c>
      <c r="M20" s="309"/>
    </row>
    <row r="21" spans="2:13" ht="55.2" x14ac:dyDescent="0.3">
      <c r="B21" s="316"/>
      <c r="C21" s="938" t="s">
        <v>1960</v>
      </c>
      <c r="D21" s="963" t="s">
        <v>601</v>
      </c>
      <c r="E21" s="964" t="s">
        <v>604</v>
      </c>
      <c r="F21" s="2505" t="s">
        <v>2224</v>
      </c>
      <c r="G21" s="930" t="s">
        <v>1969</v>
      </c>
      <c r="H21" s="931" t="s">
        <v>1971</v>
      </c>
      <c r="I21" s="931" t="s">
        <v>2227</v>
      </c>
      <c r="J21" s="931" t="s">
        <v>611</v>
      </c>
      <c r="K21" s="959" t="s">
        <v>2232</v>
      </c>
      <c r="L21" s="2350" t="s">
        <v>1990</v>
      </c>
      <c r="M21" s="309"/>
    </row>
    <row r="22" spans="2:13" ht="55.2" x14ac:dyDescent="0.3">
      <c r="B22" s="316"/>
      <c r="C22" s="938" t="s">
        <v>2223</v>
      </c>
      <c r="D22" s="963" t="s">
        <v>601</v>
      </c>
      <c r="E22" s="964" t="s">
        <v>604</v>
      </c>
      <c r="F22" s="933" t="s">
        <v>438</v>
      </c>
      <c r="G22" s="930" t="s">
        <v>1969</v>
      </c>
      <c r="H22" s="931" t="s">
        <v>2229</v>
      </c>
      <c r="I22" s="931" t="s">
        <v>2228</v>
      </c>
      <c r="J22" s="931" t="s">
        <v>611</v>
      </c>
      <c r="K22" s="959" t="s">
        <v>2233</v>
      </c>
      <c r="L22" s="2350" t="s">
        <v>2236</v>
      </c>
      <c r="M22" s="309"/>
    </row>
    <row r="23" spans="2:13" x14ac:dyDescent="0.3">
      <c r="B23" s="316"/>
      <c r="C23" s="938"/>
      <c r="D23" s="963"/>
      <c r="E23" s="964"/>
      <c r="F23" s="933"/>
      <c r="G23" s="930"/>
      <c r="H23" s="931"/>
      <c r="I23" s="931"/>
      <c r="J23" s="931"/>
      <c r="K23" s="959"/>
      <c r="L23" s="932"/>
      <c r="M23" s="309"/>
    </row>
    <row r="24" spans="2:13" x14ac:dyDescent="0.3">
      <c r="B24" s="316"/>
      <c r="C24" s="938"/>
      <c r="D24" s="963"/>
      <c r="E24" s="964"/>
      <c r="F24" s="933"/>
      <c r="G24" s="930"/>
      <c r="H24" s="931"/>
      <c r="I24" s="931"/>
      <c r="J24" s="931"/>
      <c r="K24" s="959"/>
      <c r="L24" s="932"/>
      <c r="M24" s="309"/>
    </row>
    <row r="25" spans="2:13" x14ac:dyDescent="0.3">
      <c r="B25" s="316"/>
      <c r="C25" s="938"/>
      <c r="D25" s="963"/>
      <c r="E25" s="964"/>
      <c r="F25" s="933"/>
      <c r="G25" s="930"/>
      <c r="H25" s="931"/>
      <c r="I25" s="931"/>
      <c r="J25" s="931"/>
      <c r="K25" s="959"/>
      <c r="L25" s="932"/>
      <c r="M25" s="309"/>
    </row>
    <row r="26" spans="2:13" x14ac:dyDescent="0.3">
      <c r="B26" s="316"/>
      <c r="C26" s="974"/>
      <c r="D26" s="975"/>
      <c r="E26" s="976"/>
      <c r="F26" s="977"/>
      <c r="G26" s="969"/>
      <c r="H26" s="970"/>
      <c r="I26" s="970"/>
      <c r="J26" s="970"/>
      <c r="K26" s="972"/>
      <c r="L26" s="973"/>
      <c r="M26" s="309"/>
    </row>
    <row r="27" spans="2:13" ht="6.75" customHeight="1" thickBot="1" x14ac:dyDescent="0.35">
      <c r="B27" s="316"/>
      <c r="C27" s="1550"/>
      <c r="D27" s="1551"/>
      <c r="E27" s="1551"/>
      <c r="F27" s="1552"/>
      <c r="G27" s="1553"/>
      <c r="H27" s="1554"/>
      <c r="I27" s="1554"/>
      <c r="J27" s="1554"/>
      <c r="K27" s="1554"/>
      <c r="L27" s="1555"/>
      <c r="M27" s="309"/>
    </row>
    <row r="28" spans="2:13" ht="7.5" customHeight="1" x14ac:dyDescent="0.3">
      <c r="B28" s="316"/>
      <c r="C28" s="335"/>
      <c r="D28" s="335"/>
      <c r="E28" s="335"/>
      <c r="F28" s="655"/>
      <c r="G28" s="335"/>
      <c r="H28" s="656"/>
      <c r="I28" s="656"/>
      <c r="J28" s="656"/>
      <c r="K28" s="656"/>
      <c r="L28" s="656"/>
      <c r="M28" s="309"/>
    </row>
    <row r="29" spans="2:13" ht="16.2" thickBot="1" x14ac:dyDescent="0.35">
      <c r="B29" s="310"/>
      <c r="C29" s="325" t="s">
        <v>484</v>
      </c>
      <c r="D29" s="314"/>
      <c r="E29" s="315"/>
      <c r="F29" s="313"/>
      <c r="G29" s="313"/>
      <c r="H29" s="313"/>
      <c r="I29" s="313"/>
      <c r="J29" s="313"/>
      <c r="K29" s="313"/>
      <c r="L29" s="313"/>
      <c r="M29" s="312"/>
    </row>
    <row r="30" spans="2:13" ht="24.6" thickBot="1" x14ac:dyDescent="0.35">
      <c r="B30" s="316"/>
      <c r="C30" s="724" t="s">
        <v>485</v>
      </c>
      <c r="D30" s="941" t="s">
        <v>477</v>
      </c>
      <c r="E30" s="317" t="s">
        <v>478</v>
      </c>
      <c r="F30" s="318" t="s">
        <v>479</v>
      </c>
      <c r="G30" s="318" t="s">
        <v>480</v>
      </c>
      <c r="H30" s="318" t="s">
        <v>507</v>
      </c>
      <c r="I30" s="318" t="s">
        <v>598</v>
      </c>
      <c r="J30" s="318" t="s">
        <v>599</v>
      </c>
      <c r="K30" s="318" t="s">
        <v>510</v>
      </c>
      <c r="L30" s="319" t="s">
        <v>483</v>
      </c>
      <c r="M30" s="309"/>
    </row>
    <row r="31" spans="2:13" ht="27.6" x14ac:dyDescent="0.3">
      <c r="B31" s="320"/>
      <c r="C31" s="939" t="s">
        <v>2033</v>
      </c>
      <c r="D31" s="923" t="s">
        <v>601</v>
      </c>
      <c r="E31" s="924" t="s">
        <v>604</v>
      </c>
      <c r="F31" s="934" t="s">
        <v>2011</v>
      </c>
      <c r="G31" s="925" t="s">
        <v>1969</v>
      </c>
      <c r="H31" s="926" t="s">
        <v>2034</v>
      </c>
      <c r="I31" s="956" t="s">
        <v>595</v>
      </c>
      <c r="J31" s="926" t="s">
        <v>611</v>
      </c>
      <c r="K31" s="958" t="s">
        <v>2035</v>
      </c>
      <c r="L31" s="2504" t="s">
        <v>2036</v>
      </c>
      <c r="M31" s="309"/>
    </row>
    <row r="32" spans="2:13" ht="27.6" x14ac:dyDescent="0.3">
      <c r="B32" s="316"/>
      <c r="C32" s="940" t="s">
        <v>2037</v>
      </c>
      <c r="D32" s="928" t="s">
        <v>601</v>
      </c>
      <c r="E32" s="929" t="s">
        <v>604</v>
      </c>
      <c r="F32" s="935" t="s">
        <v>2011</v>
      </c>
      <c r="G32" s="930" t="s">
        <v>1969</v>
      </c>
      <c r="H32" s="931" t="s">
        <v>1972</v>
      </c>
      <c r="I32" s="957" t="s">
        <v>595</v>
      </c>
      <c r="J32" s="931" t="s">
        <v>611</v>
      </c>
      <c r="K32" s="959" t="s">
        <v>2038</v>
      </c>
      <c r="L32" s="2503" t="s">
        <v>2036</v>
      </c>
      <c r="M32" s="309"/>
    </row>
    <row r="33" spans="2:13" ht="41.4" x14ac:dyDescent="0.3">
      <c r="B33" s="316"/>
      <c r="C33" s="940" t="s">
        <v>2193</v>
      </c>
      <c r="D33" s="928" t="s">
        <v>601</v>
      </c>
      <c r="E33" s="929" t="s">
        <v>605</v>
      </c>
      <c r="F33" s="936" t="s">
        <v>2011</v>
      </c>
      <c r="G33" s="930" t="s">
        <v>1969</v>
      </c>
      <c r="H33" s="931" t="s">
        <v>2196</v>
      </c>
      <c r="I33" s="957" t="s">
        <v>595</v>
      </c>
      <c r="J33" s="931" t="s">
        <v>611</v>
      </c>
      <c r="K33" s="959" t="s">
        <v>2194</v>
      </c>
      <c r="L33" s="932" t="s">
        <v>2195</v>
      </c>
      <c r="M33" s="309"/>
    </row>
    <row r="34" spans="2:13" x14ac:dyDescent="0.3">
      <c r="B34" s="316"/>
      <c r="C34" s="940"/>
      <c r="D34" s="928"/>
      <c r="E34" s="929"/>
      <c r="F34" s="936"/>
      <c r="G34" s="930"/>
      <c r="H34" s="931"/>
      <c r="I34" s="957"/>
      <c r="J34" s="931"/>
      <c r="K34" s="959"/>
      <c r="L34" s="932"/>
      <c r="M34" s="309"/>
    </row>
    <row r="35" spans="2:13" x14ac:dyDescent="0.3">
      <c r="B35" s="316"/>
      <c r="C35" s="940"/>
      <c r="D35" s="928"/>
      <c r="E35" s="929"/>
      <c r="F35" s="936"/>
      <c r="G35" s="930"/>
      <c r="H35" s="931"/>
      <c r="I35" s="957"/>
      <c r="J35" s="931"/>
      <c r="K35" s="959"/>
      <c r="L35" s="932"/>
      <c r="M35" s="309"/>
    </row>
    <row r="36" spans="2:13" x14ac:dyDescent="0.3">
      <c r="B36" s="316"/>
      <c r="C36" s="965"/>
      <c r="D36" s="966"/>
      <c r="E36" s="967"/>
      <c r="F36" s="968"/>
      <c r="G36" s="969"/>
      <c r="H36" s="970"/>
      <c r="I36" s="971"/>
      <c r="J36" s="970"/>
      <c r="K36" s="972"/>
      <c r="L36" s="973"/>
      <c r="M36" s="309"/>
    </row>
    <row r="37" spans="2:13" ht="7.5" customHeight="1" thickBot="1" x14ac:dyDescent="0.35">
      <c r="B37" s="316"/>
      <c r="C37" s="1556"/>
      <c r="D37" s="1552"/>
      <c r="E37" s="1552"/>
      <c r="F37" s="1553"/>
      <c r="G37" s="1553"/>
      <c r="H37" s="1554"/>
      <c r="I37" s="1557"/>
      <c r="J37" s="1554"/>
      <c r="K37" s="1554"/>
      <c r="L37" s="1555"/>
      <c r="M37" s="309"/>
    </row>
    <row r="38" spans="2:13" ht="9" customHeight="1" thickBot="1" x14ac:dyDescent="0.35">
      <c r="B38" s="322"/>
      <c r="C38" s="323"/>
      <c r="D38" s="323"/>
      <c r="E38" s="323"/>
      <c r="F38" s="323"/>
      <c r="G38" s="323"/>
      <c r="H38" s="323"/>
      <c r="I38" s="323"/>
      <c r="J38" s="323"/>
      <c r="K38" s="323"/>
      <c r="L38" s="323"/>
      <c r="M38" s="324"/>
    </row>
    <row r="39" spans="2:13" ht="15" thickBot="1" x14ac:dyDescent="0.35"/>
    <row r="40" spans="2:13" x14ac:dyDescent="0.3">
      <c r="C40" s="2352"/>
      <c r="D40" s="2353"/>
      <c r="E40" s="2352"/>
      <c r="F40" s="2352"/>
      <c r="G40" s="2352"/>
      <c r="H40" s="2352"/>
      <c r="I40" s="2352"/>
      <c r="J40" s="2352"/>
      <c r="K40" s="2353"/>
      <c r="L40" s="2352"/>
      <c r="M40" s="2354"/>
    </row>
    <row r="41" spans="2:13" ht="18" x14ac:dyDescent="0.35">
      <c r="C41" s="2958" t="s">
        <v>474</v>
      </c>
      <c r="D41" s="2958"/>
      <c r="E41" s="2958"/>
      <c r="F41" s="2958"/>
      <c r="G41" s="2958"/>
      <c r="H41" s="2958"/>
      <c r="I41" s="2958"/>
      <c r="J41" s="2958"/>
      <c r="K41" s="2958"/>
      <c r="L41" s="2958"/>
      <c r="M41" s="2355"/>
    </row>
    <row r="42" spans="2:13" x14ac:dyDescent="0.3">
      <c r="C42" s="2356"/>
      <c r="D42" s="2356"/>
      <c r="E42" s="2356"/>
      <c r="F42" s="2356"/>
      <c r="G42" s="2356"/>
      <c r="H42" s="2356"/>
      <c r="I42" s="2356"/>
      <c r="J42" s="2356"/>
      <c r="K42" s="2356"/>
      <c r="L42" s="2356"/>
      <c r="M42" s="2355"/>
    </row>
    <row r="43" spans="2:13" ht="14.25" customHeight="1" thickBot="1" x14ac:dyDescent="0.35">
      <c r="C43" s="2959" t="s">
        <v>2187</v>
      </c>
      <c r="D43" s="2959"/>
      <c r="E43" s="2959"/>
      <c r="F43" s="2959"/>
      <c r="G43" s="2959"/>
      <c r="H43" s="2959"/>
      <c r="I43" s="2959"/>
      <c r="J43" s="2322"/>
      <c r="K43" s="2322"/>
      <c r="L43" s="2322"/>
      <c r="M43" s="2357"/>
    </row>
    <row r="44" spans="2:13" x14ac:dyDescent="0.3">
      <c r="C44" s="2358"/>
      <c r="D44" s="2359"/>
      <c r="E44" s="2359"/>
      <c r="F44" s="2359"/>
      <c r="G44" s="2359"/>
      <c r="H44" s="2359"/>
      <c r="I44" s="653"/>
      <c r="J44" s="653"/>
      <c r="K44" s="653"/>
      <c r="L44" s="653"/>
      <c r="M44" s="2357"/>
    </row>
    <row r="45" spans="2:13" ht="16.2" thickBot="1" x14ac:dyDescent="0.35">
      <c r="C45" s="2360" t="s">
        <v>475</v>
      </c>
      <c r="D45" s="2361"/>
      <c r="E45" s="2362"/>
      <c r="F45" s="2358"/>
      <c r="G45" s="2358"/>
      <c r="H45" s="2358"/>
      <c r="I45" s="2358"/>
      <c r="J45" s="2358"/>
      <c r="K45" s="2358"/>
      <c r="L45" s="2358"/>
      <c r="M45" s="2357"/>
    </row>
    <row r="46" spans="2:13" ht="24.6" thickBot="1" x14ac:dyDescent="0.35">
      <c r="C46" s="2363" t="s">
        <v>476</v>
      </c>
      <c r="D46" s="2364" t="s">
        <v>477</v>
      </c>
      <c r="E46" s="2365" t="s">
        <v>478</v>
      </c>
      <c r="F46" s="2366" t="s">
        <v>479</v>
      </c>
      <c r="G46" s="2366" t="s">
        <v>480</v>
      </c>
      <c r="H46" s="2366" t="s">
        <v>507</v>
      </c>
      <c r="I46" s="2366" t="s">
        <v>481</v>
      </c>
      <c r="J46" s="2366" t="s">
        <v>599</v>
      </c>
      <c r="K46" s="2366" t="s">
        <v>482</v>
      </c>
      <c r="L46" s="2367" t="s">
        <v>483</v>
      </c>
      <c r="M46" s="2355"/>
    </row>
    <row r="47" spans="2:13" ht="27.6" x14ac:dyDescent="0.3">
      <c r="C47" s="2381" t="s">
        <v>1999</v>
      </c>
      <c r="D47" s="961" t="s">
        <v>601</v>
      </c>
      <c r="E47" s="2387" t="s">
        <v>605</v>
      </c>
      <c r="F47" s="2389" t="s">
        <v>2005</v>
      </c>
      <c r="G47" s="2390" t="s">
        <v>2006</v>
      </c>
      <c r="H47" s="2391" t="s">
        <v>2007</v>
      </c>
      <c r="I47" s="2391" t="s">
        <v>2008</v>
      </c>
      <c r="J47" s="2391" t="s">
        <v>611</v>
      </c>
      <c r="K47" s="2398" t="s">
        <v>2009</v>
      </c>
      <c r="L47" s="2392" t="s">
        <v>2010</v>
      </c>
      <c r="M47" s="2355"/>
    </row>
    <row r="48" spans="2:13" ht="41.4" x14ac:dyDescent="0.3">
      <c r="C48" s="2382" t="s">
        <v>2000</v>
      </c>
      <c r="D48" s="963" t="s">
        <v>601</v>
      </c>
      <c r="E48" s="2388" t="s">
        <v>605</v>
      </c>
      <c r="F48" s="2393" t="s">
        <v>2011</v>
      </c>
      <c r="G48" s="2394" t="s">
        <v>2012</v>
      </c>
      <c r="H48" s="2395" t="s">
        <v>2013</v>
      </c>
      <c r="I48" s="2395" t="s">
        <v>2014</v>
      </c>
      <c r="J48" s="2395" t="s">
        <v>611</v>
      </c>
      <c r="K48" s="2399" t="s">
        <v>2009</v>
      </c>
      <c r="L48" s="2396" t="s">
        <v>2197</v>
      </c>
      <c r="M48" s="2355"/>
    </row>
    <row r="49" spans="3:13" ht="41.4" x14ac:dyDescent="0.3">
      <c r="C49" s="2383" t="s">
        <v>2001</v>
      </c>
      <c r="D49" s="963" t="s">
        <v>601</v>
      </c>
      <c r="E49" s="2388" t="s">
        <v>604</v>
      </c>
      <c r="F49" s="2397" t="s">
        <v>2015</v>
      </c>
      <c r="G49" s="2394" t="s">
        <v>1789</v>
      </c>
      <c r="H49" s="2395" t="s">
        <v>2016</v>
      </c>
      <c r="I49" s="2395" t="s">
        <v>2017</v>
      </c>
      <c r="J49" s="2395" t="s">
        <v>611</v>
      </c>
      <c r="K49" s="2399" t="s">
        <v>2018</v>
      </c>
      <c r="L49" s="2396" t="s">
        <v>2198</v>
      </c>
      <c r="M49" s="2355"/>
    </row>
    <row r="50" spans="3:13" ht="41.4" x14ac:dyDescent="0.3">
      <c r="C50" s="2384" t="s">
        <v>2002</v>
      </c>
      <c r="D50" s="963" t="s">
        <v>601</v>
      </c>
      <c r="E50" s="2388" t="s">
        <v>604</v>
      </c>
      <c r="F50" s="2397" t="s">
        <v>2019</v>
      </c>
      <c r="G50" s="2394" t="s">
        <v>1888</v>
      </c>
      <c r="H50" s="2395" t="s">
        <v>2020</v>
      </c>
      <c r="I50" s="2395" t="s">
        <v>2192</v>
      </c>
      <c r="J50" s="2395" t="s">
        <v>611</v>
      </c>
      <c r="K50" s="2399" t="s">
        <v>2021</v>
      </c>
      <c r="L50" s="2396" t="s">
        <v>2199</v>
      </c>
      <c r="M50" s="2355"/>
    </row>
    <row r="51" spans="3:13" ht="27.6" x14ac:dyDescent="0.3">
      <c r="C51" s="2385" t="s">
        <v>2003</v>
      </c>
      <c r="D51" s="963" t="s">
        <v>601</v>
      </c>
      <c r="E51" s="2388" t="s">
        <v>605</v>
      </c>
      <c r="F51" s="2397" t="s">
        <v>2005</v>
      </c>
      <c r="G51" s="2394" t="s">
        <v>2022</v>
      </c>
      <c r="H51" s="2395" t="s">
        <v>2023</v>
      </c>
      <c r="I51" s="2395" t="s">
        <v>2024</v>
      </c>
      <c r="J51" s="2395" t="s">
        <v>611</v>
      </c>
      <c r="K51" s="2399" t="s">
        <v>2025</v>
      </c>
      <c r="L51" s="2396" t="s">
        <v>2200</v>
      </c>
      <c r="M51" s="2355"/>
    </row>
    <row r="52" spans="3:13" ht="27.6" x14ac:dyDescent="0.3">
      <c r="C52" s="2386" t="s">
        <v>2004</v>
      </c>
      <c r="D52" s="963" t="s">
        <v>601</v>
      </c>
      <c r="E52" s="2388" t="s">
        <v>604</v>
      </c>
      <c r="F52" s="2397" t="s">
        <v>2005</v>
      </c>
      <c r="G52" s="2394" t="s">
        <v>2026</v>
      </c>
      <c r="H52" s="2395" t="s">
        <v>2027</v>
      </c>
      <c r="I52" s="2395" t="s">
        <v>2028</v>
      </c>
      <c r="J52" s="2395" t="s">
        <v>611</v>
      </c>
      <c r="K52" s="2399" t="s">
        <v>2029</v>
      </c>
      <c r="L52" s="2396" t="s">
        <v>2201</v>
      </c>
      <c r="M52" s="2355"/>
    </row>
    <row r="53" spans="3:13" x14ac:dyDescent="0.3">
      <c r="C53" s="938"/>
      <c r="D53" s="963"/>
      <c r="E53" s="964"/>
      <c r="F53" s="933"/>
      <c r="G53" s="930"/>
      <c r="H53" s="931"/>
      <c r="I53" s="931"/>
      <c r="J53" s="931"/>
      <c r="K53" s="959"/>
      <c r="L53" s="932"/>
      <c r="M53" s="2355"/>
    </row>
    <row r="54" spans="3:13" x14ac:dyDescent="0.3">
      <c r="C54" s="974"/>
      <c r="D54" s="975"/>
      <c r="E54" s="976"/>
      <c r="F54" s="977"/>
      <c r="G54" s="969"/>
      <c r="H54" s="970"/>
      <c r="I54" s="970"/>
      <c r="J54" s="970"/>
      <c r="K54" s="972"/>
      <c r="L54" s="973"/>
      <c r="M54" s="2355"/>
    </row>
    <row r="55" spans="3:13" ht="15" thickBot="1" x14ac:dyDescent="0.35">
      <c r="C55" s="2368"/>
      <c r="D55" s="2369"/>
      <c r="E55" s="2369"/>
      <c r="F55" s="2370"/>
      <c r="G55" s="2371"/>
      <c r="H55" s="2372"/>
      <c r="I55" s="2372"/>
      <c r="J55" s="2372"/>
      <c r="K55" s="2372"/>
      <c r="L55" s="2373"/>
      <c r="M55" s="2355"/>
    </row>
    <row r="56" spans="3:13" x14ac:dyDescent="0.3">
      <c r="C56" s="2374"/>
      <c r="D56" s="2374"/>
      <c r="E56" s="2374"/>
      <c r="F56" s="2375"/>
      <c r="G56" s="2374"/>
      <c r="H56" s="2376"/>
      <c r="I56" s="2376"/>
      <c r="J56" s="2376"/>
      <c r="K56" s="2376"/>
      <c r="L56" s="2376"/>
      <c r="M56" s="2355"/>
    </row>
    <row r="57" spans="3:13" ht="16.2" thickBot="1" x14ac:dyDescent="0.35">
      <c r="C57" s="2360" t="s">
        <v>484</v>
      </c>
      <c r="D57" s="2361"/>
      <c r="E57" s="2362"/>
      <c r="F57" s="2358"/>
      <c r="G57" s="2358"/>
      <c r="H57" s="2358"/>
      <c r="I57" s="2358"/>
      <c r="J57" s="2358"/>
      <c r="K57" s="2358"/>
      <c r="L57" s="2358"/>
      <c r="M57" s="2357"/>
    </row>
    <row r="58" spans="3:13" ht="24.6" thickBot="1" x14ac:dyDescent="0.35">
      <c r="C58" s="2363" t="s">
        <v>485</v>
      </c>
      <c r="D58" s="2364" t="s">
        <v>477</v>
      </c>
      <c r="E58" s="2365" t="s">
        <v>478</v>
      </c>
      <c r="F58" s="2366" t="s">
        <v>479</v>
      </c>
      <c r="G58" s="2366" t="s">
        <v>480</v>
      </c>
      <c r="H58" s="2366" t="s">
        <v>507</v>
      </c>
      <c r="I58" s="2366" t="s">
        <v>598</v>
      </c>
      <c r="J58" s="2366" t="s">
        <v>599</v>
      </c>
      <c r="K58" s="2366" t="s">
        <v>510</v>
      </c>
      <c r="L58" s="2367" t="s">
        <v>483</v>
      </c>
      <c r="M58" s="2355"/>
    </row>
    <row r="59" spans="3:13" ht="55.2" x14ac:dyDescent="0.3">
      <c r="C59" s="2401" t="s">
        <v>2030</v>
      </c>
      <c r="D59" s="923" t="s">
        <v>601</v>
      </c>
      <c r="E59" s="924" t="s">
        <v>605</v>
      </c>
      <c r="F59" s="2400" t="s">
        <v>2005</v>
      </c>
      <c r="G59" s="925" t="s">
        <v>1969</v>
      </c>
      <c r="H59" s="926" t="s">
        <v>2031</v>
      </c>
      <c r="I59" s="956" t="s">
        <v>594</v>
      </c>
      <c r="J59" s="926" t="s">
        <v>611</v>
      </c>
      <c r="K59" s="958" t="s">
        <v>2032</v>
      </c>
      <c r="L59" s="2402" t="s">
        <v>2202</v>
      </c>
      <c r="M59" s="2355"/>
    </row>
    <row r="60" spans="3:13" x14ac:dyDescent="0.3">
      <c r="C60" s="940"/>
      <c r="D60" s="928"/>
      <c r="E60" s="929"/>
      <c r="F60" s="935"/>
      <c r="G60" s="930"/>
      <c r="H60" s="931"/>
      <c r="I60" s="957"/>
      <c r="J60" s="931"/>
      <c r="K60" s="959"/>
      <c r="L60" s="932"/>
      <c r="M60" s="2355"/>
    </row>
    <row r="61" spans="3:13" x14ac:dyDescent="0.3">
      <c r="C61" s="940"/>
      <c r="D61" s="928"/>
      <c r="E61" s="929"/>
      <c r="F61" s="936"/>
      <c r="G61" s="930"/>
      <c r="H61" s="931"/>
      <c r="I61" s="957"/>
      <c r="J61" s="931"/>
      <c r="K61" s="959"/>
      <c r="L61" s="932"/>
      <c r="M61" s="2355"/>
    </row>
    <row r="62" spans="3:13" x14ac:dyDescent="0.3">
      <c r="C62" s="940"/>
      <c r="D62" s="928"/>
      <c r="E62" s="929"/>
      <c r="F62" s="936"/>
      <c r="G62" s="930"/>
      <c r="H62" s="931"/>
      <c r="I62" s="957"/>
      <c r="J62" s="931"/>
      <c r="K62" s="959"/>
      <c r="L62" s="932"/>
      <c r="M62" s="2355"/>
    </row>
    <row r="63" spans="3:13" x14ac:dyDescent="0.3">
      <c r="C63" s="940"/>
      <c r="D63" s="928"/>
      <c r="E63" s="929"/>
      <c r="F63" s="936"/>
      <c r="G63" s="930"/>
      <c r="H63" s="931"/>
      <c r="I63" s="957"/>
      <c r="J63" s="931"/>
      <c r="K63" s="959"/>
      <c r="L63" s="932"/>
      <c r="M63" s="2355"/>
    </row>
    <row r="64" spans="3:13" x14ac:dyDescent="0.3">
      <c r="C64" s="965"/>
      <c r="D64" s="966"/>
      <c r="E64" s="967"/>
      <c r="F64" s="968"/>
      <c r="G64" s="969"/>
      <c r="H64" s="970"/>
      <c r="I64" s="971"/>
      <c r="J64" s="970"/>
      <c r="K64" s="972"/>
      <c r="L64" s="973"/>
      <c r="M64" s="2355"/>
    </row>
    <row r="65" spans="3:13" ht="15" thickBot="1" x14ac:dyDescent="0.35">
      <c r="C65" s="2377"/>
      <c r="D65" s="2370"/>
      <c r="E65" s="2370"/>
      <c r="F65" s="2371"/>
      <c r="G65" s="2371"/>
      <c r="H65" s="2372"/>
      <c r="I65" s="2378"/>
      <c r="J65" s="2372"/>
      <c r="K65" s="2372"/>
      <c r="L65" s="2373"/>
      <c r="M65" s="2355"/>
    </row>
    <row r="66" spans="3:13" ht="15" thickBot="1" x14ac:dyDescent="0.35">
      <c r="C66" s="2379"/>
      <c r="D66" s="2379"/>
      <c r="E66" s="2379"/>
      <c r="F66" s="2379"/>
      <c r="G66" s="2379"/>
      <c r="H66" s="2379"/>
      <c r="I66" s="2379"/>
      <c r="J66" s="2379"/>
      <c r="K66" s="2379"/>
      <c r="L66" s="2379"/>
      <c r="M66" s="2380"/>
    </row>
  </sheetData>
  <sheetProtection algorithmName="SHA-512" hashValue="1NlZCyaNDVMwbOaG8E0+ZM1SkKvsrCGcBGF0NuvgmG/RcrTT2fOPHiuxzckvaHAYunubJfBTBW08rXmQASg3+w==" saltValue="FuTmV5wqU0TySZN9EBAJGA==" spinCount="100000" sheet="1" formatCells="0" formatColumns="0" formatRows="0" insertRows="0"/>
  <mergeCells count="4">
    <mergeCell ref="C13:L13"/>
    <mergeCell ref="C15:I15"/>
    <mergeCell ref="C41:L41"/>
    <mergeCell ref="C43:I43"/>
  </mergeCells>
  <dataValidations count="5">
    <dataValidation type="list" allowBlank="1" showInputMessage="1" showErrorMessage="1" sqref="D19:D27 D31:D37" xr:uid="{00000000-0002-0000-2B00-000000000000}">
      <formula1>Project_Type</formula1>
    </dataValidation>
    <dataValidation type="list" allowBlank="1" showInputMessage="1" showErrorMessage="1" sqref="E19:E27 E31:E37" xr:uid="{00000000-0002-0000-2B00-000001000000}">
      <formula1>Act_Typ</formula1>
    </dataValidation>
    <dataValidation type="list" allowBlank="1" showInputMessage="1" showErrorMessage="1" sqref="J19:J27" xr:uid="{00000000-0002-0000-2B00-000002000000}">
      <formula1>OnTime_OnBudget</formula1>
    </dataValidation>
    <dataValidation type="list" allowBlank="1" showInputMessage="1" showErrorMessage="1" sqref="I31:I37" xr:uid="{00000000-0002-0000-2B00-000003000000}">
      <formula1>Project_Status</formula1>
    </dataValidation>
    <dataValidation type="list" allowBlank="1" showInputMessage="1" showErrorMessage="1" sqref="J31:J37" xr:uid="{00000000-0002-0000-2B00-000004000000}">
      <formula1>OnTime_OnBudget</formula1>
    </dataValidation>
  </dataValidations>
  <pageMargins left="0.7" right="0.7" top="1" bottom="0.75" header="0.3" footer="0.3"/>
  <pageSetup scale="85" orientation="landscape" r:id="rId1"/>
  <headerFooter>
    <oddFooter>&amp;LForm 9C
Project Sponsor Experience&amp;CCFA Forms&amp;REdition: 2017
Version: 1.0</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4:L43"/>
  <sheetViews>
    <sheetView showGridLines="0" zoomScaleNormal="100" workbookViewId="0">
      <selection activeCell="C18" sqref="C18:J18"/>
    </sheetView>
  </sheetViews>
  <sheetFormatPr defaultColWidth="9.109375" defaultRowHeight="14.4" x14ac:dyDescent="0.3"/>
  <cols>
    <col min="1" max="2" width="1.6640625" style="403" customWidth="1"/>
    <col min="3" max="3" width="27.109375" style="403" customWidth="1"/>
    <col min="4" max="5" width="9.109375" style="403"/>
    <col min="6" max="6" width="15.33203125" style="403" customWidth="1"/>
    <col min="7" max="7" width="14.33203125" style="403" customWidth="1"/>
    <col min="8" max="9" width="16.5546875" style="403" customWidth="1"/>
    <col min="10" max="10" width="14.88671875" style="403" customWidth="1"/>
    <col min="11" max="11" width="17.109375" style="403" customWidth="1"/>
    <col min="12" max="12" width="1.6640625" style="403" customWidth="1"/>
    <col min="13" max="16384" width="9.109375" style="403"/>
  </cols>
  <sheetData>
    <row r="14" spans="2:12" ht="7.5" customHeight="1" thickBot="1" x14ac:dyDescent="0.35">
      <c r="B14" s="653"/>
      <c r="C14" s="653"/>
      <c r="D14" s="653"/>
      <c r="E14" s="653"/>
      <c r="F14" s="653"/>
      <c r="G14" s="653"/>
      <c r="H14" s="653"/>
      <c r="I14" s="653"/>
      <c r="J14" s="653"/>
      <c r="K14" s="653"/>
      <c r="L14" s="653"/>
    </row>
    <row r="15" spans="2:12" ht="9" customHeight="1" x14ac:dyDescent="0.35">
      <c r="B15" s="304"/>
      <c r="C15" s="326"/>
      <c r="D15" s="305"/>
      <c r="E15" s="305"/>
      <c r="F15" s="305"/>
      <c r="G15" s="305"/>
      <c r="H15" s="305"/>
      <c r="I15" s="306"/>
      <c r="J15" s="305"/>
      <c r="K15" s="305"/>
      <c r="L15" s="307"/>
    </row>
    <row r="16" spans="2:12" ht="18" x14ac:dyDescent="0.35">
      <c r="B16" s="308"/>
      <c r="C16" s="1428" t="s">
        <v>535</v>
      </c>
      <c r="D16" s="713"/>
      <c r="E16" s="713"/>
      <c r="F16" s="713"/>
      <c r="G16" s="713"/>
      <c r="H16" s="713"/>
      <c r="I16" s="713"/>
      <c r="J16" s="713"/>
      <c r="K16" s="713"/>
      <c r="L16" s="309"/>
    </row>
    <row r="17" spans="2:12" ht="15" customHeight="1" x14ac:dyDescent="0.35">
      <c r="B17" s="308"/>
      <c r="C17" s="1427"/>
      <c r="D17" s="725"/>
      <c r="E17" s="725"/>
      <c r="F17" s="725"/>
      <c r="G17" s="725"/>
      <c r="H17" s="725"/>
      <c r="I17" s="725"/>
      <c r="J17" s="725"/>
      <c r="K17" s="725"/>
      <c r="L17" s="309"/>
    </row>
    <row r="18" spans="2:12" ht="15" thickBot="1" x14ac:dyDescent="0.35">
      <c r="B18" s="310"/>
      <c r="C18" s="2957" t="str">
        <f>IF('1'!G5="","Enter Project Name on Form 1",(CONCATENATE("Project Name: ",'1'!G5)))</f>
        <v>Project Name: 6600 Roosevelt Way NE</v>
      </c>
      <c r="D18" s="2957"/>
      <c r="E18" s="2957"/>
      <c r="F18" s="2957"/>
      <c r="G18" s="2957"/>
      <c r="H18" s="2957"/>
      <c r="I18" s="2957"/>
      <c r="J18" s="2957"/>
      <c r="K18" s="492"/>
      <c r="L18" s="312"/>
    </row>
    <row r="19" spans="2:12" ht="22.5" customHeight="1" x14ac:dyDescent="0.3">
      <c r="B19" s="310"/>
      <c r="C19" s="194"/>
      <c r="D19" s="311"/>
      <c r="E19" s="311"/>
      <c r="F19" s="311"/>
      <c r="G19" s="311"/>
      <c r="H19" s="311"/>
      <c r="I19" s="311"/>
      <c r="J19" s="311"/>
      <c r="K19" s="313"/>
      <c r="L19" s="312"/>
    </row>
    <row r="20" spans="2:12" ht="15.75" customHeight="1" x14ac:dyDescent="0.3">
      <c r="B20" s="310"/>
      <c r="C20" s="330" t="s">
        <v>486</v>
      </c>
      <c r="D20" s="330"/>
      <c r="E20" s="330"/>
      <c r="F20" s="330"/>
      <c r="G20" s="330"/>
      <c r="H20" s="313"/>
      <c r="I20" s="313"/>
      <c r="J20" s="313"/>
      <c r="K20" s="313"/>
      <c r="L20" s="312"/>
    </row>
    <row r="21" spans="2:12" x14ac:dyDescent="0.3">
      <c r="B21" s="316"/>
      <c r="C21" s="1429" t="s">
        <v>487</v>
      </c>
      <c r="D21" s="331" t="str">
        <f>IF('1'!G15="","Enter Development Consultant Firm Name on Form 1A",'1'!G15)</f>
        <v>N/A</v>
      </c>
      <c r="E21" s="332"/>
      <c r="F21" s="332"/>
      <c r="G21" s="332"/>
      <c r="H21" s="332"/>
      <c r="I21" s="978"/>
      <c r="J21" s="333"/>
      <c r="K21" s="654"/>
      <c r="L21" s="327"/>
    </row>
    <row r="22" spans="2:12" ht="3.75" customHeight="1" thickBot="1" x14ac:dyDescent="0.35">
      <c r="B22" s="316"/>
      <c r="C22" s="328"/>
      <c r="D22" s="654"/>
      <c r="E22" s="654"/>
      <c r="F22" s="654"/>
      <c r="G22" s="654"/>
      <c r="H22" s="654"/>
      <c r="I22" s="654"/>
      <c r="J22" s="654"/>
      <c r="K22" s="654"/>
      <c r="L22" s="309"/>
    </row>
    <row r="23" spans="2:12" ht="24.6" thickBot="1" x14ac:dyDescent="0.35">
      <c r="B23" s="316"/>
      <c r="C23" s="334" t="s">
        <v>476</v>
      </c>
      <c r="D23" s="941" t="s">
        <v>477</v>
      </c>
      <c r="E23" s="317" t="s">
        <v>478</v>
      </c>
      <c r="F23" s="318" t="s">
        <v>480</v>
      </c>
      <c r="G23" s="318" t="s">
        <v>507</v>
      </c>
      <c r="H23" s="318" t="s">
        <v>481</v>
      </c>
      <c r="I23" s="941" t="s">
        <v>607</v>
      </c>
      <c r="J23" s="318" t="s">
        <v>482</v>
      </c>
      <c r="K23" s="319" t="s">
        <v>483</v>
      </c>
      <c r="L23" s="309"/>
    </row>
    <row r="24" spans="2:12" x14ac:dyDescent="0.3">
      <c r="B24" s="320"/>
      <c r="C24" s="944" t="s">
        <v>1889</v>
      </c>
      <c r="D24" s="923" t="s">
        <v>544</v>
      </c>
      <c r="E24" s="924" t="s">
        <v>533</v>
      </c>
      <c r="F24" s="942"/>
      <c r="G24" s="793"/>
      <c r="H24" s="925"/>
      <c r="I24" s="925" t="s">
        <v>533</v>
      </c>
      <c r="J24" s="926"/>
      <c r="K24" s="927"/>
      <c r="L24" s="309"/>
    </row>
    <row r="25" spans="2:12" x14ac:dyDescent="0.3">
      <c r="B25" s="316"/>
      <c r="C25" s="945"/>
      <c r="D25" s="928"/>
      <c r="E25" s="929"/>
      <c r="F25" s="943"/>
      <c r="G25" s="933"/>
      <c r="H25" s="930"/>
      <c r="I25" s="930"/>
      <c r="J25" s="931"/>
      <c r="K25" s="932"/>
      <c r="L25" s="309"/>
    </row>
    <row r="26" spans="2:12" x14ac:dyDescent="0.3">
      <c r="B26" s="316"/>
      <c r="C26" s="760"/>
      <c r="D26" s="928"/>
      <c r="E26" s="929"/>
      <c r="F26" s="943"/>
      <c r="G26" s="933"/>
      <c r="H26" s="930"/>
      <c r="I26" s="930"/>
      <c r="J26" s="931"/>
      <c r="K26" s="932"/>
      <c r="L26" s="309"/>
    </row>
    <row r="27" spans="2:12" x14ac:dyDescent="0.3">
      <c r="B27" s="316"/>
      <c r="C27" s="760"/>
      <c r="D27" s="928"/>
      <c r="E27" s="929"/>
      <c r="F27" s="943"/>
      <c r="G27" s="933"/>
      <c r="H27" s="930"/>
      <c r="I27" s="930"/>
      <c r="J27" s="931"/>
      <c r="K27" s="932"/>
      <c r="L27" s="309"/>
    </row>
    <row r="28" spans="2:12" x14ac:dyDescent="0.3">
      <c r="B28" s="316"/>
      <c r="C28" s="760"/>
      <c r="D28" s="928"/>
      <c r="E28" s="929"/>
      <c r="F28" s="943"/>
      <c r="G28" s="933"/>
      <c r="H28" s="930"/>
      <c r="I28" s="930"/>
      <c r="J28" s="931"/>
      <c r="K28" s="932"/>
      <c r="L28" s="309"/>
    </row>
    <row r="29" spans="2:12" x14ac:dyDescent="0.3">
      <c r="B29" s="321"/>
      <c r="C29" s="760"/>
      <c r="D29" s="928"/>
      <c r="E29" s="929"/>
      <c r="F29" s="943"/>
      <c r="G29" s="933"/>
      <c r="H29" s="930"/>
      <c r="I29" s="930"/>
      <c r="J29" s="931"/>
      <c r="K29" s="932"/>
      <c r="L29" s="309"/>
    </row>
    <row r="30" spans="2:12" x14ac:dyDescent="0.3">
      <c r="B30" s="321"/>
      <c r="C30" s="760"/>
      <c r="D30" s="928"/>
      <c r="E30" s="929"/>
      <c r="F30" s="943"/>
      <c r="G30" s="933"/>
      <c r="H30" s="930"/>
      <c r="I30" s="930"/>
      <c r="J30" s="931"/>
      <c r="K30" s="932"/>
      <c r="L30" s="309"/>
    </row>
    <row r="31" spans="2:12" x14ac:dyDescent="0.3">
      <c r="B31" s="316"/>
      <c r="C31" s="760"/>
      <c r="D31" s="928"/>
      <c r="E31" s="929"/>
      <c r="F31" s="943"/>
      <c r="G31" s="933"/>
      <c r="H31" s="930"/>
      <c r="I31" s="930"/>
      <c r="J31" s="931"/>
      <c r="K31" s="932"/>
      <c r="L31" s="309"/>
    </row>
    <row r="32" spans="2:12" ht="7.5" customHeight="1" thickBot="1" x14ac:dyDescent="0.35">
      <c r="B32" s="316"/>
      <c r="C32" s="1467"/>
      <c r="D32" s="1558"/>
      <c r="E32" s="1559"/>
      <c r="F32" s="1560"/>
      <c r="G32" s="1561"/>
      <c r="H32" s="1562"/>
      <c r="I32" s="1562"/>
      <c r="J32" s="1563"/>
      <c r="K32" s="1564"/>
      <c r="L32" s="309"/>
    </row>
    <row r="33" spans="2:12" ht="7.5" customHeight="1" x14ac:dyDescent="0.3">
      <c r="B33" s="310"/>
      <c r="C33" s="328"/>
      <c r="D33" s="335"/>
      <c r="E33" s="335"/>
      <c r="F33" s="335"/>
      <c r="G33" s="335"/>
      <c r="H33" s="335"/>
      <c r="I33" s="335"/>
      <c r="J33" s="335"/>
      <c r="K33" s="335"/>
      <c r="L33" s="312"/>
    </row>
    <row r="34" spans="2:12" ht="16.5" customHeight="1" thickBot="1" x14ac:dyDescent="0.35">
      <c r="B34" s="310"/>
      <c r="C34" s="325" t="s">
        <v>488</v>
      </c>
      <c r="D34" s="325"/>
      <c r="E34" s="325"/>
      <c r="F34" s="325"/>
      <c r="G34" s="325"/>
      <c r="H34" s="313"/>
      <c r="I34" s="313"/>
      <c r="J34" s="313"/>
      <c r="K34" s="313"/>
      <c r="L34" s="312"/>
    </row>
    <row r="35" spans="2:12" ht="24.6" thickBot="1" x14ac:dyDescent="0.35">
      <c r="B35" s="316"/>
      <c r="C35" s="334" t="s">
        <v>485</v>
      </c>
      <c r="D35" s="941" t="s">
        <v>477</v>
      </c>
      <c r="E35" s="317" t="s">
        <v>478</v>
      </c>
      <c r="F35" s="318" t="s">
        <v>480</v>
      </c>
      <c r="G35" s="318" t="s">
        <v>507</v>
      </c>
      <c r="H35" s="318" t="s">
        <v>598</v>
      </c>
      <c r="I35" s="941" t="s">
        <v>607</v>
      </c>
      <c r="J35" s="318" t="s">
        <v>608</v>
      </c>
      <c r="K35" s="319" t="s">
        <v>483</v>
      </c>
      <c r="L35" s="309"/>
    </row>
    <row r="36" spans="2:12" x14ac:dyDescent="0.3">
      <c r="B36" s="320"/>
      <c r="C36" s="944"/>
      <c r="D36" s="946" t="s">
        <v>544</v>
      </c>
      <c r="E36" s="947" t="s">
        <v>533</v>
      </c>
      <c r="F36" s="924"/>
      <c r="G36" s="934"/>
      <c r="H36" s="925" t="s">
        <v>533</v>
      </c>
      <c r="I36" s="925" t="s">
        <v>533</v>
      </c>
      <c r="J36" s="926"/>
      <c r="K36" s="927"/>
      <c r="L36" s="309"/>
    </row>
    <row r="37" spans="2:12" x14ac:dyDescent="0.3">
      <c r="B37" s="316"/>
      <c r="C37" s="945"/>
      <c r="D37" s="948"/>
      <c r="E37" s="949"/>
      <c r="F37" s="929"/>
      <c r="G37" s="935"/>
      <c r="H37" s="930"/>
      <c r="I37" s="930"/>
      <c r="J37" s="931"/>
      <c r="K37" s="932"/>
      <c r="L37" s="309"/>
    </row>
    <row r="38" spans="2:12" x14ac:dyDescent="0.3">
      <c r="B38" s="316"/>
      <c r="C38" s="760"/>
      <c r="D38" s="948"/>
      <c r="E38" s="949"/>
      <c r="F38" s="929"/>
      <c r="G38" s="936"/>
      <c r="H38" s="930"/>
      <c r="I38" s="930"/>
      <c r="J38" s="931"/>
      <c r="K38" s="932"/>
      <c r="L38" s="309"/>
    </row>
    <row r="39" spans="2:12" x14ac:dyDescent="0.3">
      <c r="B39" s="316"/>
      <c r="C39" s="760"/>
      <c r="D39" s="948"/>
      <c r="E39" s="949"/>
      <c r="F39" s="929"/>
      <c r="G39" s="936"/>
      <c r="H39" s="930"/>
      <c r="I39" s="930"/>
      <c r="J39" s="931"/>
      <c r="K39" s="932"/>
      <c r="L39" s="309"/>
    </row>
    <row r="40" spans="2:12" x14ac:dyDescent="0.3">
      <c r="B40" s="316"/>
      <c r="C40" s="760"/>
      <c r="D40" s="948"/>
      <c r="E40" s="949"/>
      <c r="F40" s="929"/>
      <c r="G40" s="936"/>
      <c r="H40" s="930"/>
      <c r="I40" s="930"/>
      <c r="J40" s="931"/>
      <c r="K40" s="932"/>
      <c r="L40" s="309"/>
    </row>
    <row r="41" spans="2:12" x14ac:dyDescent="0.3">
      <c r="B41" s="316"/>
      <c r="C41" s="980"/>
      <c r="D41" s="981"/>
      <c r="E41" s="982"/>
      <c r="F41" s="967"/>
      <c r="G41" s="968"/>
      <c r="H41" s="969"/>
      <c r="I41" s="969"/>
      <c r="J41" s="970"/>
      <c r="K41" s="973"/>
      <c r="L41" s="309"/>
    </row>
    <row r="42" spans="2:12" ht="7.5" customHeight="1" thickBot="1" x14ac:dyDescent="0.35">
      <c r="B42" s="316"/>
      <c r="C42" s="1467"/>
      <c r="D42" s="1565"/>
      <c r="E42" s="1566"/>
      <c r="F42" s="1559"/>
      <c r="G42" s="1562"/>
      <c r="H42" s="1562"/>
      <c r="I42" s="1562"/>
      <c r="J42" s="1563"/>
      <c r="K42" s="1564"/>
      <c r="L42" s="309"/>
    </row>
    <row r="43" spans="2:12" ht="9" customHeight="1" thickBot="1" x14ac:dyDescent="0.35">
      <c r="B43" s="322"/>
      <c r="C43" s="329"/>
      <c r="D43" s="323"/>
      <c r="E43" s="323"/>
      <c r="F43" s="323"/>
      <c r="G43" s="323"/>
      <c r="H43" s="323"/>
      <c r="I43" s="323"/>
      <c r="J43" s="323"/>
      <c r="K43" s="323"/>
      <c r="L43" s="324"/>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32 I36:I42" xr:uid="{00000000-0002-0000-2C00-000000000000}">
      <formula1>OnTime_OnBudget</formula1>
    </dataValidation>
    <dataValidation type="list" allowBlank="1" showInputMessage="1" showErrorMessage="1" sqref="D24:D32 D36:D42" xr:uid="{00000000-0002-0000-2C00-000001000000}">
      <formula1>Project_Type</formula1>
    </dataValidation>
    <dataValidation type="list" allowBlank="1" showInputMessage="1" showErrorMessage="1" sqref="E24:E32 E36:E42" xr:uid="{00000000-0002-0000-2C00-000002000000}">
      <formula1>Act_Typ</formula1>
    </dataValidation>
    <dataValidation type="list" allowBlank="1" showInputMessage="1" showErrorMessage="1" sqref="H36:H42" xr:uid="{00000000-0002-0000-2C00-000003000000}">
      <formula1>Project_Status</formula1>
    </dataValidation>
  </dataValidations>
  <pageMargins left="0.7" right="0.7" top="1" bottom="0.75" header="0.3" footer="0.3"/>
  <pageSetup scale="85" orientation="landscape" r:id="rId1"/>
  <headerFooter>
    <oddFooter>&amp;LForm 9D
Project Development Consultant Experience&amp;CCFA Forms&amp;REdition: 2017
Version: 1.0</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5:J25"/>
  <sheetViews>
    <sheetView showGridLines="0" zoomScaleNormal="100" workbookViewId="0">
      <selection activeCell="L16" sqref="L16"/>
    </sheetView>
  </sheetViews>
  <sheetFormatPr defaultColWidth="9.109375" defaultRowHeight="14.4" x14ac:dyDescent="0.3"/>
  <cols>
    <col min="1" max="2" width="1.6640625" style="403" customWidth="1"/>
    <col min="3" max="3" width="25.6640625" style="403" customWidth="1"/>
    <col min="4" max="4" width="14.33203125" style="403" customWidth="1"/>
    <col min="5" max="5" width="8.5546875" style="403" customWidth="1"/>
    <col min="6" max="6" width="22.88671875" style="403" customWidth="1"/>
    <col min="7" max="8" width="14.33203125" style="403" customWidth="1"/>
    <col min="9" max="9" width="26.109375" style="403" customWidth="1"/>
    <col min="10" max="10" width="1.6640625" style="403" customWidth="1"/>
    <col min="11" max="16384" width="9.109375" style="403"/>
  </cols>
  <sheetData>
    <row r="5" spans="2:10" ht="19.5" customHeight="1" x14ac:dyDescent="0.3"/>
    <row r="6" spans="2:10" ht="7.5" customHeight="1" thickBot="1" x14ac:dyDescent="0.35">
      <c r="B6" s="653"/>
      <c r="C6" s="653"/>
      <c r="D6" s="653"/>
      <c r="E6" s="653"/>
      <c r="F6" s="653"/>
      <c r="G6" s="653"/>
      <c r="H6" s="653"/>
      <c r="I6" s="653"/>
      <c r="J6" s="653"/>
    </row>
    <row r="7" spans="2:10" ht="9" customHeight="1" x14ac:dyDescent="0.3">
      <c r="B7" s="336"/>
      <c r="C7" s="305"/>
      <c r="D7" s="305"/>
      <c r="E7" s="305"/>
      <c r="F7" s="305"/>
      <c r="G7" s="305"/>
      <c r="H7" s="305"/>
      <c r="I7" s="305"/>
      <c r="J7" s="307"/>
    </row>
    <row r="8" spans="2:10" ht="18" x14ac:dyDescent="0.35">
      <c r="B8" s="337"/>
      <c r="C8" s="1428" t="s">
        <v>536</v>
      </c>
      <c r="D8" s="713"/>
      <c r="E8" s="713"/>
      <c r="F8" s="713"/>
      <c r="G8" s="713"/>
      <c r="H8" s="713"/>
      <c r="I8" s="713"/>
      <c r="J8" s="309"/>
    </row>
    <row r="9" spans="2:10" x14ac:dyDescent="0.3">
      <c r="B9" s="337"/>
      <c r="C9" s="725"/>
      <c r="D9" s="725"/>
      <c r="E9" s="725"/>
      <c r="F9" s="725"/>
      <c r="G9" s="725"/>
      <c r="H9" s="725"/>
      <c r="I9" s="725"/>
      <c r="J9" s="309"/>
    </row>
    <row r="10" spans="2:10" ht="15" thickBot="1" x14ac:dyDescent="0.35">
      <c r="B10" s="310"/>
      <c r="C10" s="2957" t="str">
        <f>IF('1'!G5="","Enter Project Name on Form 1",(CONCATENATE("Project Name: ",'1'!G5)))</f>
        <v>Project Name: 6600 Roosevelt Way NE</v>
      </c>
      <c r="D10" s="2957"/>
      <c r="E10" s="2957"/>
      <c r="F10" s="2957"/>
      <c r="G10" s="2957"/>
      <c r="H10" s="378"/>
      <c r="I10" s="378"/>
      <c r="J10" s="312"/>
    </row>
    <row r="11" spans="2:10" x14ac:dyDescent="0.3">
      <c r="B11" s="316"/>
      <c r="C11" s="725"/>
      <c r="D11" s="654"/>
      <c r="E11" s="654"/>
      <c r="F11" s="654"/>
      <c r="G11" s="654"/>
      <c r="H11" s="338"/>
      <c r="I11" s="338"/>
      <c r="J11" s="327"/>
    </row>
    <row r="12" spans="2:10" x14ac:dyDescent="0.3">
      <c r="B12" s="316"/>
      <c r="C12" s="1603" t="s">
        <v>489</v>
      </c>
      <c r="D12" s="2960" t="str">
        <f>IF('9A'!D55="","Enter Property Management Firm Name on Form 9A",'9A'!D55)</f>
        <v>Bellwether Housing</v>
      </c>
      <c r="E12" s="2960"/>
      <c r="F12" s="2960"/>
      <c r="G12" s="2960"/>
      <c r="H12" s="2960"/>
      <c r="I12" s="2961"/>
      <c r="J12" s="327"/>
    </row>
    <row r="13" spans="2:10" ht="15" thickBot="1" x14ac:dyDescent="0.35">
      <c r="B13" s="316"/>
      <c r="C13" s="335"/>
      <c r="D13" s="335"/>
      <c r="E13" s="654"/>
      <c r="F13" s="654"/>
      <c r="G13" s="654"/>
      <c r="H13" s="654"/>
      <c r="I13" s="654"/>
      <c r="J13" s="309"/>
    </row>
    <row r="14" spans="2:10" ht="36.6" thickBot="1" x14ac:dyDescent="0.35">
      <c r="B14" s="316"/>
      <c r="C14" s="334" t="s">
        <v>490</v>
      </c>
      <c r="D14" s="318" t="s">
        <v>480</v>
      </c>
      <c r="E14" s="318" t="s">
        <v>507</v>
      </c>
      <c r="F14" s="318" t="s">
        <v>491</v>
      </c>
      <c r="G14" s="318" t="s">
        <v>492</v>
      </c>
      <c r="H14" s="318" t="s">
        <v>508</v>
      </c>
      <c r="I14" s="319" t="s">
        <v>509</v>
      </c>
      <c r="J14" s="309"/>
    </row>
    <row r="15" spans="2:10" ht="27.6" x14ac:dyDescent="0.3">
      <c r="B15" s="320"/>
      <c r="C15" s="1604" t="s">
        <v>1959</v>
      </c>
      <c r="D15" s="950" t="s">
        <v>1969</v>
      </c>
      <c r="E15" s="951" t="s">
        <v>1970</v>
      </c>
      <c r="F15" s="951" t="s">
        <v>511</v>
      </c>
      <c r="G15" s="951" t="s">
        <v>1979</v>
      </c>
      <c r="H15" s="951" t="s">
        <v>1988</v>
      </c>
      <c r="I15" s="927" t="s">
        <v>1989</v>
      </c>
      <c r="J15" s="309"/>
    </row>
    <row r="16" spans="2:10" ht="41.4" x14ac:dyDescent="0.3">
      <c r="B16" s="316"/>
      <c r="C16" s="1602" t="s">
        <v>1960</v>
      </c>
      <c r="D16" s="952" t="s">
        <v>1969</v>
      </c>
      <c r="E16" s="953" t="s">
        <v>1971</v>
      </c>
      <c r="F16" s="953" t="s">
        <v>511</v>
      </c>
      <c r="G16" s="953" t="s">
        <v>1980</v>
      </c>
      <c r="H16" s="953" t="s">
        <v>1988</v>
      </c>
      <c r="I16" s="2350" t="s">
        <v>1990</v>
      </c>
      <c r="J16" s="309"/>
    </row>
    <row r="17" spans="2:10" ht="41.4" x14ac:dyDescent="0.3">
      <c r="B17" s="316"/>
      <c r="C17" s="1600" t="s">
        <v>1967</v>
      </c>
      <c r="D17" s="952" t="s">
        <v>1969</v>
      </c>
      <c r="E17" s="953" t="s">
        <v>1972</v>
      </c>
      <c r="F17" s="953" t="s">
        <v>1978</v>
      </c>
      <c r="G17" s="953" t="s">
        <v>1981</v>
      </c>
      <c r="H17" s="953" t="s">
        <v>1988</v>
      </c>
      <c r="I17" s="2350" t="s">
        <v>1991</v>
      </c>
      <c r="J17" s="309"/>
    </row>
    <row r="18" spans="2:10" ht="27.6" x14ac:dyDescent="0.3">
      <c r="B18" s="316"/>
      <c r="C18" s="1600" t="s">
        <v>1961</v>
      </c>
      <c r="D18" s="952" t="s">
        <v>1969</v>
      </c>
      <c r="E18" s="953" t="s">
        <v>1973</v>
      </c>
      <c r="F18" s="953" t="s">
        <v>511</v>
      </c>
      <c r="G18" s="953" t="s">
        <v>1982</v>
      </c>
      <c r="H18" s="953" t="s">
        <v>1988</v>
      </c>
      <c r="I18" s="2350" t="s">
        <v>1992</v>
      </c>
      <c r="J18" s="309"/>
    </row>
    <row r="19" spans="2:10" ht="27.6" x14ac:dyDescent="0.3">
      <c r="B19" s="316"/>
      <c r="C19" s="1600" t="s">
        <v>1968</v>
      </c>
      <c r="D19" s="952" t="s">
        <v>1969</v>
      </c>
      <c r="E19" s="953" t="s">
        <v>1973</v>
      </c>
      <c r="F19" s="953" t="s">
        <v>511</v>
      </c>
      <c r="G19" s="953" t="s">
        <v>1983</v>
      </c>
      <c r="H19" s="953" t="s">
        <v>1988</v>
      </c>
      <c r="I19" s="2350" t="s">
        <v>1993</v>
      </c>
      <c r="J19" s="309"/>
    </row>
    <row r="20" spans="2:10" x14ac:dyDescent="0.3">
      <c r="B20" s="321"/>
      <c r="C20" s="1600" t="s">
        <v>1962</v>
      </c>
      <c r="D20" s="952" t="s">
        <v>1969</v>
      </c>
      <c r="E20" s="953" t="s">
        <v>1973</v>
      </c>
      <c r="F20" s="953" t="s">
        <v>511</v>
      </c>
      <c r="G20" s="953" t="s">
        <v>1984</v>
      </c>
      <c r="H20" s="953" t="s">
        <v>1988</v>
      </c>
      <c r="I20" s="2350" t="s">
        <v>1994</v>
      </c>
      <c r="J20" s="309"/>
    </row>
    <row r="21" spans="2:10" ht="27.6" x14ac:dyDescent="0.3">
      <c r="B21" s="321"/>
      <c r="C21" s="1600" t="s">
        <v>1963</v>
      </c>
      <c r="D21" s="952" t="s">
        <v>1969</v>
      </c>
      <c r="E21" s="953" t="s">
        <v>1974</v>
      </c>
      <c r="F21" s="953" t="s">
        <v>511</v>
      </c>
      <c r="G21" s="953" t="s">
        <v>1985</v>
      </c>
      <c r="H21" s="953" t="s">
        <v>1988</v>
      </c>
      <c r="I21" s="2350" t="s">
        <v>1995</v>
      </c>
      <c r="J21" s="309"/>
    </row>
    <row r="22" spans="2:10" x14ac:dyDescent="0.3">
      <c r="B22" s="321"/>
      <c r="C22" s="1600" t="s">
        <v>1964</v>
      </c>
      <c r="D22" s="952" t="s">
        <v>1969</v>
      </c>
      <c r="E22" s="953" t="s">
        <v>1975</v>
      </c>
      <c r="F22" s="953" t="s">
        <v>511</v>
      </c>
      <c r="G22" s="953" t="s">
        <v>1985</v>
      </c>
      <c r="H22" s="953" t="s">
        <v>1988</v>
      </c>
      <c r="I22" s="932" t="s">
        <v>1998</v>
      </c>
      <c r="J22" s="309"/>
    </row>
    <row r="23" spans="2:10" x14ac:dyDescent="0.3">
      <c r="B23" s="316"/>
      <c r="C23" s="1600" t="s">
        <v>1965</v>
      </c>
      <c r="D23" s="952" t="s">
        <v>1969</v>
      </c>
      <c r="E23" s="953" t="s">
        <v>1976</v>
      </c>
      <c r="F23" s="953" t="s">
        <v>511</v>
      </c>
      <c r="G23" s="953" t="s">
        <v>1986</v>
      </c>
      <c r="H23" s="953" t="s">
        <v>1988</v>
      </c>
      <c r="I23" s="2350" t="s">
        <v>1997</v>
      </c>
      <c r="J23" s="309"/>
    </row>
    <row r="24" spans="2:10" ht="28.2" thickBot="1" x14ac:dyDescent="0.35">
      <c r="B24" s="316"/>
      <c r="C24" s="1601" t="s">
        <v>1966</v>
      </c>
      <c r="D24" s="954" t="s">
        <v>1969</v>
      </c>
      <c r="E24" s="955" t="s">
        <v>1977</v>
      </c>
      <c r="F24" s="955" t="s">
        <v>511</v>
      </c>
      <c r="G24" s="955" t="s">
        <v>1987</v>
      </c>
      <c r="H24" s="955" t="s">
        <v>1988</v>
      </c>
      <c r="I24" s="2351" t="s">
        <v>1996</v>
      </c>
      <c r="J24" s="309"/>
    </row>
    <row r="25" spans="2:10" ht="9" customHeight="1" thickBot="1" x14ac:dyDescent="0.35">
      <c r="B25" s="322"/>
      <c r="C25" s="323"/>
      <c r="D25" s="323"/>
      <c r="E25" s="323"/>
      <c r="F25" s="323"/>
      <c r="G25" s="323"/>
      <c r="H25" s="323"/>
      <c r="I25" s="323"/>
      <c r="J25" s="324"/>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1" bottom="0.75" header="0.3" footer="0.3"/>
  <pageSetup scale="94" orientation="landscape" r:id="rId1"/>
  <headerFooter>
    <oddFooter>&amp;LForm 9E
Project Property Management Firm Experience&amp;CCFA Forms&amp;REdition: 2017
Version: 1.0</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defaultRowHeight="14.4" x14ac:dyDescent="0.3"/>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245"/>
  <sheetViews>
    <sheetView topLeftCell="A2" zoomScaleNormal="100" workbookViewId="0">
      <selection activeCell="V233" sqref="V233"/>
    </sheetView>
  </sheetViews>
  <sheetFormatPr defaultColWidth="8.88671875" defaultRowHeight="14.4" x14ac:dyDescent="0.3"/>
  <cols>
    <col min="1" max="1" width="1.5546875" style="1799" customWidth="1"/>
    <col min="2" max="2" width="4.44140625" style="1799" customWidth="1"/>
    <col min="3" max="3" width="2.109375" style="1799" customWidth="1"/>
    <col min="4" max="4" width="2.88671875" style="1799" customWidth="1"/>
    <col min="5" max="5" width="10.5546875" style="1799" customWidth="1"/>
    <col min="6" max="6" width="9.109375" style="1799" customWidth="1"/>
    <col min="7" max="7" width="10.88671875" style="1799" customWidth="1"/>
    <col min="8" max="8" width="12.33203125" style="1799" customWidth="1"/>
    <col min="9" max="9" width="9.88671875" style="1799" customWidth="1"/>
    <col min="10" max="10" width="7.44140625" style="1799" customWidth="1"/>
    <col min="11" max="11" width="15.44140625" style="1799" customWidth="1"/>
    <col min="12" max="12" width="12" style="1799" bestFit="1" customWidth="1"/>
    <col min="13" max="13" width="10.6640625" style="1799" customWidth="1"/>
    <col min="14" max="14" width="3.33203125" style="1799" customWidth="1"/>
    <col min="15" max="16384" width="8.88671875" style="1799"/>
  </cols>
  <sheetData>
    <row r="1" spans="1:13" s="1688" customFormat="1" ht="18.75" customHeight="1" x14ac:dyDescent="0.25">
      <c r="A1" s="2962" t="s">
        <v>1838</v>
      </c>
      <c r="B1" s="2962"/>
      <c r="C1" s="2962"/>
      <c r="D1" s="2962"/>
      <c r="E1" s="2962"/>
      <c r="F1" s="2962"/>
      <c r="G1" s="2962"/>
      <c r="H1" s="2962"/>
      <c r="I1" s="2962"/>
      <c r="J1" s="2962"/>
      <c r="K1" s="2962"/>
      <c r="L1" s="2962"/>
      <c r="M1" s="2962"/>
    </row>
    <row r="2" spans="1:13" ht="18" x14ac:dyDescent="0.35">
      <c r="B2" s="2963" t="s">
        <v>1839</v>
      </c>
      <c r="C2" s="2963"/>
      <c r="D2" s="2963"/>
      <c r="E2" s="2963"/>
      <c r="F2" s="2963"/>
      <c r="G2" s="2963"/>
      <c r="H2" s="2963"/>
      <c r="I2" s="2963"/>
      <c r="J2" s="2963"/>
      <c r="K2" s="2963"/>
      <c r="L2" s="2963"/>
      <c r="M2" s="2963"/>
    </row>
    <row r="3" spans="1:13" x14ac:dyDescent="0.3">
      <c r="B3" s="1800"/>
      <c r="C3" s="1800"/>
      <c r="D3" s="1800"/>
      <c r="E3" s="1800"/>
      <c r="F3" s="1800"/>
      <c r="G3" s="1800"/>
      <c r="H3" s="1800"/>
      <c r="I3" s="1800"/>
      <c r="J3" s="1800"/>
      <c r="K3" s="1800"/>
      <c r="L3" s="1800"/>
      <c r="M3" s="1800"/>
    </row>
    <row r="4" spans="1:13" ht="4.5" customHeight="1" x14ac:dyDescent="0.3">
      <c r="B4" s="2964" t="s">
        <v>1840</v>
      </c>
      <c r="C4" s="2965"/>
      <c r="D4" s="2965"/>
      <c r="E4" s="2965"/>
      <c r="F4" s="2965"/>
      <c r="G4" s="2965"/>
      <c r="H4" s="2965"/>
      <c r="I4" s="2965"/>
      <c r="J4" s="2965"/>
      <c r="K4" s="2965"/>
      <c r="L4" s="2965"/>
      <c r="M4" s="2966"/>
    </row>
    <row r="5" spans="1:13" x14ac:dyDescent="0.3">
      <c r="B5" s="2967"/>
      <c r="C5" s="2968"/>
      <c r="D5" s="2968"/>
      <c r="E5" s="2968"/>
      <c r="F5" s="2968"/>
      <c r="G5" s="2968"/>
      <c r="H5" s="2968"/>
      <c r="I5" s="2968"/>
      <c r="J5" s="2968"/>
      <c r="K5" s="2968"/>
      <c r="L5" s="2968"/>
      <c r="M5" s="2969"/>
    </row>
    <row r="6" spans="1:13" x14ac:dyDescent="0.3">
      <c r="B6" s="2967"/>
      <c r="C6" s="2968"/>
      <c r="D6" s="2968"/>
      <c r="E6" s="2968"/>
      <c r="F6" s="2968"/>
      <c r="G6" s="2968"/>
      <c r="H6" s="2968"/>
      <c r="I6" s="2968"/>
      <c r="J6" s="2968"/>
      <c r="K6" s="2968"/>
      <c r="L6" s="2968"/>
      <c r="M6" s="2969"/>
    </row>
    <row r="7" spans="1:13" x14ac:dyDescent="0.3">
      <c r="B7" s="2967"/>
      <c r="C7" s="2968"/>
      <c r="D7" s="2968"/>
      <c r="E7" s="2968"/>
      <c r="F7" s="2968"/>
      <c r="G7" s="2968"/>
      <c r="H7" s="2968"/>
      <c r="I7" s="2968"/>
      <c r="J7" s="2968"/>
      <c r="K7" s="2968"/>
      <c r="L7" s="2968"/>
      <c r="M7" s="2969"/>
    </row>
    <row r="8" spans="1:13" x14ac:dyDescent="0.3">
      <c r="B8" s="2967"/>
      <c r="C8" s="2968"/>
      <c r="D8" s="2968"/>
      <c r="E8" s="2968"/>
      <c r="F8" s="2968"/>
      <c r="G8" s="2968"/>
      <c r="H8" s="2968"/>
      <c r="I8" s="2968"/>
      <c r="J8" s="2968"/>
      <c r="K8" s="2968"/>
      <c r="L8" s="2968"/>
      <c r="M8" s="2969"/>
    </row>
    <row r="9" spans="1:13" x14ac:dyDescent="0.3">
      <c r="B9" s="2967"/>
      <c r="C9" s="2968"/>
      <c r="D9" s="2968"/>
      <c r="E9" s="2968"/>
      <c r="F9" s="2968"/>
      <c r="G9" s="2968"/>
      <c r="H9" s="2968"/>
      <c r="I9" s="2968"/>
      <c r="J9" s="2968"/>
      <c r="K9" s="2968"/>
      <c r="L9" s="2968"/>
      <c r="M9" s="2969"/>
    </row>
    <row r="10" spans="1:13" x14ac:dyDescent="0.3">
      <c r="B10" s="2967"/>
      <c r="C10" s="2968"/>
      <c r="D10" s="2968"/>
      <c r="E10" s="2968"/>
      <c r="F10" s="2968"/>
      <c r="G10" s="2968"/>
      <c r="H10" s="2968"/>
      <c r="I10" s="2968"/>
      <c r="J10" s="2968"/>
      <c r="K10" s="2968"/>
      <c r="L10" s="2968"/>
      <c r="M10" s="2969"/>
    </row>
    <row r="11" spans="1:13" x14ac:dyDescent="0.3">
      <c r="B11" s="2967"/>
      <c r="C11" s="2968"/>
      <c r="D11" s="2968"/>
      <c r="E11" s="2968"/>
      <c r="F11" s="2968"/>
      <c r="G11" s="2968"/>
      <c r="H11" s="2968"/>
      <c r="I11" s="2968"/>
      <c r="J11" s="2968"/>
      <c r="K11" s="2968"/>
      <c r="L11" s="2968"/>
      <c r="M11" s="2969"/>
    </row>
    <row r="12" spans="1:13" x14ac:dyDescent="0.3">
      <c r="B12" s="2970"/>
      <c r="C12" s="2971"/>
      <c r="D12" s="2971"/>
      <c r="E12" s="2971"/>
      <c r="F12" s="2971"/>
      <c r="G12" s="2971"/>
      <c r="H12" s="2971"/>
      <c r="I12" s="2971"/>
      <c r="J12" s="2971"/>
      <c r="K12" s="2971"/>
      <c r="L12" s="2971"/>
      <c r="M12" s="2972"/>
    </row>
    <row r="13" spans="1:13" ht="15" customHeight="1" x14ac:dyDescent="0.3">
      <c r="L13" s="2973"/>
      <c r="M13" s="2975" t="s">
        <v>1140</v>
      </c>
    </row>
    <row r="14" spans="1:13" x14ac:dyDescent="0.3">
      <c r="E14" s="1801"/>
      <c r="L14" s="2974"/>
      <c r="M14" s="2976"/>
    </row>
    <row r="15" spans="1:13" x14ac:dyDescent="0.3">
      <c r="B15" s="1802">
        <v>1</v>
      </c>
      <c r="C15" s="1803" t="s">
        <v>1141</v>
      </c>
      <c r="D15" s="1803"/>
      <c r="E15" s="1804"/>
      <c r="F15" s="1805"/>
      <c r="G15" s="1805"/>
      <c r="H15" s="1805"/>
      <c r="I15" s="1805"/>
      <c r="J15" s="1805"/>
      <c r="K15" s="1805"/>
      <c r="L15" s="1806"/>
      <c r="M15" s="1807">
        <v>60</v>
      </c>
    </row>
    <row r="16" spans="1:13" ht="7.5" customHeight="1" x14ac:dyDescent="0.3">
      <c r="C16" s="1802"/>
      <c r="D16" s="1802"/>
      <c r="E16" s="1808"/>
      <c r="F16" s="1802"/>
      <c r="G16" s="1802"/>
      <c r="H16" s="1802"/>
      <c r="I16" s="1802"/>
      <c r="J16" s="1802"/>
      <c r="K16" s="1802"/>
      <c r="L16" s="1809"/>
      <c r="M16" s="1802"/>
    </row>
    <row r="17" spans="3:13" x14ac:dyDescent="0.3">
      <c r="C17" s="1802" t="s">
        <v>1142</v>
      </c>
      <c r="E17" s="1808"/>
      <c r="F17" s="1802"/>
      <c r="G17" s="1802"/>
      <c r="H17" s="1802"/>
      <c r="I17" s="1802"/>
      <c r="J17" s="1802"/>
      <c r="K17" s="1802"/>
      <c r="L17" s="1809"/>
      <c r="M17" s="1802"/>
    </row>
    <row r="18" spans="3:13" x14ac:dyDescent="0.3">
      <c r="C18" s="1802"/>
      <c r="D18" s="1810"/>
      <c r="E18" s="1811" t="s">
        <v>1143</v>
      </c>
      <c r="F18" s="1970"/>
      <c r="G18" s="1970"/>
      <c r="H18" s="2977" t="s">
        <v>1144</v>
      </c>
      <c r="I18" s="2978"/>
      <c r="J18" s="2978"/>
      <c r="K18" s="2978"/>
      <c r="L18" s="2978"/>
      <c r="M18" s="2979"/>
    </row>
    <row r="19" spans="3:13" x14ac:dyDescent="0.3">
      <c r="C19" s="1802"/>
      <c r="D19" s="1810"/>
      <c r="E19" s="1812" t="s">
        <v>1145</v>
      </c>
      <c r="F19" s="1970"/>
      <c r="G19" s="1970"/>
      <c r="H19" s="2977" t="s">
        <v>1146</v>
      </c>
      <c r="I19" s="2978"/>
      <c r="J19" s="2978"/>
      <c r="K19" s="2978"/>
      <c r="L19" s="2978"/>
      <c r="M19" s="2979"/>
    </row>
    <row r="20" spans="3:13" s="1430" customFormat="1" ht="4.5" customHeight="1" x14ac:dyDescent="0.3">
      <c r="E20" s="1813"/>
      <c r="F20" s="1813"/>
      <c r="G20" s="1813"/>
      <c r="H20" s="1813"/>
      <c r="I20" s="1813"/>
      <c r="J20" s="1813"/>
      <c r="K20" s="1813"/>
      <c r="L20" s="1813"/>
      <c r="M20" s="1813"/>
    </row>
    <row r="21" spans="3:13" x14ac:dyDescent="0.3">
      <c r="D21" s="1810"/>
      <c r="E21" s="1799" t="s">
        <v>1147</v>
      </c>
      <c r="H21" s="2977" t="s">
        <v>1257</v>
      </c>
      <c r="I21" s="2978"/>
      <c r="J21" s="2978"/>
      <c r="K21" s="2978"/>
      <c r="L21" s="2978"/>
      <c r="M21" s="2979"/>
    </row>
    <row r="22" spans="3:13" x14ac:dyDescent="0.3">
      <c r="C22" s="1802"/>
      <c r="D22" s="1810"/>
      <c r="E22" s="1812" t="s">
        <v>1145</v>
      </c>
      <c r="F22" s="1970"/>
      <c r="G22" s="1970"/>
      <c r="H22" s="2977" t="s">
        <v>1937</v>
      </c>
      <c r="I22" s="2978"/>
      <c r="J22" s="2978"/>
      <c r="K22" s="2978"/>
      <c r="L22" s="2978"/>
      <c r="M22" s="2979"/>
    </row>
    <row r="23" spans="3:13" x14ac:dyDescent="0.3">
      <c r="D23" s="1810"/>
    </row>
    <row r="24" spans="3:13" x14ac:dyDescent="0.3">
      <c r="E24" s="1814" t="s">
        <v>1149</v>
      </c>
      <c r="F24" s="1815"/>
      <c r="G24" s="1815"/>
      <c r="H24" s="1815"/>
      <c r="I24" s="1815"/>
      <c r="J24" s="1815"/>
      <c r="K24" s="1815"/>
      <c r="L24" s="1815"/>
      <c r="M24" s="1816"/>
    </row>
    <row r="25" spans="3:13" ht="28.5" customHeight="1" x14ac:dyDescent="0.3">
      <c r="E25" s="1817" t="s">
        <v>1150</v>
      </c>
      <c r="F25" s="1969"/>
      <c r="G25" s="1818" t="s">
        <v>1151</v>
      </c>
      <c r="H25" s="1969"/>
      <c r="I25" s="1818" t="s">
        <v>1152</v>
      </c>
      <c r="M25" s="1819"/>
    </row>
    <row r="26" spans="3:13" x14ac:dyDescent="0.3">
      <c r="E26" s="1820">
        <v>0.5</v>
      </c>
      <c r="F26" s="1821" t="s">
        <v>1153</v>
      </c>
      <c r="G26" s="1821" t="s">
        <v>1154</v>
      </c>
      <c r="H26" s="1822" t="s">
        <v>366</v>
      </c>
      <c r="I26" s="1823">
        <v>40</v>
      </c>
      <c r="M26" s="1819"/>
    </row>
    <row r="27" spans="3:13" x14ac:dyDescent="0.3">
      <c r="E27" s="1820">
        <v>0</v>
      </c>
      <c r="F27" s="1821" t="s">
        <v>1153</v>
      </c>
      <c r="G27" s="1821" t="s">
        <v>1155</v>
      </c>
      <c r="H27" s="1822" t="s">
        <v>366</v>
      </c>
      <c r="I27" s="1823">
        <v>0</v>
      </c>
      <c r="M27" s="1819"/>
    </row>
    <row r="28" spans="3:13" x14ac:dyDescent="0.3">
      <c r="E28" s="1824">
        <v>0.5</v>
      </c>
      <c r="F28" s="1825" t="s">
        <v>1153</v>
      </c>
      <c r="G28" s="1821" t="s">
        <v>1156</v>
      </c>
      <c r="H28" s="1822" t="s">
        <v>366</v>
      </c>
      <c r="I28" s="1823">
        <v>39</v>
      </c>
      <c r="M28" s="1819"/>
    </row>
    <row r="29" spans="3:13" x14ac:dyDescent="0.3">
      <c r="E29" s="1820">
        <v>0</v>
      </c>
      <c r="F29" s="1821" t="s">
        <v>1153</v>
      </c>
      <c r="G29" s="1821" t="s">
        <v>1157</v>
      </c>
      <c r="H29" s="1822" t="s">
        <v>366</v>
      </c>
      <c r="I29" s="1823">
        <v>0</v>
      </c>
      <c r="M29" s="1819"/>
    </row>
    <row r="30" spans="3:13" x14ac:dyDescent="0.3">
      <c r="E30" s="1826"/>
      <c r="F30" s="1804"/>
      <c r="G30" s="1804"/>
      <c r="H30" s="1804"/>
      <c r="I30" s="1827">
        <f>SUM(I26:I29)</f>
        <v>79</v>
      </c>
      <c r="J30" s="1803" t="s">
        <v>1158</v>
      </c>
      <c r="K30" s="1804"/>
      <c r="L30" s="1804"/>
      <c r="M30" s="1828"/>
    </row>
    <row r="31" spans="3:13" x14ac:dyDescent="0.3">
      <c r="I31" s="1829"/>
      <c r="J31" s="1808"/>
    </row>
    <row r="32" spans="3:13" x14ac:dyDescent="0.3">
      <c r="I32" s="1829"/>
      <c r="J32" s="1808"/>
    </row>
    <row r="33" spans="2:14" x14ac:dyDescent="0.3">
      <c r="B33" s="1802">
        <v>2</v>
      </c>
      <c r="C33" s="1803" t="s">
        <v>1159</v>
      </c>
      <c r="D33" s="1803"/>
      <c r="E33" s="1804"/>
      <c r="F33" s="1805"/>
      <c r="G33" s="1805"/>
      <c r="H33" s="1805"/>
      <c r="I33" s="1805"/>
      <c r="J33" s="1805"/>
      <c r="K33" s="1805"/>
      <c r="L33" s="1806"/>
      <c r="M33" s="1807">
        <v>44</v>
      </c>
    </row>
    <row r="34" spans="2:14" ht="7.5" customHeight="1" x14ac:dyDescent="0.3">
      <c r="C34" s="1802"/>
      <c r="D34" s="1802"/>
      <c r="E34" s="1808"/>
      <c r="F34" s="1802"/>
      <c r="G34" s="1802"/>
      <c r="H34" s="1802"/>
      <c r="I34" s="1802"/>
      <c r="J34" s="1802"/>
      <c r="K34" s="1802"/>
      <c r="L34" s="1830"/>
      <c r="M34" s="1809"/>
    </row>
    <row r="35" spans="2:14" x14ac:dyDescent="0.3">
      <c r="C35" s="1808" t="s">
        <v>1160</v>
      </c>
      <c r="D35" s="1808"/>
    </row>
    <row r="36" spans="2:14" ht="4.5" customHeight="1" x14ac:dyDescent="0.3">
      <c r="C36" s="1808"/>
      <c r="D36" s="1808"/>
    </row>
    <row r="37" spans="2:14" x14ac:dyDescent="0.3">
      <c r="E37" s="2980" t="s">
        <v>1342</v>
      </c>
      <c r="F37" s="2981"/>
      <c r="G37" s="1809"/>
      <c r="H37" s="1801"/>
      <c r="I37" s="1831"/>
      <c r="J37" s="1822"/>
    </row>
    <row r="38" spans="2:14" x14ac:dyDescent="0.3">
      <c r="E38" s="1832"/>
      <c r="F38" s="1832"/>
      <c r="G38" s="1809"/>
      <c r="H38" s="1801"/>
      <c r="I38" s="1831"/>
      <c r="J38" s="1822"/>
    </row>
    <row r="40" spans="2:14" x14ac:dyDescent="0.3">
      <c r="B40" s="1802">
        <v>3</v>
      </c>
      <c r="C40" s="1803" t="s">
        <v>1162</v>
      </c>
      <c r="D40" s="1803"/>
      <c r="E40" s="1804"/>
      <c r="F40" s="1805"/>
      <c r="G40" s="1805"/>
      <c r="H40" s="1805"/>
      <c r="I40" s="1805"/>
      <c r="J40" s="1805"/>
      <c r="K40" s="1805"/>
      <c r="L40" s="1806"/>
      <c r="M40" s="1807">
        <v>20</v>
      </c>
    </row>
    <row r="41" spans="2:14" ht="7.5" customHeight="1" x14ac:dyDescent="0.3">
      <c r="C41" s="1802"/>
      <c r="D41" s="1802"/>
      <c r="E41" s="1808"/>
      <c r="F41" s="1802"/>
      <c r="G41" s="1802"/>
      <c r="H41" s="1802"/>
      <c r="I41" s="1802"/>
      <c r="J41" s="1802"/>
      <c r="K41" s="1802"/>
      <c r="L41" s="1802"/>
      <c r="M41" s="1802"/>
    </row>
    <row r="42" spans="2:14" ht="15" customHeight="1" x14ac:dyDescent="0.3">
      <c r="C42" s="2982" t="s">
        <v>1163</v>
      </c>
      <c r="D42" s="2982"/>
      <c r="E42" s="2982"/>
      <c r="F42" s="2982"/>
      <c r="G42" s="2982"/>
      <c r="H42" s="2982"/>
      <c r="I42" s="2982"/>
      <c r="J42" s="2982"/>
      <c r="K42" s="2982"/>
      <c r="L42" s="2982"/>
      <c r="M42" s="2982"/>
      <c r="N42" s="1969"/>
    </row>
    <row r="43" spans="2:14" ht="4.5" customHeight="1" x14ac:dyDescent="0.3">
      <c r="E43" s="1969"/>
      <c r="F43" s="1969"/>
      <c r="G43" s="1969"/>
      <c r="H43" s="1969"/>
      <c r="I43" s="1808" t="s">
        <v>306</v>
      </c>
      <c r="J43" s="1969"/>
      <c r="K43" s="1969"/>
      <c r="L43" s="1969"/>
      <c r="M43" s="1969"/>
      <c r="N43" s="1969"/>
    </row>
    <row r="44" spans="2:14" ht="16.2" customHeight="1" x14ac:dyDescent="0.3">
      <c r="C44" s="1808" t="s">
        <v>1735</v>
      </c>
      <c r="D44" s="1808"/>
      <c r="F44" s="1801"/>
      <c r="G44" s="1801"/>
      <c r="H44" s="1801"/>
      <c r="I44" s="1801"/>
      <c r="J44" s="1801"/>
    </row>
    <row r="45" spans="2:14" ht="16.2" customHeight="1" x14ac:dyDescent="0.3">
      <c r="E45" s="2983" t="s">
        <v>1161</v>
      </c>
      <c r="F45" s="2984"/>
      <c r="G45" s="2984"/>
      <c r="H45" s="2984"/>
      <c r="I45" s="2984"/>
      <c r="J45" s="2984"/>
      <c r="K45" s="2984"/>
      <c r="L45" s="2984"/>
      <c r="M45" s="2985"/>
    </row>
    <row r="46" spans="2:14" ht="5.25" customHeight="1" x14ac:dyDescent="0.3">
      <c r="E46" s="1832"/>
      <c r="F46" s="1832"/>
      <c r="G46" s="1832"/>
      <c r="H46" s="1832"/>
      <c r="I46" s="1832"/>
      <c r="J46" s="1832"/>
      <c r="K46" s="1832"/>
      <c r="L46" s="1832"/>
      <c r="M46" s="1832"/>
    </row>
    <row r="47" spans="2:14" ht="16.2" customHeight="1" x14ac:dyDescent="0.3">
      <c r="F47" s="1832" t="s">
        <v>1164</v>
      </c>
      <c r="G47" s="1832"/>
      <c r="H47" s="1832"/>
      <c r="J47" s="1832"/>
      <c r="K47" s="1832"/>
      <c r="L47" s="1833">
        <v>0</v>
      </c>
      <c r="M47" s="1832" t="s">
        <v>1165</v>
      </c>
    </row>
    <row r="48" spans="2:14" ht="16.2" customHeight="1" x14ac:dyDescent="0.3">
      <c r="F48" s="1832" t="s">
        <v>1736</v>
      </c>
      <c r="G48" s="1832"/>
      <c r="H48" s="1832"/>
      <c r="J48" s="1832"/>
      <c r="K48" s="1832"/>
      <c r="L48" s="1833">
        <v>0</v>
      </c>
      <c r="M48" s="1832" t="s">
        <v>1165</v>
      </c>
    </row>
    <row r="49" spans="2:13" ht="16.2" customHeight="1" x14ac:dyDescent="0.3">
      <c r="E49" s="1832"/>
      <c r="F49" s="1832"/>
      <c r="G49" s="1832"/>
      <c r="H49" s="1832"/>
      <c r="I49" s="1832"/>
      <c r="J49" s="1832"/>
      <c r="K49" s="1832"/>
      <c r="L49" s="1832"/>
      <c r="M49" s="1832"/>
    </row>
    <row r="50" spans="2:13" ht="16.2" customHeight="1" x14ac:dyDescent="0.3">
      <c r="C50" s="1808" t="s">
        <v>1166</v>
      </c>
      <c r="D50" s="1808"/>
      <c r="F50" s="1801"/>
      <c r="G50" s="1801"/>
      <c r="H50" s="1801"/>
      <c r="I50" s="1801"/>
      <c r="J50" s="1801"/>
    </row>
    <row r="51" spans="2:13" ht="16.2" customHeight="1" x14ac:dyDescent="0.3">
      <c r="E51" s="2980" t="s">
        <v>1345</v>
      </c>
      <c r="F51" s="2986"/>
      <c r="G51" s="2986"/>
      <c r="H51" s="2986"/>
      <c r="I51" s="2986"/>
      <c r="J51" s="2986"/>
      <c r="K51" s="2986"/>
      <c r="L51" s="2986"/>
      <c r="M51" s="2981"/>
    </row>
    <row r="52" spans="2:13" ht="4.5" customHeight="1" x14ac:dyDescent="0.3">
      <c r="E52" s="1834"/>
      <c r="F52" s="1835"/>
      <c r="G52" s="1835"/>
      <c r="H52" s="1835"/>
      <c r="I52" s="1835"/>
      <c r="J52" s="1835"/>
      <c r="K52" s="1834"/>
      <c r="L52" s="1834"/>
      <c r="M52" s="1834"/>
    </row>
    <row r="53" spans="2:13" ht="16.2" customHeight="1" x14ac:dyDescent="0.3">
      <c r="E53" s="2980" t="s">
        <v>1347</v>
      </c>
      <c r="F53" s="2986"/>
      <c r="G53" s="2986"/>
      <c r="H53" s="2986"/>
      <c r="I53" s="2986"/>
      <c r="J53" s="2986"/>
      <c r="K53" s="2986"/>
      <c r="L53" s="2986"/>
      <c r="M53" s="2981"/>
    </row>
    <row r="54" spans="2:13" ht="7.95" customHeight="1" x14ac:dyDescent="0.3">
      <c r="E54" s="1832"/>
      <c r="F54" s="1832"/>
      <c r="G54" s="1832"/>
      <c r="H54" s="1832"/>
      <c r="I54" s="1832"/>
      <c r="J54" s="1832"/>
      <c r="K54" s="1832"/>
      <c r="L54" s="1832"/>
      <c r="M54" s="1832"/>
    </row>
    <row r="55" spans="2:13" ht="16.2" customHeight="1" x14ac:dyDescent="0.3">
      <c r="E55" s="1832"/>
      <c r="F55" s="1832" t="s">
        <v>1737</v>
      </c>
      <c r="G55" s="1832"/>
      <c r="H55" s="1832"/>
      <c r="I55" s="1832"/>
      <c r="J55" s="1832"/>
      <c r="K55" s="1832"/>
      <c r="L55" s="1833">
        <v>0</v>
      </c>
      <c r="M55" s="1832" t="s">
        <v>1165</v>
      </c>
    </row>
    <row r="56" spans="2:13" ht="16.2" customHeight="1" x14ac:dyDescent="0.3">
      <c r="E56" s="1832"/>
      <c r="F56" s="1832" t="s">
        <v>1167</v>
      </c>
      <c r="G56" s="1832"/>
      <c r="H56" s="1832"/>
      <c r="I56" s="1832"/>
      <c r="J56" s="1832"/>
      <c r="K56" s="1832"/>
      <c r="L56" s="1833">
        <v>0</v>
      </c>
      <c r="M56" s="1832" t="s">
        <v>1165</v>
      </c>
    </row>
    <row r="57" spans="2:13" ht="16.2" customHeight="1" x14ac:dyDescent="0.3">
      <c r="E57" s="1832"/>
      <c r="F57" s="1811" t="s">
        <v>1168</v>
      </c>
      <c r="H57" s="1811"/>
      <c r="I57" s="1811"/>
      <c r="J57" s="1811"/>
      <c r="K57" s="1811"/>
      <c r="L57" s="1833">
        <v>16</v>
      </c>
      <c r="M57" s="1832" t="s">
        <v>1165</v>
      </c>
    </row>
    <row r="58" spans="2:13" ht="16.2" customHeight="1" x14ac:dyDescent="0.3">
      <c r="E58" s="1832"/>
      <c r="F58" s="1832" t="s">
        <v>1169</v>
      </c>
      <c r="H58" s="1832"/>
      <c r="I58" s="1832"/>
      <c r="J58" s="1832"/>
      <c r="K58" s="1832"/>
      <c r="L58" s="1833">
        <v>0</v>
      </c>
      <c r="M58" s="1832" t="s">
        <v>1165</v>
      </c>
    </row>
    <row r="59" spans="2:13" ht="16.2" customHeight="1" x14ac:dyDescent="0.3">
      <c r="E59" s="1832"/>
      <c r="F59" s="1832" t="s">
        <v>1170</v>
      </c>
      <c r="H59" s="1832"/>
      <c r="I59" s="1832"/>
      <c r="J59" s="1832"/>
      <c r="K59" s="1832"/>
      <c r="L59" s="1833">
        <v>0</v>
      </c>
      <c r="M59" s="1832" t="s">
        <v>1165</v>
      </c>
    </row>
    <row r="60" spans="2:13" ht="16.2" customHeight="1" x14ac:dyDescent="0.3">
      <c r="E60" s="1832"/>
      <c r="F60" s="1832" t="s">
        <v>1171</v>
      </c>
      <c r="H60" s="1832"/>
      <c r="I60" s="1832"/>
      <c r="J60" s="1832"/>
      <c r="K60" s="1832"/>
      <c r="L60" s="1833">
        <v>16</v>
      </c>
      <c r="M60" s="1832" t="s">
        <v>1165</v>
      </c>
    </row>
    <row r="61" spans="2:13" ht="16.2" customHeight="1" x14ac:dyDescent="0.3">
      <c r="E61" s="1832"/>
      <c r="F61" s="1832"/>
      <c r="H61" s="1832"/>
      <c r="I61" s="1832"/>
      <c r="J61" s="1832"/>
      <c r="K61" s="1832"/>
      <c r="L61" s="1836"/>
      <c r="M61" s="1832"/>
    </row>
    <row r="62" spans="2:13" ht="16.2" customHeight="1" x14ac:dyDescent="0.3">
      <c r="E62" s="1832"/>
      <c r="F62" s="1832"/>
      <c r="H62" s="1832"/>
      <c r="I62" s="1832"/>
      <c r="J62" s="1832"/>
      <c r="K62" s="1832"/>
      <c r="L62" s="1836"/>
      <c r="M62" s="1832"/>
    </row>
    <row r="63" spans="2:13" x14ac:dyDescent="0.3">
      <c r="B63" s="1802">
        <v>4</v>
      </c>
      <c r="C63" s="1803" t="s">
        <v>1172</v>
      </c>
      <c r="D63" s="1803"/>
      <c r="E63" s="1804"/>
      <c r="F63" s="1805"/>
      <c r="G63" s="1805"/>
      <c r="H63" s="1805"/>
      <c r="I63" s="1805"/>
      <c r="J63" s="1805"/>
      <c r="K63" s="1805"/>
      <c r="L63" s="1806"/>
      <c r="M63" s="1807">
        <v>5</v>
      </c>
    </row>
    <row r="64" spans="2:13" ht="7.5" customHeight="1" x14ac:dyDescent="0.3">
      <c r="C64" s="1802"/>
      <c r="D64" s="1802"/>
      <c r="E64" s="1808"/>
      <c r="F64" s="1802"/>
      <c r="G64" s="1802"/>
      <c r="H64" s="1802"/>
      <c r="I64" s="1802"/>
      <c r="J64" s="1802"/>
      <c r="K64" s="1802"/>
      <c r="L64" s="1830"/>
      <c r="M64" s="1809"/>
    </row>
    <row r="65" spans="3:13" ht="29.25" customHeight="1" x14ac:dyDescent="0.3">
      <c r="C65" s="2982" t="s">
        <v>1173</v>
      </c>
      <c r="D65" s="2982"/>
      <c r="E65" s="2982"/>
      <c r="F65" s="2982"/>
      <c r="G65" s="2982"/>
      <c r="H65" s="2982"/>
      <c r="I65" s="2982"/>
      <c r="J65" s="2982"/>
      <c r="K65" s="2982"/>
      <c r="L65" s="2982"/>
      <c r="M65" s="2982"/>
    </row>
    <row r="66" spans="3:13" ht="4.5" customHeight="1" x14ac:dyDescent="0.3">
      <c r="C66" s="1808"/>
      <c r="D66" s="1808"/>
    </row>
    <row r="67" spans="3:13" x14ac:dyDescent="0.3">
      <c r="E67" s="1799" t="s">
        <v>1174</v>
      </c>
      <c r="G67" s="2987" t="s">
        <v>1351</v>
      </c>
      <c r="H67" s="2988"/>
      <c r="I67" s="2988"/>
      <c r="J67" s="2988"/>
      <c r="K67" s="2988"/>
      <c r="L67" s="2989"/>
    </row>
    <row r="68" spans="3:13" s="1430" customFormat="1" ht="4.5" customHeight="1" x14ac:dyDescent="0.3"/>
    <row r="69" spans="3:13" x14ac:dyDescent="0.3">
      <c r="E69" s="1799" t="s">
        <v>1176</v>
      </c>
      <c r="G69" s="2980" t="s">
        <v>1939</v>
      </c>
      <c r="H69" s="2986"/>
      <c r="I69" s="2986"/>
      <c r="J69" s="2986"/>
      <c r="K69" s="2986"/>
      <c r="L69" s="2981"/>
    </row>
    <row r="70" spans="3:13" x14ac:dyDescent="0.3">
      <c r="E70" s="1799" t="s">
        <v>1177</v>
      </c>
      <c r="G70" s="2980"/>
      <c r="H70" s="2986"/>
      <c r="I70" s="2986"/>
      <c r="J70" s="2986"/>
      <c r="K70" s="2986"/>
      <c r="L70" s="2981"/>
    </row>
    <row r="71" spans="3:13" x14ac:dyDescent="0.3">
      <c r="E71" s="1799" t="s">
        <v>1178</v>
      </c>
      <c r="G71" s="2980"/>
      <c r="H71" s="2986"/>
      <c r="I71" s="2986"/>
      <c r="J71" s="2986"/>
      <c r="K71" s="2986"/>
      <c r="L71" s="2981"/>
    </row>
    <row r="72" spans="3:13" x14ac:dyDescent="0.3">
      <c r="E72" s="1799" t="s">
        <v>1179</v>
      </c>
      <c r="G72" s="2990">
        <v>2235000</v>
      </c>
      <c r="H72" s="2991"/>
      <c r="I72" s="2991"/>
      <c r="J72" s="2991"/>
      <c r="K72" s="2991"/>
      <c r="L72" s="2992"/>
    </row>
    <row r="73" spans="3:13" ht="4.5" customHeight="1" x14ac:dyDescent="0.3"/>
    <row r="74" spans="3:13" x14ac:dyDescent="0.3">
      <c r="E74" s="1799" t="s">
        <v>1180</v>
      </c>
      <c r="G74" s="2980" t="s">
        <v>1902</v>
      </c>
      <c r="H74" s="2986"/>
      <c r="I74" s="2986"/>
      <c r="J74" s="2986"/>
      <c r="K74" s="2986"/>
      <c r="L74" s="2981"/>
    </row>
    <row r="75" spans="3:13" x14ac:dyDescent="0.3">
      <c r="E75" s="1799" t="s">
        <v>1177</v>
      </c>
      <c r="G75" s="2980"/>
      <c r="H75" s="2986"/>
      <c r="I75" s="2986"/>
      <c r="J75" s="2986"/>
      <c r="K75" s="2986"/>
      <c r="L75" s="2981"/>
    </row>
    <row r="76" spans="3:13" x14ac:dyDescent="0.3">
      <c r="E76" s="1799" t="s">
        <v>1178</v>
      </c>
      <c r="G76" s="2980"/>
      <c r="H76" s="2986"/>
      <c r="I76" s="2986"/>
      <c r="J76" s="2986"/>
      <c r="K76" s="2986"/>
      <c r="L76" s="2981"/>
    </row>
    <row r="77" spans="3:13" x14ac:dyDescent="0.3">
      <c r="E77" s="1799" t="s">
        <v>1179</v>
      </c>
      <c r="G77" s="2990">
        <v>3000000</v>
      </c>
      <c r="H77" s="2991"/>
      <c r="I77" s="2991"/>
      <c r="J77" s="2991"/>
      <c r="K77" s="2991"/>
      <c r="L77" s="2992"/>
    </row>
    <row r="78" spans="3:13" x14ac:dyDescent="0.3">
      <c r="G78" s="1832"/>
      <c r="H78" s="1832"/>
      <c r="I78" s="1832"/>
      <c r="J78" s="1832"/>
      <c r="K78" s="1832"/>
      <c r="L78" s="1832"/>
    </row>
    <row r="79" spans="3:13" x14ac:dyDescent="0.3">
      <c r="E79" s="1799" t="s">
        <v>1181</v>
      </c>
      <c r="G79" s="1832"/>
      <c r="H79" s="1832"/>
      <c r="I79" s="1832"/>
      <c r="J79" s="1832"/>
      <c r="K79" s="1837">
        <f>G72+G77</f>
        <v>5235000</v>
      </c>
      <c r="L79" s="1832"/>
    </row>
    <row r="80" spans="3:13" x14ac:dyDescent="0.3">
      <c r="E80" s="1838" t="s">
        <v>1182</v>
      </c>
      <c r="G80" s="1832"/>
      <c r="H80" s="1832"/>
      <c r="I80" s="1832"/>
      <c r="J80" s="1832"/>
      <c r="K80" s="1832"/>
      <c r="L80" s="1832"/>
    </row>
    <row r="81" spans="2:13" x14ac:dyDescent="0.3">
      <c r="E81" s="1838"/>
      <c r="G81" s="1832"/>
      <c r="H81" s="1832"/>
      <c r="I81" s="1832"/>
      <c r="J81" s="1832"/>
      <c r="K81" s="1832"/>
      <c r="L81" s="1832"/>
    </row>
    <row r="82" spans="2:13" x14ac:dyDescent="0.3">
      <c r="G82" s="1832"/>
      <c r="H82" s="1832"/>
      <c r="I82" s="1832"/>
      <c r="J82" s="1832"/>
      <c r="K82" s="1832"/>
      <c r="L82" s="1832"/>
    </row>
    <row r="83" spans="2:13" x14ac:dyDescent="0.3">
      <c r="B83" s="1802">
        <v>5</v>
      </c>
      <c r="C83" s="1803" t="s">
        <v>1183</v>
      </c>
      <c r="D83" s="1803"/>
      <c r="E83" s="1804"/>
      <c r="F83" s="1805"/>
      <c r="G83" s="1805"/>
      <c r="H83" s="1805"/>
      <c r="I83" s="1805"/>
      <c r="J83" s="1805"/>
      <c r="K83" s="1805"/>
      <c r="L83" s="1806"/>
      <c r="M83" s="1807">
        <v>0</v>
      </c>
    </row>
    <row r="84" spans="2:13" ht="7.5" customHeight="1" x14ac:dyDescent="0.3">
      <c r="C84" s="1802"/>
      <c r="D84" s="1802"/>
      <c r="E84" s="1808"/>
      <c r="F84" s="1802"/>
      <c r="G84" s="1802"/>
      <c r="H84" s="1802"/>
      <c r="I84" s="1802"/>
      <c r="J84" s="1802"/>
      <c r="K84" s="1802"/>
      <c r="L84" s="1830"/>
      <c r="M84" s="1809"/>
    </row>
    <row r="85" spans="2:13" x14ac:dyDescent="0.3">
      <c r="C85" s="2982" t="s">
        <v>1184</v>
      </c>
      <c r="D85" s="2982"/>
      <c r="E85" s="2982"/>
      <c r="F85" s="2982"/>
      <c r="G85" s="2982"/>
      <c r="H85" s="2982"/>
      <c r="I85" s="2982"/>
      <c r="J85" s="2982"/>
      <c r="K85" s="2982"/>
      <c r="L85" s="2982"/>
      <c r="M85" s="2982"/>
    </row>
    <row r="86" spans="2:13" ht="6.75" customHeight="1" x14ac:dyDescent="0.3">
      <c r="C86" s="1808"/>
      <c r="D86" s="1808"/>
    </row>
    <row r="87" spans="2:13" x14ac:dyDescent="0.3">
      <c r="D87" s="1838" t="s">
        <v>1185</v>
      </c>
    </row>
    <row r="88" spans="2:13" x14ac:dyDescent="0.3">
      <c r="E88" s="1799" t="s">
        <v>1177</v>
      </c>
      <c r="H88" s="2993" t="s">
        <v>1146</v>
      </c>
      <c r="I88" s="2994"/>
      <c r="J88" s="2994"/>
      <c r="K88" s="2994"/>
      <c r="L88" s="2995"/>
    </row>
    <row r="89" spans="2:13" x14ac:dyDescent="0.3">
      <c r="E89" s="1799" t="s">
        <v>1179</v>
      </c>
      <c r="H89" s="1839"/>
      <c r="K89" s="2996">
        <v>0</v>
      </c>
      <c r="L89" s="2997"/>
    </row>
    <row r="90" spans="2:13" x14ac:dyDescent="0.3">
      <c r="E90" s="1834" t="s">
        <v>1738</v>
      </c>
      <c r="G90" s="1840"/>
      <c r="H90" s="1839"/>
      <c r="J90" s="1986"/>
      <c r="K90" s="2996">
        <v>0</v>
      </c>
      <c r="L90" s="2997"/>
    </row>
    <row r="91" spans="2:13" x14ac:dyDescent="0.3">
      <c r="E91" s="1799" t="s">
        <v>1186</v>
      </c>
      <c r="G91" s="1840"/>
      <c r="H91" s="1839"/>
      <c r="J91" s="1987"/>
      <c r="L91" s="1988" t="str">
        <f>IFERROR((K89/K90),"")</f>
        <v/>
      </c>
    </row>
    <row r="92" spans="2:13" ht="15" customHeight="1" x14ac:dyDescent="0.3"/>
    <row r="93" spans="2:13" x14ac:dyDescent="0.3">
      <c r="B93" s="1802">
        <v>6</v>
      </c>
      <c r="C93" s="1803" t="s">
        <v>1187</v>
      </c>
      <c r="D93" s="1803"/>
      <c r="E93" s="1804"/>
      <c r="F93" s="1805"/>
      <c r="G93" s="1805"/>
      <c r="H93" s="1805"/>
      <c r="I93" s="1805"/>
      <c r="J93" s="1805"/>
      <c r="K93" s="1805"/>
      <c r="L93" s="1806"/>
      <c r="M93" s="1807">
        <v>2</v>
      </c>
    </row>
    <row r="94" spans="2:13" ht="7.5" customHeight="1" x14ac:dyDescent="0.3">
      <c r="C94" s="1802"/>
      <c r="D94" s="1802"/>
      <c r="E94" s="1808"/>
      <c r="F94" s="1802"/>
      <c r="G94" s="1802"/>
      <c r="H94" s="1802"/>
      <c r="I94" s="1802"/>
      <c r="J94" s="1802"/>
      <c r="K94" s="1802"/>
      <c r="L94" s="1830"/>
      <c r="M94" s="1809"/>
    </row>
    <row r="95" spans="2:13" ht="26.25" customHeight="1" x14ac:dyDescent="0.3">
      <c r="C95" s="2982" t="s">
        <v>1188</v>
      </c>
      <c r="D95" s="2982"/>
      <c r="E95" s="2982"/>
      <c r="F95" s="2982"/>
      <c r="G95" s="2982"/>
      <c r="H95" s="2982"/>
      <c r="I95" s="2982"/>
      <c r="J95" s="2982"/>
      <c r="K95" s="2982"/>
      <c r="L95" s="2982"/>
      <c r="M95" s="2982"/>
    </row>
    <row r="96" spans="2:13" ht="6.75" customHeight="1" x14ac:dyDescent="0.3">
      <c r="C96" s="1808"/>
      <c r="D96" s="1808"/>
    </row>
    <row r="97" spans="2:13" x14ac:dyDescent="0.3">
      <c r="E97" s="1799" t="s">
        <v>1189</v>
      </c>
      <c r="H97" s="2998" t="s">
        <v>1379</v>
      </c>
      <c r="I97" s="2999"/>
      <c r="J97" s="2999"/>
      <c r="K97" s="2999"/>
      <c r="L97" s="3000"/>
    </row>
    <row r="98" spans="2:13" x14ac:dyDescent="0.3">
      <c r="E98" s="1799" t="s">
        <v>1190</v>
      </c>
      <c r="H98" s="1839"/>
      <c r="K98" s="3001">
        <v>3000000</v>
      </c>
      <c r="L98" s="3002"/>
    </row>
    <row r="99" spans="2:13" x14ac:dyDescent="0.3">
      <c r="H99" s="1839"/>
      <c r="J99" s="1839"/>
      <c r="K99" s="1841"/>
    </row>
    <row r="100" spans="2:13" x14ac:dyDescent="0.3">
      <c r="B100" s="1802">
        <v>7</v>
      </c>
      <c r="C100" s="1803" t="s">
        <v>1191</v>
      </c>
      <c r="D100" s="1803"/>
      <c r="E100" s="1804"/>
      <c r="F100" s="1805"/>
      <c r="G100" s="1805"/>
      <c r="H100" s="1805"/>
      <c r="I100" s="1805"/>
      <c r="J100" s="1805"/>
      <c r="K100" s="1805"/>
      <c r="L100" s="1806"/>
      <c r="M100" s="1807">
        <v>0</v>
      </c>
    </row>
    <row r="101" spans="2:13" ht="7.5" customHeight="1" x14ac:dyDescent="0.3">
      <c r="C101" s="1802"/>
      <c r="D101" s="1802"/>
      <c r="E101" s="1808"/>
      <c r="F101" s="1802"/>
      <c r="G101" s="1802"/>
      <c r="H101" s="1802"/>
      <c r="I101" s="1802"/>
      <c r="J101" s="1802"/>
      <c r="K101" s="1802"/>
      <c r="L101" s="1830"/>
      <c r="M101" s="1809"/>
    </row>
    <row r="102" spans="2:13" x14ac:dyDescent="0.3">
      <c r="D102" s="1838" t="s">
        <v>1192</v>
      </c>
    </row>
    <row r="103" spans="2:13" ht="6.75" customHeight="1" x14ac:dyDescent="0.3">
      <c r="C103" s="1808"/>
      <c r="D103" s="1808"/>
    </row>
    <row r="104" spans="2:13" x14ac:dyDescent="0.3">
      <c r="E104" s="1799" t="s">
        <v>1193</v>
      </c>
      <c r="I104" s="3003" t="s">
        <v>1194</v>
      </c>
      <c r="J104" s="3004"/>
      <c r="K104" s="3004"/>
      <c r="L104" s="3005"/>
    </row>
    <row r="105" spans="2:13" x14ac:dyDescent="0.3">
      <c r="E105" s="1799" t="s">
        <v>1195</v>
      </c>
      <c r="H105" s="1839"/>
      <c r="I105" s="3006" t="s">
        <v>1196</v>
      </c>
      <c r="J105" s="3007"/>
      <c r="K105" s="3007"/>
      <c r="L105" s="3008"/>
    </row>
    <row r="106" spans="2:13" x14ac:dyDescent="0.3">
      <c r="E106" s="1799" t="s">
        <v>1739</v>
      </c>
      <c r="H106" s="1839"/>
      <c r="I106" s="3006" t="s">
        <v>1740</v>
      </c>
      <c r="J106" s="3007"/>
      <c r="K106" s="3007"/>
      <c r="L106" s="3008"/>
    </row>
    <row r="107" spans="2:13" x14ac:dyDescent="0.3">
      <c r="G107" s="1840"/>
      <c r="H107" s="1839"/>
      <c r="I107" s="1842"/>
      <c r="J107" s="1842"/>
      <c r="K107" s="1843"/>
      <c r="L107" s="1843"/>
    </row>
    <row r="108" spans="2:13" x14ac:dyDescent="0.3">
      <c r="B108" s="1802">
        <v>8</v>
      </c>
      <c r="C108" s="1803" t="s">
        <v>1197</v>
      </c>
      <c r="D108" s="1803"/>
      <c r="E108" s="1804"/>
      <c r="F108" s="1805"/>
      <c r="G108" s="1805"/>
      <c r="H108" s="1805"/>
      <c r="I108" s="1805"/>
      <c r="J108" s="1805"/>
      <c r="K108" s="1805"/>
      <c r="L108" s="1806"/>
      <c r="M108" s="1807">
        <v>10</v>
      </c>
    </row>
    <row r="109" spans="2:13" ht="7.5" customHeight="1" x14ac:dyDescent="0.3">
      <c r="C109" s="1802"/>
      <c r="D109" s="1802"/>
      <c r="F109" s="1802"/>
      <c r="G109" s="1802"/>
      <c r="H109" s="1802"/>
      <c r="I109" s="1802"/>
      <c r="J109" s="1802"/>
      <c r="K109" s="1802"/>
      <c r="L109" s="1830"/>
      <c r="M109" s="1809"/>
    </row>
    <row r="110" spans="2:13" x14ac:dyDescent="0.3">
      <c r="C110" s="1808" t="s">
        <v>1198</v>
      </c>
      <c r="D110" s="1808"/>
    </row>
    <row r="111" spans="2:13" ht="4.5" customHeight="1" x14ac:dyDescent="0.3">
      <c r="C111" s="1808"/>
      <c r="D111" s="1808"/>
    </row>
    <row r="112" spans="2:13" x14ac:dyDescent="0.3">
      <c r="E112" s="3009" t="s">
        <v>1382</v>
      </c>
      <c r="F112" s="3010"/>
    </row>
    <row r="113" spans="2:13" s="1844" customFormat="1" x14ac:dyDescent="0.3">
      <c r="E113" s="1845"/>
      <c r="F113" s="1845"/>
    </row>
    <row r="115" spans="2:13" x14ac:dyDescent="0.3">
      <c r="B115" s="1802">
        <v>9</v>
      </c>
      <c r="C115" s="1803" t="s">
        <v>1741</v>
      </c>
      <c r="D115" s="1803"/>
      <c r="E115" s="1804"/>
      <c r="F115" s="1805"/>
      <c r="G115" s="1805"/>
      <c r="H115" s="1805"/>
      <c r="I115" s="1805"/>
      <c r="J115" s="1805"/>
      <c r="K115" s="1805"/>
      <c r="L115" s="1806"/>
      <c r="M115" s="1807">
        <v>0</v>
      </c>
    </row>
    <row r="116" spans="2:13" ht="7.5" customHeight="1" x14ac:dyDescent="0.3"/>
    <row r="117" spans="2:13" ht="27.75" customHeight="1" x14ac:dyDescent="0.3">
      <c r="C117" s="2982" t="s">
        <v>1200</v>
      </c>
      <c r="D117" s="2982"/>
      <c r="E117" s="2982"/>
      <c r="F117" s="2982"/>
      <c r="G117" s="2982"/>
      <c r="H117" s="2982"/>
      <c r="I117" s="2982"/>
      <c r="J117" s="2982"/>
      <c r="K117" s="2982"/>
      <c r="L117" s="2982"/>
      <c r="M117" s="2982"/>
    </row>
    <row r="118" spans="2:13" ht="4.5" customHeight="1" x14ac:dyDescent="0.3">
      <c r="C118" s="1808"/>
      <c r="D118" s="1808"/>
      <c r="E118" s="1808"/>
      <c r="F118" s="1808"/>
      <c r="G118" s="1808"/>
      <c r="H118" s="1808"/>
      <c r="I118" s="1808"/>
      <c r="J118" s="1808"/>
      <c r="K118" s="1808"/>
      <c r="L118" s="1808"/>
      <c r="M118" s="1808"/>
    </row>
    <row r="119" spans="2:13" x14ac:dyDescent="0.3">
      <c r="D119" s="1838" t="s">
        <v>1201</v>
      </c>
    </row>
    <row r="120" spans="2:13" x14ac:dyDescent="0.3">
      <c r="D120" s="1838"/>
      <c r="E120" s="1799" t="s">
        <v>1742</v>
      </c>
      <c r="I120" s="3011" t="s">
        <v>1841</v>
      </c>
      <c r="J120" s="3012"/>
      <c r="K120" s="3012"/>
      <c r="L120" s="3013"/>
    </row>
    <row r="121" spans="2:13" x14ac:dyDescent="0.3">
      <c r="D121" s="1838"/>
      <c r="I121" s="3014"/>
      <c r="J121" s="3015"/>
      <c r="K121" s="3015"/>
      <c r="L121" s="3016"/>
    </row>
    <row r="122" spans="2:13" x14ac:dyDescent="0.3">
      <c r="D122" s="1838"/>
      <c r="E122" s="1799" t="s">
        <v>1202</v>
      </c>
      <c r="I122" s="3017" t="s">
        <v>1203</v>
      </c>
      <c r="J122" s="3018"/>
      <c r="K122" s="3018"/>
      <c r="L122" s="3019"/>
    </row>
    <row r="123" spans="2:13" x14ac:dyDescent="0.3">
      <c r="E123" s="1799" t="s">
        <v>1204</v>
      </c>
      <c r="H123" s="1839"/>
      <c r="I123" s="3017" t="s">
        <v>1205</v>
      </c>
      <c r="J123" s="3018"/>
      <c r="K123" s="3018"/>
      <c r="L123" s="3019"/>
    </row>
    <row r="124" spans="2:13" x14ac:dyDescent="0.3">
      <c r="E124" s="1799" t="s">
        <v>1206</v>
      </c>
      <c r="H124" s="1839"/>
      <c r="I124" s="3017" t="s">
        <v>1743</v>
      </c>
      <c r="J124" s="3018"/>
      <c r="K124" s="3018"/>
      <c r="L124" s="3019"/>
    </row>
    <row r="125" spans="2:13" x14ac:dyDescent="0.3">
      <c r="D125" s="1846"/>
      <c r="G125" s="1840"/>
      <c r="H125" s="1839"/>
      <c r="I125" s="1843"/>
      <c r="J125" s="1843"/>
      <c r="K125" s="1843"/>
      <c r="L125" s="1843"/>
    </row>
    <row r="126" spans="2:13" x14ac:dyDescent="0.3">
      <c r="B126" s="1802">
        <v>10</v>
      </c>
      <c r="C126" s="1803" t="s">
        <v>1207</v>
      </c>
      <c r="D126" s="1803"/>
      <c r="E126" s="1804"/>
      <c r="F126" s="1805"/>
      <c r="G126" s="1805"/>
      <c r="H126" s="1805"/>
      <c r="I126" s="1805"/>
      <c r="J126" s="1805"/>
      <c r="K126" s="1805"/>
      <c r="L126" s="1806"/>
      <c r="M126" s="1807">
        <v>0</v>
      </c>
    </row>
    <row r="127" spans="2:13" ht="7.5" customHeight="1" x14ac:dyDescent="0.3"/>
    <row r="128" spans="2:13" ht="29.25" customHeight="1" x14ac:dyDescent="0.3">
      <c r="C128" s="2982" t="s">
        <v>1208</v>
      </c>
      <c r="D128" s="2982"/>
      <c r="E128" s="2982"/>
      <c r="F128" s="2982"/>
      <c r="G128" s="2982"/>
      <c r="H128" s="2982"/>
      <c r="I128" s="2982"/>
      <c r="J128" s="2982"/>
      <c r="K128" s="2982"/>
      <c r="L128" s="2982"/>
      <c r="M128" s="2982"/>
    </row>
    <row r="129" spans="2:13" ht="4.5" customHeight="1" x14ac:dyDescent="0.3">
      <c r="C129" s="1808"/>
    </row>
    <row r="130" spans="2:13" x14ac:dyDescent="0.3">
      <c r="F130" s="3020" t="s">
        <v>1209</v>
      </c>
      <c r="G130" s="3021"/>
      <c r="H130" s="3021"/>
      <c r="I130" s="3021"/>
      <c r="J130" s="3021"/>
      <c r="K130" s="3021"/>
      <c r="L130" s="3022"/>
      <c r="M130" s="1968"/>
    </row>
    <row r="131" spans="2:13" x14ac:dyDescent="0.3">
      <c r="E131" s="1844"/>
      <c r="F131" s="1832"/>
      <c r="G131" s="1832"/>
      <c r="H131" s="1832"/>
      <c r="I131" s="1832"/>
      <c r="J131" s="1832"/>
      <c r="K131" s="1832"/>
      <c r="L131" s="1832"/>
      <c r="M131" s="1832"/>
    </row>
    <row r="132" spans="2:13" x14ac:dyDescent="0.3">
      <c r="E132" s="1844"/>
      <c r="F132" s="1832" t="s">
        <v>1210</v>
      </c>
      <c r="G132" s="1832"/>
      <c r="H132" s="1832"/>
      <c r="I132" s="1832"/>
      <c r="J132" s="1832"/>
      <c r="K132" s="1832"/>
      <c r="L132" s="1833">
        <v>0</v>
      </c>
      <c r="M132" s="1832" t="s">
        <v>1165</v>
      </c>
    </row>
    <row r="133" spans="2:13" ht="4.5" customHeight="1" x14ac:dyDescent="0.3">
      <c r="E133" s="1832"/>
      <c r="F133" s="3023" t="s">
        <v>1211</v>
      </c>
      <c r="G133" s="3023"/>
      <c r="H133" s="3023"/>
      <c r="I133" s="3023"/>
      <c r="J133" s="3023"/>
      <c r="K133" s="3023"/>
    </row>
    <row r="134" spans="2:13" x14ac:dyDescent="0.3">
      <c r="E134" s="1832"/>
      <c r="F134" s="3023"/>
      <c r="G134" s="3023"/>
      <c r="H134" s="3023"/>
      <c r="I134" s="3023"/>
      <c r="J134" s="3023"/>
      <c r="K134" s="3023"/>
      <c r="L134" s="1833">
        <v>0</v>
      </c>
      <c r="M134" s="1832" t="s">
        <v>1165</v>
      </c>
    </row>
    <row r="135" spans="2:13" x14ac:dyDescent="0.3">
      <c r="F135" s="1799" t="s">
        <v>1212</v>
      </c>
      <c r="L135" s="1833">
        <v>0</v>
      </c>
      <c r="M135" s="1832" t="s">
        <v>1213</v>
      </c>
    </row>
    <row r="136" spans="2:13" x14ac:dyDescent="0.3">
      <c r="L136" s="1836"/>
      <c r="M136" s="1832"/>
    </row>
    <row r="138" spans="2:13" x14ac:dyDescent="0.3">
      <c r="B138" s="1802">
        <v>11</v>
      </c>
      <c r="C138" s="1803" t="s">
        <v>1214</v>
      </c>
      <c r="D138" s="1803"/>
      <c r="E138" s="1804"/>
      <c r="F138" s="1805"/>
      <c r="G138" s="1805"/>
      <c r="H138" s="1805"/>
      <c r="I138" s="1805"/>
      <c r="J138" s="1805"/>
      <c r="K138" s="1805"/>
      <c r="L138" s="1806"/>
      <c r="M138" s="1807">
        <v>0</v>
      </c>
    </row>
    <row r="139" spans="2:13" ht="7.5" customHeight="1" x14ac:dyDescent="0.3">
      <c r="C139" s="1802"/>
      <c r="D139" s="1802"/>
      <c r="E139" s="1808"/>
      <c r="F139" s="1802"/>
      <c r="G139" s="1802"/>
      <c r="H139" s="1802"/>
      <c r="I139" s="1802"/>
      <c r="J139" s="1802"/>
      <c r="K139" s="1802"/>
      <c r="L139" s="1830"/>
      <c r="M139" s="1809"/>
    </row>
    <row r="140" spans="2:13" ht="27" customHeight="1" x14ac:dyDescent="0.3">
      <c r="C140" s="2982" t="s">
        <v>1215</v>
      </c>
      <c r="D140" s="2982"/>
      <c r="E140" s="2982"/>
      <c r="F140" s="2982"/>
      <c r="G140" s="2982"/>
      <c r="H140" s="2982"/>
      <c r="I140" s="2982"/>
      <c r="J140" s="2982"/>
      <c r="K140" s="2982"/>
      <c r="L140" s="2982"/>
      <c r="M140" s="2982"/>
    </row>
    <row r="141" spans="2:13" ht="4.5" customHeight="1" x14ac:dyDescent="0.3">
      <c r="C141" s="1969"/>
      <c r="D141" s="1969"/>
      <c r="E141" s="1969"/>
      <c r="F141" s="1969"/>
      <c r="G141" s="1969"/>
      <c r="H141" s="1969"/>
      <c r="I141" s="1969"/>
      <c r="J141" s="1969"/>
      <c r="K141" s="1969"/>
      <c r="L141" s="1969"/>
      <c r="M141" s="1969"/>
    </row>
    <row r="142" spans="2:13" x14ac:dyDescent="0.3">
      <c r="C142" s="1969"/>
      <c r="D142" s="1969"/>
      <c r="E142" s="1847" t="s">
        <v>1216</v>
      </c>
      <c r="F142" s="1969"/>
      <c r="G142" s="3020"/>
      <c r="H142" s="3021"/>
      <c r="I142" s="3021"/>
      <c r="J142" s="3022"/>
      <c r="K142" s="1832"/>
      <c r="L142" s="1969"/>
      <c r="M142" s="1969"/>
    </row>
    <row r="143" spans="2:13" x14ac:dyDescent="0.3">
      <c r="C143" s="1846"/>
      <c r="D143" s="1846" t="s">
        <v>1217</v>
      </c>
      <c r="J143" s="1802"/>
      <c r="K143" s="1848"/>
      <c r="L143" s="1830"/>
      <c r="M143" s="1809"/>
    </row>
    <row r="144" spans="2:13" x14ac:dyDescent="0.3">
      <c r="C144" s="1846"/>
      <c r="D144" s="1846"/>
      <c r="J144" s="1802"/>
      <c r="K144" s="1848"/>
      <c r="L144" s="1830"/>
      <c r="M144" s="1809"/>
    </row>
    <row r="145" spans="2:13" x14ac:dyDescent="0.3">
      <c r="C145" s="1802"/>
      <c r="D145" s="1802"/>
      <c r="E145" s="1832"/>
      <c r="F145" s="1832"/>
      <c r="G145" s="1832"/>
      <c r="H145" s="1832"/>
      <c r="I145" s="1832"/>
      <c r="J145" s="1802"/>
      <c r="K145" s="1848"/>
      <c r="L145" s="1830"/>
      <c r="M145" s="1809"/>
    </row>
    <row r="146" spans="2:13" x14ac:dyDescent="0.3">
      <c r="B146" s="1802">
        <v>12</v>
      </c>
      <c r="C146" s="1803" t="s">
        <v>1218</v>
      </c>
      <c r="D146" s="1803"/>
      <c r="E146" s="1804"/>
      <c r="F146" s="1805"/>
      <c r="G146" s="1805"/>
      <c r="H146" s="1805"/>
      <c r="I146" s="1805"/>
      <c r="J146" s="1805"/>
      <c r="K146" s="1805"/>
      <c r="L146" s="1806"/>
      <c r="M146" s="1807">
        <v>2</v>
      </c>
    </row>
    <row r="147" spans="2:13" ht="7.5" customHeight="1" x14ac:dyDescent="0.3">
      <c r="C147" s="1802"/>
      <c r="D147" s="1802"/>
      <c r="E147" s="1808"/>
      <c r="F147" s="1802"/>
      <c r="G147" s="1802"/>
      <c r="H147" s="1802"/>
      <c r="I147" s="1802"/>
      <c r="J147" s="1802"/>
      <c r="K147" s="1802"/>
      <c r="L147" s="1830"/>
      <c r="M147" s="1809"/>
    </row>
    <row r="148" spans="2:13" ht="27" customHeight="1" x14ac:dyDescent="0.3">
      <c r="C148" s="2982" t="s">
        <v>1219</v>
      </c>
      <c r="D148" s="2982"/>
      <c r="E148" s="2982"/>
      <c r="F148" s="2982"/>
      <c r="G148" s="2982"/>
      <c r="H148" s="2982"/>
      <c r="I148" s="2982"/>
      <c r="J148" s="2982"/>
      <c r="K148" s="2982"/>
      <c r="L148" s="2982"/>
      <c r="M148" s="2982"/>
    </row>
    <row r="149" spans="2:13" ht="4.5" customHeight="1" x14ac:dyDescent="0.3">
      <c r="C149" s="1969"/>
      <c r="D149" s="1969"/>
      <c r="E149" s="1969"/>
      <c r="F149" s="1969"/>
      <c r="G149" s="1969"/>
      <c r="H149" s="1969"/>
      <c r="I149" s="1969"/>
      <c r="J149" s="1969"/>
      <c r="K149" s="1969"/>
      <c r="L149" s="1969"/>
      <c r="M149" s="1969"/>
    </row>
    <row r="150" spans="2:13" x14ac:dyDescent="0.3">
      <c r="C150" s="1969"/>
      <c r="D150" s="1969"/>
      <c r="E150" s="1847" t="s">
        <v>1220</v>
      </c>
      <c r="F150" s="1969"/>
      <c r="G150" s="2980" t="s">
        <v>1938</v>
      </c>
      <c r="H150" s="2986"/>
      <c r="I150" s="2986"/>
      <c r="J150" s="2986"/>
      <c r="K150" s="2986"/>
      <c r="L150" s="2981"/>
      <c r="M150" s="1969"/>
    </row>
    <row r="151" spans="2:13" x14ac:dyDescent="0.3">
      <c r="C151" s="1802"/>
      <c r="D151" s="1802"/>
      <c r="J151" s="1802"/>
      <c r="K151" s="1848"/>
      <c r="L151" s="1830"/>
      <c r="M151" s="1809"/>
    </row>
    <row r="152" spans="2:13" x14ac:dyDescent="0.3">
      <c r="C152" s="1802"/>
      <c r="D152" s="1802"/>
      <c r="E152" s="1832"/>
      <c r="F152" s="1832"/>
      <c r="G152" s="1832"/>
      <c r="H152" s="1832"/>
      <c r="I152" s="1832"/>
      <c r="J152" s="1802"/>
      <c r="K152" s="1848"/>
      <c r="L152" s="1830"/>
      <c r="M152" s="1809"/>
    </row>
    <row r="153" spans="2:13" x14ac:dyDescent="0.3">
      <c r="B153" s="1802">
        <v>13</v>
      </c>
      <c r="C153" s="1803" t="s">
        <v>1221</v>
      </c>
      <c r="D153" s="1803"/>
      <c r="E153" s="1804"/>
      <c r="F153" s="1805"/>
      <c r="G153" s="1805"/>
      <c r="H153" s="1805"/>
      <c r="I153" s="1805"/>
      <c r="J153" s="1805"/>
      <c r="K153" s="1805"/>
      <c r="L153" s="1806"/>
      <c r="M153" s="1807">
        <v>2</v>
      </c>
    </row>
    <row r="154" spans="2:13" ht="7.5" customHeight="1" x14ac:dyDescent="0.3">
      <c r="C154" s="1802"/>
      <c r="D154" s="1802"/>
      <c r="E154" s="1808"/>
      <c r="F154" s="1802"/>
      <c r="G154" s="1802"/>
      <c r="H154" s="1802"/>
      <c r="I154" s="1802"/>
      <c r="J154" s="1802"/>
      <c r="K154" s="1802"/>
      <c r="L154" s="1830"/>
      <c r="M154" s="1809"/>
    </row>
    <row r="155" spans="2:13" ht="15" customHeight="1" x14ac:dyDescent="0.3">
      <c r="C155" s="2982" t="s">
        <v>1222</v>
      </c>
      <c r="D155" s="2982"/>
      <c r="E155" s="2982"/>
      <c r="F155" s="2982"/>
      <c r="G155" s="2982"/>
      <c r="H155" s="2982"/>
      <c r="I155" s="2982"/>
      <c r="J155" s="2982"/>
      <c r="K155" s="2982"/>
      <c r="L155" s="2982"/>
      <c r="M155" s="2982"/>
    </row>
    <row r="156" spans="2:13" x14ac:dyDescent="0.3">
      <c r="C156" s="2982"/>
      <c r="D156" s="2982"/>
      <c r="E156" s="2982"/>
      <c r="F156" s="2982"/>
      <c r="G156" s="2982"/>
      <c r="H156" s="2982"/>
      <c r="I156" s="2982"/>
      <c r="J156" s="2982"/>
      <c r="K156" s="2982"/>
      <c r="L156" s="2982"/>
      <c r="M156" s="2982"/>
    </row>
    <row r="157" spans="2:13" ht="4.5" customHeight="1" x14ac:dyDescent="0.3">
      <c r="C157" s="1969"/>
      <c r="D157" s="1969"/>
      <c r="E157" s="1969"/>
      <c r="F157" s="1969"/>
      <c r="G157" s="1969"/>
      <c r="H157" s="1969"/>
      <c r="I157" s="1969"/>
      <c r="J157" s="1969"/>
      <c r="K157" s="1969"/>
      <c r="L157" s="1969"/>
      <c r="M157" s="1969"/>
    </row>
    <row r="158" spans="2:13" x14ac:dyDescent="0.3">
      <c r="E158" s="1799" t="s">
        <v>1174</v>
      </c>
      <c r="G158" s="2980" t="s">
        <v>1351</v>
      </c>
      <c r="H158" s="2986"/>
      <c r="I158" s="2986"/>
      <c r="J158" s="2986"/>
      <c r="K158" s="2986"/>
      <c r="L158" s="2981"/>
    </row>
    <row r="159" spans="2:13" x14ac:dyDescent="0.3">
      <c r="G159" s="1832"/>
      <c r="H159" s="1832"/>
      <c r="I159" s="1832"/>
      <c r="J159" s="1832"/>
      <c r="K159" s="1832"/>
      <c r="L159" s="1832"/>
    </row>
    <row r="160" spans="2:13" x14ac:dyDescent="0.3">
      <c r="C160" s="1969"/>
      <c r="D160" s="1969"/>
      <c r="E160" s="1969"/>
      <c r="F160" s="1969"/>
      <c r="G160" s="1969"/>
      <c r="H160" s="1969"/>
      <c r="I160" s="1969"/>
      <c r="J160" s="1969"/>
      <c r="K160" s="1969"/>
      <c r="L160" s="1969"/>
      <c r="M160" s="1969"/>
    </row>
    <row r="161" spans="2:13" x14ac:dyDescent="0.3">
      <c r="B161" s="1802">
        <v>14</v>
      </c>
      <c r="C161" s="1803" t="s">
        <v>1223</v>
      </c>
      <c r="D161" s="1803"/>
      <c r="E161" s="1804"/>
      <c r="F161" s="1805"/>
      <c r="G161" s="1805"/>
      <c r="H161" s="1805"/>
      <c r="I161" s="1805"/>
      <c r="J161" s="1805"/>
      <c r="K161" s="1805"/>
      <c r="L161" s="1806"/>
      <c r="M161" s="1807">
        <v>1</v>
      </c>
    </row>
    <row r="162" spans="2:13" ht="7.5" customHeight="1" x14ac:dyDescent="0.3">
      <c r="C162" s="1802"/>
      <c r="D162" s="1802"/>
      <c r="E162" s="1808"/>
      <c r="F162" s="1802"/>
      <c r="G162" s="1802"/>
      <c r="H162" s="1802"/>
      <c r="I162" s="1802"/>
      <c r="J162" s="1802"/>
      <c r="K162" s="1802"/>
      <c r="L162" s="1830"/>
      <c r="M162" s="1809"/>
    </row>
    <row r="163" spans="2:13" ht="15" customHeight="1" x14ac:dyDescent="0.3">
      <c r="C163" s="2982" t="s">
        <v>1224</v>
      </c>
      <c r="D163" s="2982"/>
      <c r="E163" s="2982"/>
      <c r="F163" s="2982"/>
      <c r="G163" s="2982"/>
      <c r="H163" s="2982"/>
      <c r="I163" s="2982"/>
      <c r="J163" s="2982"/>
      <c r="K163" s="2982"/>
      <c r="L163" s="2982"/>
      <c r="M163" s="2982"/>
    </row>
    <row r="164" spans="2:13" x14ac:dyDescent="0.3">
      <c r="C164" s="2982"/>
      <c r="D164" s="2982"/>
      <c r="E164" s="2982"/>
      <c r="F164" s="2982"/>
      <c r="G164" s="2982"/>
      <c r="H164" s="2982"/>
      <c r="I164" s="2982"/>
      <c r="J164" s="2982"/>
      <c r="K164" s="2982"/>
      <c r="L164" s="2982"/>
      <c r="M164" s="2982"/>
    </row>
    <row r="165" spans="2:13" ht="4.5" customHeight="1" x14ac:dyDescent="0.3">
      <c r="C165" s="1969"/>
      <c r="D165" s="1969"/>
      <c r="E165" s="1969"/>
      <c r="F165" s="1969"/>
      <c r="G165" s="1969"/>
      <c r="H165" s="1969"/>
      <c r="I165" s="1969"/>
      <c r="J165" s="1969"/>
      <c r="K165" s="1969"/>
      <c r="L165" s="1969"/>
      <c r="M165" s="1969"/>
    </row>
    <row r="166" spans="2:13" x14ac:dyDescent="0.3">
      <c r="E166" s="1799" t="s">
        <v>1174</v>
      </c>
      <c r="G166" s="2980" t="s">
        <v>1351</v>
      </c>
      <c r="H166" s="2986"/>
      <c r="I166" s="2986"/>
      <c r="J166" s="2986"/>
      <c r="K166" s="2986"/>
      <c r="L166" s="2981"/>
    </row>
    <row r="167" spans="2:13" x14ac:dyDescent="0.3">
      <c r="G167" s="1832"/>
      <c r="H167" s="1832"/>
      <c r="I167" s="1832"/>
      <c r="J167" s="1832"/>
      <c r="K167" s="1832"/>
      <c r="L167" s="1832"/>
    </row>
    <row r="168" spans="2:13" x14ac:dyDescent="0.3">
      <c r="C168" s="1969"/>
      <c r="D168" s="1969"/>
      <c r="E168" s="1969"/>
      <c r="F168" s="1969"/>
      <c r="G168" s="1969"/>
      <c r="H168" s="1969"/>
      <c r="I168" s="1969"/>
      <c r="J168" s="1969"/>
      <c r="K168" s="1969"/>
      <c r="L168" s="1969"/>
      <c r="M168" s="1969"/>
    </row>
    <row r="169" spans="2:13" x14ac:dyDescent="0.3">
      <c r="B169" s="1802">
        <v>15</v>
      </c>
      <c r="C169" s="1803" t="s">
        <v>1225</v>
      </c>
      <c r="D169" s="1803"/>
      <c r="E169" s="1804"/>
      <c r="F169" s="1805"/>
      <c r="G169" s="1805"/>
      <c r="H169" s="1805"/>
      <c r="I169" s="1805"/>
      <c r="J169" s="1805"/>
      <c r="K169" s="1805"/>
      <c r="L169" s="1806"/>
      <c r="M169" s="1807">
        <v>1</v>
      </c>
    </row>
    <row r="170" spans="2:13" ht="7.5" customHeight="1" x14ac:dyDescent="0.3">
      <c r="C170" s="1802"/>
      <c r="D170" s="1802"/>
      <c r="E170" s="1808"/>
      <c r="F170" s="1802"/>
      <c r="G170" s="1802"/>
      <c r="H170" s="1802"/>
      <c r="I170" s="1802"/>
      <c r="J170" s="1802"/>
      <c r="K170" s="1802"/>
      <c r="L170" s="1830"/>
      <c r="M170" s="1809"/>
    </row>
    <row r="171" spans="2:13" ht="15" customHeight="1" x14ac:dyDescent="0.3">
      <c r="C171" s="2982" t="s">
        <v>1226</v>
      </c>
      <c r="D171" s="2982"/>
      <c r="E171" s="2982"/>
      <c r="F171" s="2982"/>
      <c r="G171" s="2982"/>
      <c r="H171" s="2982"/>
      <c r="I171" s="2982"/>
      <c r="J171" s="2982"/>
      <c r="K171" s="2982"/>
      <c r="L171" s="2982"/>
      <c r="M171" s="2982"/>
    </row>
    <row r="172" spans="2:13" x14ac:dyDescent="0.3">
      <c r="C172" s="2982"/>
      <c r="D172" s="2982"/>
      <c r="E172" s="2982"/>
      <c r="F172" s="2982"/>
      <c r="G172" s="2982"/>
      <c r="H172" s="2982"/>
      <c r="I172" s="2982"/>
      <c r="J172" s="2982"/>
      <c r="K172" s="2982"/>
      <c r="L172" s="2982"/>
      <c r="M172" s="2982"/>
    </row>
    <row r="173" spans="2:13" x14ac:dyDescent="0.3">
      <c r="C173" s="1969"/>
      <c r="D173" s="1969"/>
      <c r="E173" s="1969"/>
      <c r="F173" s="1969"/>
      <c r="G173" s="1969"/>
      <c r="H173" s="1969"/>
      <c r="I173" s="1969"/>
      <c r="J173" s="1969"/>
      <c r="K173" s="1969"/>
      <c r="L173" s="1969"/>
      <c r="M173" s="1969"/>
    </row>
    <row r="174" spans="2:13" x14ac:dyDescent="0.3">
      <c r="E174" s="1799" t="s">
        <v>1174</v>
      </c>
      <c r="G174" s="2980" t="s">
        <v>1406</v>
      </c>
      <c r="H174" s="2986"/>
      <c r="I174" s="2986"/>
      <c r="J174" s="2986"/>
      <c r="K174" s="2986"/>
      <c r="L174" s="2981"/>
    </row>
    <row r="175" spans="2:13" x14ac:dyDescent="0.3">
      <c r="G175" s="1832"/>
      <c r="H175" s="1832"/>
      <c r="I175" s="1832"/>
      <c r="J175" s="1832"/>
      <c r="K175" s="1832"/>
      <c r="L175" s="1832"/>
    </row>
    <row r="176" spans="2:13" x14ac:dyDescent="0.3">
      <c r="G176" s="1832"/>
      <c r="H176" s="1832"/>
      <c r="I176" s="1832"/>
      <c r="J176" s="1832"/>
      <c r="K176" s="1832"/>
      <c r="L176" s="1832"/>
    </row>
    <row r="177" spans="2:13" x14ac:dyDescent="0.3">
      <c r="B177" s="1802">
        <v>16</v>
      </c>
      <c r="C177" s="1803" t="s">
        <v>1227</v>
      </c>
      <c r="D177" s="1803"/>
      <c r="E177" s="1804"/>
      <c r="F177" s="1805"/>
      <c r="G177" s="1805"/>
      <c r="H177" s="1805"/>
      <c r="I177" s="1805"/>
      <c r="J177" s="1805"/>
      <c r="K177" s="1805"/>
      <c r="L177" s="1806"/>
      <c r="M177" s="1807">
        <v>1</v>
      </c>
    </row>
    <row r="178" spans="2:13" ht="7.5" customHeight="1" x14ac:dyDescent="0.3">
      <c r="C178" s="1802"/>
      <c r="D178" s="1802"/>
      <c r="E178" s="1808"/>
      <c r="F178" s="1802"/>
      <c r="G178" s="1802"/>
      <c r="H178" s="1802"/>
      <c r="I178" s="1802"/>
      <c r="J178" s="1802"/>
      <c r="K178" s="1802"/>
      <c r="L178" s="1830"/>
      <c r="M178" s="1809"/>
    </row>
    <row r="179" spans="2:13" ht="15" customHeight="1" x14ac:dyDescent="0.3">
      <c r="C179" s="2982" t="s">
        <v>1228</v>
      </c>
      <c r="D179" s="2982"/>
      <c r="E179" s="2982"/>
      <c r="F179" s="2982"/>
      <c r="G179" s="2982"/>
      <c r="H179" s="2982"/>
      <c r="I179" s="2982"/>
      <c r="J179" s="2982"/>
      <c r="K179" s="2982"/>
      <c r="L179" s="2982"/>
      <c r="M179" s="2982"/>
    </row>
    <row r="180" spans="2:13" x14ac:dyDescent="0.3">
      <c r="C180" s="2982"/>
      <c r="D180" s="2982"/>
      <c r="E180" s="2982"/>
      <c r="F180" s="2982"/>
      <c r="G180" s="2982"/>
      <c r="H180" s="2982"/>
      <c r="I180" s="2982"/>
      <c r="J180" s="2982"/>
      <c r="K180" s="2982"/>
      <c r="L180" s="2982"/>
      <c r="M180" s="2982"/>
    </row>
    <row r="181" spans="2:13" x14ac:dyDescent="0.3">
      <c r="C181" s="1969"/>
      <c r="D181" s="1969"/>
      <c r="E181" s="1969"/>
      <c r="F181" s="1969"/>
      <c r="G181" s="1969"/>
      <c r="H181" s="1969"/>
      <c r="I181" s="1969"/>
      <c r="J181" s="1969"/>
      <c r="K181" s="1969"/>
      <c r="L181" s="1969"/>
      <c r="M181" s="1969"/>
    </row>
    <row r="182" spans="2:13" x14ac:dyDescent="0.3">
      <c r="E182" s="1799" t="s">
        <v>1174</v>
      </c>
      <c r="G182" s="2980" t="s">
        <v>1408</v>
      </c>
      <c r="H182" s="2986"/>
      <c r="I182" s="2986"/>
      <c r="J182" s="2986"/>
      <c r="K182" s="2986"/>
      <c r="L182" s="2981"/>
    </row>
    <row r="183" spans="2:13" x14ac:dyDescent="0.3">
      <c r="G183" s="1832"/>
      <c r="H183" s="1832"/>
      <c r="I183" s="1832"/>
      <c r="J183" s="1832"/>
      <c r="K183" s="1832"/>
      <c r="L183" s="1832"/>
    </row>
    <row r="184" spans="2:13" x14ac:dyDescent="0.3">
      <c r="G184" s="1832"/>
      <c r="H184" s="1832"/>
      <c r="I184" s="1832"/>
      <c r="J184" s="1832"/>
      <c r="K184" s="1832"/>
      <c r="L184" s="1832"/>
    </row>
    <row r="185" spans="2:13" x14ac:dyDescent="0.3">
      <c r="B185" s="1802">
        <v>17</v>
      </c>
      <c r="C185" s="1803" t="s">
        <v>1229</v>
      </c>
      <c r="D185" s="1803"/>
      <c r="E185" s="1804"/>
      <c r="F185" s="1805"/>
      <c r="G185" s="1805"/>
      <c r="H185" s="1805"/>
      <c r="I185" s="1805"/>
      <c r="J185" s="1805"/>
      <c r="K185" s="1805"/>
      <c r="L185" s="1806"/>
      <c r="M185" s="1807">
        <v>0</v>
      </c>
    </row>
    <row r="186" spans="2:13" ht="7.5" customHeight="1" x14ac:dyDescent="0.3">
      <c r="C186" s="1802"/>
      <c r="D186" s="1802"/>
      <c r="E186" s="1808"/>
      <c r="F186" s="1802"/>
      <c r="G186" s="1802"/>
      <c r="H186" s="1802"/>
      <c r="I186" s="1802"/>
      <c r="J186" s="1802"/>
      <c r="K186" s="1802"/>
      <c r="L186" s="1830"/>
      <c r="M186" s="1809"/>
    </row>
    <row r="187" spans="2:13" x14ac:dyDescent="0.3">
      <c r="C187" s="3024" t="s">
        <v>1230</v>
      </c>
      <c r="D187" s="3024"/>
      <c r="E187" s="3024"/>
      <c r="F187" s="3024"/>
      <c r="G187" s="3024"/>
      <c r="H187" s="3024"/>
      <c r="I187" s="3024"/>
      <c r="J187" s="3024"/>
      <c r="K187" s="3024"/>
      <c r="L187" s="3024"/>
      <c r="M187" s="3024"/>
    </row>
    <row r="188" spans="2:13" x14ac:dyDescent="0.3">
      <c r="C188" s="1969"/>
      <c r="D188" s="1969"/>
      <c r="E188" s="1969"/>
      <c r="F188" s="1969"/>
      <c r="G188" s="1969"/>
      <c r="H188" s="1969"/>
      <c r="I188" s="1969"/>
      <c r="J188" s="1969"/>
      <c r="K188" s="1969"/>
      <c r="L188" s="1969"/>
      <c r="M188" s="1969"/>
    </row>
    <row r="189" spans="2:13" x14ac:dyDescent="0.3">
      <c r="C189" s="1969"/>
      <c r="D189" s="1969"/>
      <c r="E189" s="1847" t="s">
        <v>1231</v>
      </c>
      <c r="F189" s="1969"/>
      <c r="G189" s="3025" t="s">
        <v>1411</v>
      </c>
      <c r="H189" s="3026"/>
      <c r="I189" s="3027"/>
      <c r="J189" s="1969"/>
      <c r="K189" s="3031" t="s">
        <v>1233</v>
      </c>
      <c r="L189" s="3032"/>
      <c r="M189" s="1969"/>
    </row>
    <row r="190" spans="2:13" x14ac:dyDescent="0.3">
      <c r="C190" s="1969"/>
      <c r="D190" s="1969"/>
      <c r="E190" s="1969"/>
      <c r="F190" s="1969"/>
      <c r="G190" s="3028"/>
      <c r="H190" s="3029"/>
      <c r="I190" s="3030"/>
      <c r="J190" s="1969"/>
      <c r="K190" s="1969"/>
      <c r="L190" s="1969"/>
      <c r="M190" s="1969"/>
    </row>
    <row r="191" spans="2:13" x14ac:dyDescent="0.3">
      <c r="G191" s="1832"/>
      <c r="H191" s="1832"/>
      <c r="I191" s="1832"/>
      <c r="J191" s="1832"/>
      <c r="K191" s="1832"/>
      <c r="L191" s="1832"/>
    </row>
    <row r="192" spans="2:13" x14ac:dyDescent="0.3">
      <c r="B192" s="1802">
        <v>18</v>
      </c>
      <c r="C192" s="1803" t="s">
        <v>1234</v>
      </c>
      <c r="D192" s="1803"/>
      <c r="E192" s="1804"/>
      <c r="F192" s="1805"/>
      <c r="G192" s="1805"/>
      <c r="H192" s="1805"/>
      <c r="I192" s="1805"/>
      <c r="J192" s="1805"/>
      <c r="K192" s="1805"/>
      <c r="L192" s="1806"/>
      <c r="M192" s="1807">
        <v>5</v>
      </c>
    </row>
    <row r="193" spans="2:13" ht="7.2" customHeight="1" x14ac:dyDescent="0.3">
      <c r="C193" s="1802"/>
      <c r="D193" s="1802"/>
      <c r="E193" s="1808"/>
      <c r="F193" s="1802"/>
      <c r="G193" s="1802"/>
      <c r="H193" s="1802"/>
      <c r="I193" s="1802"/>
      <c r="J193" s="1802"/>
      <c r="K193" s="1802"/>
      <c r="L193" s="1830"/>
      <c r="M193" s="1809"/>
    </row>
    <row r="194" spans="2:13" x14ac:dyDescent="0.3">
      <c r="C194" s="2982" t="s">
        <v>1235</v>
      </c>
      <c r="D194" s="2982"/>
      <c r="E194" s="2982"/>
      <c r="F194" s="2982"/>
      <c r="G194" s="2982"/>
      <c r="H194" s="2982"/>
      <c r="I194" s="2982"/>
      <c r="J194" s="2982"/>
      <c r="K194" s="2982"/>
      <c r="L194" s="2982"/>
      <c r="M194" s="2982"/>
    </row>
    <row r="195" spans="2:13" x14ac:dyDescent="0.3">
      <c r="C195" s="2982"/>
      <c r="D195" s="2982"/>
      <c r="E195" s="2982"/>
      <c r="F195" s="2982"/>
      <c r="G195" s="2982"/>
      <c r="H195" s="2982"/>
      <c r="I195" s="2982"/>
      <c r="J195" s="2982"/>
      <c r="K195" s="2982"/>
      <c r="L195" s="2982"/>
      <c r="M195" s="2982"/>
    </row>
    <row r="196" spans="2:13" x14ac:dyDescent="0.3">
      <c r="C196" s="1969"/>
      <c r="D196" s="1969"/>
      <c r="E196" s="1969"/>
      <c r="F196" s="1969"/>
      <c r="G196" s="1969"/>
      <c r="H196" s="1969"/>
      <c r="I196" s="1969"/>
      <c r="J196" s="1969"/>
      <c r="K196" s="1969"/>
      <c r="L196" s="1969"/>
      <c r="M196" s="1969"/>
    </row>
    <row r="197" spans="2:13" x14ac:dyDescent="0.3">
      <c r="C197" s="1802"/>
      <c r="D197" s="1802"/>
      <c r="E197" s="2980" t="s">
        <v>1436</v>
      </c>
      <c r="F197" s="2986"/>
      <c r="G197" s="2986"/>
      <c r="H197" s="2986"/>
      <c r="I197" s="2981"/>
      <c r="J197" s="1802"/>
      <c r="K197" s="1848"/>
      <c r="L197" s="1830"/>
      <c r="M197" s="1809"/>
    </row>
    <row r="198" spans="2:13" x14ac:dyDescent="0.3">
      <c r="C198" s="1802"/>
      <c r="D198" s="1802"/>
      <c r="E198" s="1832"/>
      <c r="F198" s="1832"/>
      <c r="G198" s="1832"/>
      <c r="H198" s="1832"/>
      <c r="I198" s="1832"/>
      <c r="J198" s="1802"/>
      <c r="K198" s="1848"/>
      <c r="L198" s="1830"/>
      <c r="M198" s="1809"/>
    </row>
    <row r="199" spans="2:13" x14ac:dyDescent="0.3">
      <c r="C199" s="1802"/>
      <c r="D199" s="1802"/>
      <c r="E199" s="1832"/>
      <c r="F199" s="1832"/>
      <c r="G199" s="1832"/>
      <c r="H199" s="1832"/>
      <c r="I199" s="1832"/>
      <c r="J199" s="1802"/>
      <c r="K199" s="1848"/>
      <c r="L199" s="1830"/>
      <c r="M199" s="1809"/>
    </row>
    <row r="200" spans="2:13" x14ac:dyDescent="0.3">
      <c r="B200" s="1802">
        <v>19</v>
      </c>
      <c r="C200" s="1803" t="s">
        <v>1236</v>
      </c>
      <c r="D200" s="1803"/>
      <c r="E200" s="1804"/>
      <c r="F200" s="1805"/>
      <c r="G200" s="1805"/>
      <c r="H200" s="1805"/>
      <c r="I200" s="1805"/>
      <c r="J200" s="1805"/>
      <c r="K200" s="1805"/>
      <c r="L200" s="1806"/>
      <c r="M200" s="1807">
        <v>5</v>
      </c>
    </row>
    <row r="201" spans="2:13" ht="7.5" customHeight="1" x14ac:dyDescent="0.3">
      <c r="C201" s="1802"/>
      <c r="D201" s="1802"/>
      <c r="E201" s="1808"/>
      <c r="F201" s="1802"/>
      <c r="G201" s="1802"/>
      <c r="H201" s="1802"/>
      <c r="I201" s="1802"/>
      <c r="J201" s="1802"/>
      <c r="K201" s="1802"/>
      <c r="L201" s="1830"/>
      <c r="M201" s="1809"/>
    </row>
    <row r="202" spans="2:13" ht="26.25" customHeight="1" x14ac:dyDescent="0.3">
      <c r="C202" s="2982" t="s">
        <v>1237</v>
      </c>
      <c r="D202" s="2982"/>
      <c r="E202" s="2982"/>
      <c r="F202" s="2982"/>
      <c r="G202" s="2982"/>
      <c r="H202" s="2982"/>
      <c r="I202" s="2982"/>
      <c r="J202" s="2982"/>
      <c r="K202" s="2982"/>
      <c r="L202" s="2982"/>
      <c r="M202" s="2982"/>
    </row>
    <row r="203" spans="2:13" x14ac:dyDescent="0.3">
      <c r="C203" s="1969"/>
      <c r="D203" s="1969"/>
      <c r="E203" s="1808" t="s">
        <v>1238</v>
      </c>
      <c r="F203" s="1969"/>
      <c r="G203" s="1969"/>
      <c r="H203" s="1969"/>
      <c r="I203" s="1969"/>
      <c r="J203" s="1969"/>
      <c r="K203" s="1969"/>
      <c r="L203" s="1969"/>
      <c r="M203" s="1969"/>
    </row>
    <row r="204" spans="2:13" x14ac:dyDescent="0.3">
      <c r="E204" s="1849" t="s">
        <v>1239</v>
      </c>
    </row>
    <row r="205" spans="2:13" x14ac:dyDescent="0.3">
      <c r="E205" s="1849"/>
    </row>
    <row r="206" spans="2:13" x14ac:dyDescent="0.3">
      <c r="E206" s="1849"/>
    </row>
    <row r="207" spans="2:13" x14ac:dyDescent="0.3">
      <c r="B207" s="1802">
        <v>20</v>
      </c>
      <c r="C207" s="1803" t="s">
        <v>1240</v>
      </c>
      <c r="D207" s="1803"/>
      <c r="E207" s="1804"/>
      <c r="F207" s="1805"/>
      <c r="G207" s="1805"/>
      <c r="H207" s="1805"/>
      <c r="I207" s="1805"/>
      <c r="J207" s="1805"/>
      <c r="K207" s="1805"/>
      <c r="L207" s="1806"/>
      <c r="M207" s="1807">
        <v>0</v>
      </c>
    </row>
    <row r="208" spans="2:13" ht="7.5" customHeight="1" x14ac:dyDescent="0.3">
      <c r="C208" s="1802"/>
      <c r="D208" s="1802"/>
      <c r="E208" s="1808"/>
      <c r="F208" s="1802"/>
      <c r="G208" s="1802"/>
      <c r="H208" s="1802"/>
      <c r="I208" s="1802"/>
      <c r="J208" s="1802"/>
      <c r="K208" s="1802"/>
      <c r="L208" s="1830"/>
      <c r="M208" s="1809"/>
    </row>
    <row r="209" spans="2:13" ht="15" customHeight="1" x14ac:dyDescent="0.3">
      <c r="C209" s="2982" t="s">
        <v>1241</v>
      </c>
      <c r="D209" s="2982"/>
      <c r="E209" s="2982"/>
      <c r="F209" s="2982"/>
      <c r="G209" s="2982"/>
      <c r="H209" s="2982"/>
      <c r="I209" s="2982"/>
      <c r="J209" s="2982"/>
      <c r="K209" s="2982"/>
      <c r="L209" s="2982"/>
      <c r="M209" s="2982"/>
    </row>
    <row r="210" spans="2:13" x14ac:dyDescent="0.3">
      <c r="C210" s="2982"/>
      <c r="D210" s="2982"/>
      <c r="E210" s="2982"/>
      <c r="F210" s="2982"/>
      <c r="G210" s="2982"/>
      <c r="H210" s="2982"/>
      <c r="I210" s="2982"/>
      <c r="J210" s="2982"/>
      <c r="K210" s="2982"/>
      <c r="L210" s="2982"/>
      <c r="M210" s="2982"/>
    </row>
    <row r="211" spans="2:13" x14ac:dyDescent="0.3">
      <c r="C211" s="1969"/>
      <c r="D211" s="1969"/>
      <c r="E211" s="1969"/>
      <c r="F211" s="1969"/>
      <c r="G211" s="1969"/>
      <c r="H211" s="1969"/>
      <c r="I211" s="1969"/>
      <c r="J211" s="1969"/>
      <c r="K211" s="1969"/>
      <c r="L211" s="1969"/>
      <c r="M211" s="1969"/>
    </row>
    <row r="212" spans="2:13" x14ac:dyDescent="0.3">
      <c r="C212" s="1969"/>
      <c r="D212" s="1969"/>
      <c r="E212" s="1969"/>
      <c r="F212" s="1969"/>
      <c r="G212" s="1969"/>
      <c r="H212" s="1969"/>
      <c r="I212" s="1969"/>
      <c r="J212" s="1969"/>
      <c r="K212" s="1969"/>
      <c r="L212" s="1969"/>
      <c r="M212" s="1969"/>
    </row>
    <row r="213" spans="2:13" x14ac:dyDescent="0.3">
      <c r="B213" s="1802">
        <v>21</v>
      </c>
      <c r="C213" s="1803" t="s">
        <v>1242</v>
      </c>
      <c r="D213" s="1803"/>
      <c r="E213" s="1804"/>
      <c r="F213" s="1805"/>
      <c r="G213" s="1805"/>
      <c r="H213" s="1805"/>
      <c r="I213" s="1805"/>
      <c r="J213" s="1805"/>
      <c r="K213" s="1805"/>
      <c r="L213" s="1806"/>
      <c r="M213" s="1807">
        <v>2</v>
      </c>
    </row>
    <row r="214" spans="2:13" ht="7.5" customHeight="1" x14ac:dyDescent="0.3">
      <c r="C214" s="1802"/>
      <c r="D214" s="1802"/>
      <c r="E214" s="1808"/>
      <c r="F214" s="1802"/>
      <c r="G214" s="1802"/>
      <c r="H214" s="1802"/>
      <c r="I214" s="1802"/>
      <c r="J214" s="1802"/>
      <c r="K214" s="1802"/>
      <c r="L214" s="1830"/>
      <c r="M214" s="1809"/>
    </row>
    <row r="215" spans="2:13" ht="15" customHeight="1" x14ac:dyDescent="0.3">
      <c r="C215" s="1808" t="s">
        <v>1243</v>
      </c>
      <c r="D215" s="1808"/>
      <c r="E215" s="1808"/>
      <c r="F215" s="1808"/>
      <c r="G215" s="1808"/>
      <c r="H215" s="1808"/>
      <c r="I215" s="1808"/>
      <c r="J215" s="1808"/>
      <c r="K215" s="1808"/>
      <c r="L215" s="1808"/>
      <c r="M215" s="1808"/>
    </row>
    <row r="216" spans="2:13" x14ac:dyDescent="0.3">
      <c r="C216" s="1969"/>
      <c r="D216" s="1969"/>
      <c r="E216" s="1969"/>
      <c r="F216" s="1969"/>
      <c r="G216" s="1969"/>
      <c r="H216" s="1969"/>
      <c r="I216" s="1969"/>
      <c r="J216" s="1969"/>
      <c r="K216" s="1969"/>
      <c r="L216" s="1969"/>
      <c r="M216" s="1969"/>
    </row>
    <row r="217" spans="2:13" x14ac:dyDescent="0.3">
      <c r="B217" s="1802">
        <v>22</v>
      </c>
      <c r="C217" s="1803" t="s">
        <v>1744</v>
      </c>
      <c r="D217" s="1803"/>
      <c r="E217" s="1804"/>
      <c r="F217" s="1805"/>
      <c r="G217" s="1805"/>
      <c r="H217" s="1805"/>
      <c r="I217" s="1805"/>
      <c r="J217" s="1805"/>
      <c r="K217" s="1805"/>
      <c r="L217" s="1806"/>
      <c r="M217" s="1807">
        <v>1</v>
      </c>
    </row>
    <row r="218" spans="2:13" ht="7.5" customHeight="1" x14ac:dyDescent="0.3">
      <c r="C218" s="1802"/>
      <c r="D218" s="1802"/>
      <c r="E218" s="1808"/>
      <c r="F218" s="1802"/>
      <c r="G218" s="1802"/>
      <c r="H218" s="1802"/>
      <c r="I218" s="1802"/>
      <c r="J218" s="1802"/>
      <c r="K218" s="1802"/>
      <c r="L218" s="1830"/>
      <c r="M218" s="1809"/>
    </row>
    <row r="219" spans="2:13" ht="15" customHeight="1" x14ac:dyDescent="0.3">
      <c r="C219" s="1808" t="s">
        <v>1745</v>
      </c>
      <c r="D219" s="1808"/>
      <c r="E219" s="1808"/>
      <c r="F219" s="1808"/>
      <c r="G219" s="1808"/>
      <c r="H219" s="1808"/>
      <c r="I219" s="1808"/>
      <c r="J219" s="1808"/>
      <c r="K219" s="1808"/>
      <c r="L219" s="1808"/>
      <c r="M219" s="1808"/>
    </row>
    <row r="220" spans="2:13" ht="4.5" customHeight="1" x14ac:dyDescent="0.3">
      <c r="C220" s="1969"/>
      <c r="D220" s="1969"/>
      <c r="E220" s="1969"/>
      <c r="F220" s="1969"/>
      <c r="G220" s="1969"/>
      <c r="H220" s="1969"/>
      <c r="I220" s="1969"/>
      <c r="J220" s="1969"/>
      <c r="K220" s="1969"/>
      <c r="L220" s="1969"/>
      <c r="M220" s="1969"/>
    </row>
    <row r="221" spans="2:13" x14ac:dyDescent="0.3">
      <c r="E221" s="1799" t="s">
        <v>1746</v>
      </c>
      <c r="I221" s="3006" t="s">
        <v>1888</v>
      </c>
      <c r="J221" s="3007"/>
      <c r="K221" s="3007"/>
      <c r="L221" s="3008"/>
    </row>
    <row r="222" spans="2:13" x14ac:dyDescent="0.3">
      <c r="E222" s="1799" t="s">
        <v>1179</v>
      </c>
      <c r="H222" s="1839"/>
      <c r="I222" s="3033">
        <v>2235000</v>
      </c>
      <c r="J222" s="3034"/>
      <c r="K222" s="3034"/>
      <c r="L222" s="3035"/>
    </row>
    <row r="223" spans="2:13" ht="15" customHeight="1" x14ac:dyDescent="0.3">
      <c r="E223" s="1801" t="s">
        <v>143</v>
      </c>
      <c r="F223" s="1801"/>
      <c r="G223" s="1801"/>
      <c r="H223" s="1867"/>
      <c r="I223" s="3033">
        <v>25125166</v>
      </c>
      <c r="J223" s="3034"/>
      <c r="K223" s="3034"/>
      <c r="L223" s="3035"/>
    </row>
    <row r="224" spans="2:13" x14ac:dyDescent="0.3">
      <c r="E224" s="1799" t="s">
        <v>1186</v>
      </c>
      <c r="G224" s="1840"/>
      <c r="H224" s="1839"/>
      <c r="I224" s="3037">
        <f>I222/I223</f>
        <v>8.8954636160413825E-2</v>
      </c>
      <c r="J224" s="3038"/>
      <c r="K224" s="3038"/>
      <c r="L224" s="3039"/>
    </row>
    <row r="225" spans="2:13" x14ac:dyDescent="0.3">
      <c r="C225" s="1969"/>
      <c r="D225" s="1969"/>
      <c r="E225" s="1969"/>
      <c r="F225" s="1969"/>
      <c r="G225" s="1969"/>
      <c r="H225" s="1969"/>
      <c r="I225" s="1969"/>
      <c r="J225" s="1969"/>
      <c r="K225" s="1969"/>
      <c r="L225" s="1969"/>
      <c r="M225" s="1969"/>
    </row>
    <row r="226" spans="2:13" x14ac:dyDescent="0.3">
      <c r="B226" s="1802" t="s">
        <v>1747</v>
      </c>
      <c r="C226" s="1803" t="s">
        <v>1244</v>
      </c>
      <c r="D226" s="1803"/>
      <c r="E226" s="1804"/>
      <c r="F226" s="1805"/>
      <c r="G226" s="1805"/>
      <c r="H226" s="1805"/>
      <c r="I226" s="1805"/>
      <c r="J226" s="1805"/>
      <c r="K226" s="1805"/>
      <c r="L226" s="1806"/>
      <c r="M226" s="1807">
        <v>0</v>
      </c>
    </row>
    <row r="227" spans="2:13" ht="7.5" customHeight="1" x14ac:dyDescent="0.3">
      <c r="C227" s="1802"/>
      <c r="D227" s="1802"/>
      <c r="E227" s="1808"/>
      <c r="F227" s="1802"/>
      <c r="G227" s="1802"/>
      <c r="H227" s="1802"/>
      <c r="I227" s="1802"/>
      <c r="J227" s="1802"/>
      <c r="K227" s="1802"/>
      <c r="L227" s="1830"/>
      <c r="M227" s="1809"/>
    </row>
    <row r="228" spans="2:13" ht="15" customHeight="1" x14ac:dyDescent="0.3">
      <c r="C228" s="3040" t="s">
        <v>1245</v>
      </c>
      <c r="D228" s="3040"/>
      <c r="E228" s="3040"/>
      <c r="F228" s="3040"/>
      <c r="G228" s="3040"/>
      <c r="H228" s="3040"/>
      <c r="I228" s="3040"/>
      <c r="J228" s="3040"/>
      <c r="K228" s="3040"/>
      <c r="L228" s="3040"/>
      <c r="M228" s="3040"/>
    </row>
    <row r="229" spans="2:13" x14ac:dyDescent="0.3">
      <c r="C229" s="1969"/>
      <c r="D229" s="1969"/>
      <c r="E229" s="1969"/>
      <c r="F229" s="1969"/>
      <c r="G229" s="1969"/>
      <c r="H229" s="1969"/>
      <c r="I229" s="1969"/>
      <c r="J229" s="1969"/>
      <c r="K229" s="1969"/>
      <c r="L229" s="1969"/>
      <c r="M229" s="1969"/>
    </row>
    <row r="230" spans="2:13" x14ac:dyDescent="0.3">
      <c r="C230" s="1847" t="s">
        <v>1246</v>
      </c>
      <c r="D230" s="1969"/>
      <c r="E230" s="1969"/>
      <c r="F230" s="1969"/>
      <c r="G230" s="1969"/>
      <c r="H230" s="1969"/>
      <c r="I230" s="3041">
        <v>23457732</v>
      </c>
      <c r="J230" s="3042"/>
      <c r="K230" s="3043"/>
      <c r="L230" s="1969"/>
      <c r="M230" s="1969"/>
    </row>
    <row r="231" spans="2:13" x14ac:dyDescent="0.3">
      <c r="C231" s="3036" t="s">
        <v>1842</v>
      </c>
      <c r="D231" s="3036"/>
      <c r="E231" s="3036"/>
      <c r="F231" s="3036"/>
      <c r="G231" s="3036"/>
      <c r="K231" s="1850">
        <v>24162956</v>
      </c>
    </row>
    <row r="232" spans="2:13" x14ac:dyDescent="0.3">
      <c r="C232" s="1847" t="s">
        <v>1247</v>
      </c>
      <c r="D232" s="1847"/>
      <c r="K232" s="1851">
        <f>1-K231/I230</f>
        <v>-3.0063605467058885E-2</v>
      </c>
    </row>
    <row r="233" spans="2:13" ht="52.5" customHeight="1" thickBot="1" x14ac:dyDescent="0.35">
      <c r="C233" s="3044" t="s">
        <v>2203</v>
      </c>
      <c r="D233" s="3045"/>
      <c r="E233" s="3045"/>
      <c r="F233" s="3045"/>
      <c r="G233" s="3045"/>
      <c r="H233" s="3045"/>
      <c r="I233" s="3045"/>
      <c r="J233" s="3045"/>
      <c r="K233" s="3045"/>
    </row>
    <row r="234" spans="2:13" ht="19.5" customHeight="1" thickTop="1" thickBot="1" x14ac:dyDescent="0.35">
      <c r="B234" s="1852"/>
      <c r="C234" s="1853" t="s">
        <v>1248</v>
      </c>
      <c r="D234" s="1854"/>
      <c r="E234" s="1855"/>
      <c r="F234" s="1852"/>
      <c r="G234" s="1852"/>
      <c r="H234" s="1852"/>
      <c r="I234" s="1852"/>
      <c r="J234" s="1852"/>
      <c r="K234" s="1852"/>
      <c r="L234" s="1852"/>
      <c r="M234" s="1856">
        <f>M15+M33+M40+M63+M83+M93+M100+M108+M115+M126+M138+M146+M153+M161+M169+M177+M185+M192+M200+M207+M213+M217+M226</f>
        <v>161</v>
      </c>
    </row>
    <row r="235" spans="2:13" ht="15" thickTop="1" x14ac:dyDescent="0.3"/>
    <row r="236" spans="2:13" x14ac:dyDescent="0.3">
      <c r="B236" s="1802" t="s">
        <v>1748</v>
      </c>
      <c r="C236" s="1803" t="s">
        <v>1244</v>
      </c>
      <c r="D236" s="1803"/>
      <c r="E236" s="1804"/>
      <c r="F236" s="1805"/>
      <c r="G236" s="1805"/>
      <c r="H236" s="1805"/>
      <c r="I236" s="1805"/>
      <c r="J236" s="1805"/>
      <c r="K236" s="1805"/>
      <c r="L236" s="1806"/>
      <c r="M236" s="1807">
        <v>0</v>
      </c>
    </row>
    <row r="237" spans="2:13" ht="7.5" customHeight="1" x14ac:dyDescent="0.3">
      <c r="C237" s="1802"/>
      <c r="D237" s="1802"/>
      <c r="E237" s="1808"/>
      <c r="F237" s="1802"/>
      <c r="G237" s="1802"/>
      <c r="H237" s="1802"/>
      <c r="I237" s="1802"/>
      <c r="J237" s="1802"/>
      <c r="K237" s="1802"/>
      <c r="L237" s="1830"/>
      <c r="M237" s="1809"/>
    </row>
    <row r="238" spans="2:13" ht="15" customHeight="1" x14ac:dyDescent="0.3">
      <c r="C238" s="3040" t="s">
        <v>1249</v>
      </c>
      <c r="D238" s="3040"/>
      <c r="E238" s="3040"/>
      <c r="F238" s="3040"/>
      <c r="G238" s="3040"/>
      <c r="H238" s="3040"/>
      <c r="I238" s="3040"/>
      <c r="J238" s="3040"/>
      <c r="K238" s="3040"/>
      <c r="L238" s="3040"/>
      <c r="M238" s="3040"/>
    </row>
    <row r="239" spans="2:13" x14ac:dyDescent="0.3">
      <c r="C239" s="1969"/>
      <c r="D239" s="1969"/>
      <c r="E239" s="1969"/>
      <c r="F239" s="1969"/>
      <c r="G239" s="1969"/>
      <c r="H239" s="1969"/>
      <c r="I239" s="1969"/>
      <c r="J239" s="1969"/>
      <c r="K239" s="1969"/>
      <c r="L239" s="1969"/>
      <c r="M239" s="1969"/>
    </row>
    <row r="240" spans="2:13" x14ac:dyDescent="0.3">
      <c r="C240" s="3036" t="s">
        <v>1842</v>
      </c>
      <c r="D240" s="3036"/>
      <c r="E240" s="3036"/>
      <c r="F240" s="3036"/>
      <c r="G240" s="3036"/>
      <c r="H240" s="1847"/>
      <c r="K240" s="1850">
        <v>0</v>
      </c>
    </row>
    <row r="241" spans="2:13" x14ac:dyDescent="0.3">
      <c r="C241" s="3036" t="s">
        <v>1843</v>
      </c>
      <c r="D241" s="3036"/>
      <c r="E241" s="3036"/>
      <c r="F241" s="3036"/>
      <c r="G241" s="3036"/>
      <c r="K241" s="1989">
        <v>0</v>
      </c>
    </row>
    <row r="242" spans="2:13" x14ac:dyDescent="0.3">
      <c r="C242" s="1847" t="s">
        <v>1250</v>
      </c>
      <c r="D242" s="1847"/>
      <c r="K242" s="1857" t="e">
        <f>K240/K241</f>
        <v>#DIV/0!</v>
      </c>
    </row>
    <row r="243" spans="2:13" ht="15" thickBot="1" x14ac:dyDescent="0.35"/>
    <row r="244" spans="2:13" ht="19.5" customHeight="1" thickTop="1" thickBot="1" x14ac:dyDescent="0.35">
      <c r="B244" s="1852"/>
      <c r="C244" s="1853" t="s">
        <v>1251</v>
      </c>
      <c r="D244" s="1854"/>
      <c r="E244" s="1855"/>
      <c r="F244" s="1852"/>
      <c r="G244" s="1852"/>
      <c r="H244" s="1852"/>
      <c r="I244" s="1852"/>
      <c r="J244" s="1852"/>
      <c r="K244" s="1852"/>
      <c r="L244" s="1852"/>
      <c r="M244" s="1856">
        <f>M234+M236</f>
        <v>161</v>
      </c>
    </row>
    <row r="245" spans="2:13" ht="15" thickTop="1" x14ac:dyDescent="0.3"/>
  </sheetData>
  <mergeCells count="73">
    <mergeCell ref="C240:G240"/>
    <mergeCell ref="C241:G241"/>
    <mergeCell ref="I224:L224"/>
    <mergeCell ref="C228:M228"/>
    <mergeCell ref="I230:K230"/>
    <mergeCell ref="C231:G231"/>
    <mergeCell ref="C238:M238"/>
    <mergeCell ref="C233:K233"/>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0" priority="7">
      <formula>G189="in King County and is not eligible for these points."</formula>
    </cfRule>
  </conditionalFormatting>
  <dataValidations count="27">
    <dataValidation type="list" allowBlank="1" showInputMessage="1" showErrorMessage="1" sqref="G182:L182" xr:uid="{00000000-0002-0000-2F00-000000000000}">
      <formula1>nine_percent_kc_opp_area</formula1>
    </dataValidation>
    <dataValidation type="list" allowBlank="1" showInputMessage="1" showErrorMessage="1" sqref="H97" xr:uid="{00000000-0002-0000-2F00-000001000000}">
      <formula1>nine_percent_KC_HTF</formula1>
    </dataValidation>
    <dataValidation type="decimal" operator="notBetween" allowBlank="1" showInputMessage="1" showErrorMessage="1" error="Award must be at least $750,000." sqref="K98" xr:uid="{00000000-0002-0000-2F00-000002000000}">
      <formula1>1</formula1>
      <formula2>749999</formula2>
    </dataValidation>
    <dataValidation type="list" allowBlank="1" showErrorMessage="1" prompt="_x000a_" sqref="H19:M19" xr:uid="{00000000-0002-0000-2F00-000003000000}">
      <formula1>nine_perc_lower_income_county_setasides</formula1>
    </dataValidation>
    <dataValidation type="list" allowBlank="1" showErrorMessage="1" prompt="Select Set-Aside Combination_x000a_" sqref="H18:M18" xr:uid="{00000000-0002-0000-2F00-000004000000}">
      <formula1>nine_perc_lower_income_counties</formula1>
    </dataValidation>
    <dataValidation type="list" allowBlank="1" showInputMessage="1" showErrorMessage="1" sqref="K189:L189" xr:uid="{00000000-0002-0000-2F00-000005000000}">
      <formula1>nine_percent_job_centers</formula1>
    </dataValidation>
    <dataValidation type="list" allowBlank="1" showInputMessage="1" showErrorMessage="1" sqref="G174:L174" xr:uid="{00000000-0002-0000-2F00-000006000000}">
      <formula1>nine_percent_king_county_tod</formula1>
    </dataValidation>
    <dataValidation type="list" allowBlank="1" showInputMessage="1" showErrorMessage="1" sqref="G150:L150" xr:uid="{00000000-0002-0000-2F00-000007000000}">
      <formula1>nine_percent_location_efficient_projects</formula1>
    </dataValidation>
    <dataValidation type="list" allowBlank="1" showInputMessage="1" showErrorMessage="1" sqref="G76:L76 G71:L71" xr:uid="{00000000-0002-0000-2F00-000008000000}">
      <formula1>nine_percent_local_funding_types</formula1>
    </dataValidation>
    <dataValidation type="list" allowBlank="1" showInputMessage="1" showErrorMessage="1" sqref="G75:L75 G70:L70" xr:uid="{00000000-0002-0000-2F00-000009000000}">
      <formula1>nine_percent_local_funding_sources</formula1>
    </dataValidation>
    <dataValidation type="list" allowBlank="1" showInputMessage="1" showErrorMessage="1" sqref="G68:L68" xr:uid="{00000000-0002-0000-2F00-00000A000000}">
      <formula1>local_funding_counties</formula1>
    </dataValidation>
    <dataValidation type="list" allowBlank="1" showInputMessage="1" showErrorMessage="1" sqref="H21:M21" xr:uid="{00000000-0002-0000-2F00-00000B000000}">
      <formula1>nine_perc_higher_income_counties</formula1>
    </dataValidation>
    <dataValidation type="list" allowBlank="1" showInputMessage="1" showErrorMessage="1" sqref="E53:M53 E51:M51" xr:uid="{00000000-0002-0000-2F00-00000C000000}">
      <formula1>nine_percent_special_needs</formula1>
    </dataValidation>
    <dataValidation type="list" allowBlank="1" showInputMessage="1" showErrorMessage="1" sqref="E45:M45" xr:uid="{00000000-0002-0000-2F00-00000D000000}">
      <formula1>nine_percent_homeless</formula1>
    </dataValidation>
    <dataValidation type="list" allowBlank="1" showInputMessage="1" showErrorMessage="1" sqref="H22:M22" xr:uid="{00000000-0002-0000-2F00-00000E000000}">
      <formula1>nine_perc_higher_income_county_setasides</formula1>
    </dataValidation>
    <dataValidation type="list" allowBlank="1" showInputMessage="1" showErrorMessage="1" sqref="H20" xr:uid="{00000000-0002-0000-2F00-00000F000000}">
      <formula1>Inc_Lower</formula1>
    </dataValidation>
    <dataValidation type="list" allowBlank="1" showInputMessage="1" showErrorMessage="1" sqref="F130" xr:uid="{00000000-0002-0000-2F00-000010000000}">
      <formula1>nine_percent_historic</formula1>
    </dataValidation>
    <dataValidation type="list" allowBlank="1" showInputMessage="1" showErrorMessage="1" sqref="E113:F113" xr:uid="{00000000-0002-0000-2F00-000011000000}">
      <formula1>DevFees</formula1>
    </dataValidation>
    <dataValidation type="list" allowBlank="1" showInputMessage="1" sqref="E37:F37" xr:uid="{00000000-0002-0000-2F00-000012000000}">
      <formula1>nine_percent_years</formula1>
    </dataValidation>
    <dataValidation type="list" allowBlank="1" showInputMessage="1" showErrorMessage="1" sqref="E26:E29" xr:uid="{00000000-0002-0000-2F00-000013000000}">
      <formula1>nine_pecent_inc_percent</formula1>
    </dataValidation>
    <dataValidation type="list" allowBlank="1" showInputMessage="1" showErrorMessage="1" sqref="G67:L67 G166:L166 G158:L158" xr:uid="{00000000-0002-0000-2F00-000014000000}">
      <formula1>nine_percent_local_funding_counties</formula1>
    </dataValidation>
    <dataValidation type="list" allowBlank="1" showInputMessage="1" showErrorMessage="1" sqref="H88" xr:uid="{00000000-0002-0000-2F00-000015000000}">
      <formula1>nine_percent_federal_funding_sources</formula1>
    </dataValidation>
    <dataValidation type="list" allowBlank="1" showInputMessage="1" showErrorMessage="1" sqref="E112:F112" xr:uid="{00000000-0002-0000-2F00-000016000000}">
      <formula1>nine_percent_dev_fees</formula1>
    </dataValidation>
    <dataValidation type="list" allowBlank="1" showInputMessage="1" showErrorMessage="1" sqref="I120:L121" xr:uid="{00000000-0002-0000-2F00-000017000000}">
      <formula1>nine_percent_at_risk</formula1>
    </dataValidation>
    <dataValidation type="list" allowBlank="1" showInputMessage="1" showErrorMessage="1" sqref="G142" xr:uid="{00000000-0002-0000-2F00-000018000000}">
      <formula1>nine_percent_eligible_tribes</formula1>
    </dataValidation>
    <dataValidation type="list" allowBlank="1" showInputMessage="1" showErrorMessage="1" sqref="G189" xr:uid="{00000000-0002-0000-2F00-000019000000}">
      <formula1>nine_percent_in_within</formula1>
    </dataValidation>
    <dataValidation type="list" allowBlank="1" showInputMessage="1" showErrorMessage="1" sqref="E197:I197" xr:uid="{00000000-0002-0000-2F00-00001A000000}">
      <formula1>nine_percent_np_sponsor</formula1>
    </dataValidation>
  </dataValidations>
  <pageMargins left="1" right="1" top="0.75" bottom="0.75" header="0.3" footer="0.3"/>
  <pageSetup scale="75" firstPageNumber="2" fitToHeight="0" orientation="portrait" r:id="rId1"/>
  <headerFooter>
    <oddFooter>&amp;LForm  11A
9% Tax Credit Criteria Scoring&amp;CCFA Forms&amp;REdition: 2017
Version: 1.0</oddFooter>
  </headerFooter>
  <rowBreaks count="3" manualBreakCount="3">
    <brk id="62" max="12" man="1"/>
    <brk id="125" max="12" man="1"/>
    <brk id="184" max="12" man="1"/>
  </rowBreaks>
  <colBreaks count="1" manualBreakCount="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C235"/>
  <sheetViews>
    <sheetView zoomScaleNormal="100" workbookViewId="0">
      <selection activeCell="S93" sqref="S93"/>
    </sheetView>
  </sheetViews>
  <sheetFormatPr defaultColWidth="8.88671875" defaultRowHeight="14.4" x14ac:dyDescent="0.3"/>
  <cols>
    <col min="1" max="1" width="1.5546875" style="1689" customWidth="1"/>
    <col min="2" max="2" width="3.44140625" style="1689" customWidth="1"/>
    <col min="3" max="3" width="2.109375" style="1689" customWidth="1"/>
    <col min="4" max="4" width="2.88671875" style="1689" customWidth="1"/>
    <col min="5" max="5" width="10.5546875" style="1689" customWidth="1"/>
    <col min="6" max="6" width="9.109375" style="1689" customWidth="1"/>
    <col min="7" max="7" width="10.88671875" style="1689" customWidth="1"/>
    <col min="8" max="8" width="11.5546875" style="1689" customWidth="1"/>
    <col min="9" max="9" width="9.88671875" style="1689" customWidth="1"/>
    <col min="10" max="10" width="7.44140625" style="1689" customWidth="1"/>
    <col min="11" max="11" width="15.44140625" style="1689" customWidth="1"/>
    <col min="12" max="12" width="12" style="1689" bestFit="1" customWidth="1"/>
    <col min="13" max="13" width="9.109375" style="1689" customWidth="1"/>
    <col min="14" max="14" width="3.33203125" style="1689" customWidth="1"/>
    <col min="15" max="16384" width="8.88671875" style="1689"/>
  </cols>
  <sheetData>
    <row r="1" spans="1:13" s="1688" customFormat="1" ht="18.75" customHeight="1" x14ac:dyDescent="0.25">
      <c r="A1" s="2962" t="s">
        <v>1844</v>
      </c>
      <c r="B1" s="2962"/>
      <c r="C1" s="2962"/>
      <c r="D1" s="2962"/>
      <c r="E1" s="2962"/>
      <c r="F1" s="2962"/>
      <c r="G1" s="2962"/>
      <c r="H1" s="2962"/>
      <c r="I1" s="2962"/>
      <c r="J1" s="2962"/>
      <c r="K1" s="2962"/>
      <c r="L1" s="2962"/>
      <c r="M1" s="2962"/>
    </row>
    <row r="2" spans="1:13" ht="18" x14ac:dyDescent="0.35">
      <c r="B2" s="3048" t="s">
        <v>1617</v>
      </c>
      <c r="C2" s="3048"/>
      <c r="D2" s="3048"/>
      <c r="E2" s="3048"/>
      <c r="F2" s="3048"/>
      <c r="G2" s="3048"/>
      <c r="H2" s="3048"/>
      <c r="I2" s="3048"/>
      <c r="J2" s="3048"/>
      <c r="K2" s="3048"/>
      <c r="L2" s="3048"/>
      <c r="M2" s="3048"/>
    </row>
    <row r="3" spans="1:13" x14ac:dyDescent="0.3">
      <c r="B3" s="1690"/>
      <c r="C3" s="1690"/>
      <c r="D3" s="1690"/>
      <c r="E3" s="1690"/>
      <c r="F3" s="1690"/>
      <c r="G3" s="1690"/>
      <c r="H3" s="1690"/>
      <c r="I3" s="1690"/>
      <c r="J3" s="1690"/>
      <c r="K3" s="1690"/>
      <c r="L3" s="1690"/>
      <c r="M3" s="1690"/>
    </row>
    <row r="4" spans="1:13" ht="4.5" customHeight="1" x14ac:dyDescent="0.3">
      <c r="B4" s="1691"/>
      <c r="C4" s="1692"/>
      <c r="D4" s="1692"/>
      <c r="E4" s="1692"/>
      <c r="F4" s="1692"/>
      <c r="G4" s="1692"/>
      <c r="H4" s="1692"/>
      <c r="I4" s="1692"/>
      <c r="J4" s="1692"/>
      <c r="K4" s="1692"/>
      <c r="L4" s="1692"/>
      <c r="M4" s="1693"/>
    </row>
    <row r="5" spans="1:13" s="1694" customFormat="1" x14ac:dyDescent="0.3">
      <c r="B5" s="3049" t="s">
        <v>1618</v>
      </c>
      <c r="C5" s="3050"/>
      <c r="D5" s="3050"/>
      <c r="E5" s="3050"/>
      <c r="F5" s="3050"/>
      <c r="G5" s="3050"/>
      <c r="H5" s="3050"/>
      <c r="I5" s="3050"/>
      <c r="J5" s="3050"/>
      <c r="K5" s="3050"/>
      <c r="L5" s="3050"/>
      <c r="M5" s="3051"/>
    </row>
    <row r="6" spans="1:13" s="1694" customFormat="1" x14ac:dyDescent="0.3">
      <c r="B6" s="3049" t="s">
        <v>1619</v>
      </c>
      <c r="C6" s="3050"/>
      <c r="D6" s="3050"/>
      <c r="E6" s="3050"/>
      <c r="F6" s="3052" t="s">
        <v>1620</v>
      </c>
      <c r="G6" s="3052"/>
      <c r="H6" s="3052"/>
      <c r="I6" s="1963"/>
      <c r="J6" s="1963"/>
      <c r="K6" s="1963"/>
      <c r="L6" s="1963"/>
      <c r="M6" s="1964"/>
    </row>
    <row r="7" spans="1:13" s="1694" customFormat="1" ht="6.75" customHeight="1" x14ac:dyDescent="0.3">
      <c r="B7" s="1962"/>
      <c r="C7" s="1963"/>
      <c r="D7" s="1963"/>
      <c r="E7" s="1963"/>
      <c r="F7" s="1965"/>
      <c r="G7" s="1965"/>
      <c r="H7" s="1965"/>
      <c r="I7" s="1963"/>
      <c r="J7" s="1963"/>
      <c r="K7" s="1963"/>
      <c r="L7" s="1963"/>
      <c r="M7" s="1964"/>
    </row>
    <row r="8" spans="1:13" x14ac:dyDescent="0.3">
      <c r="B8" s="3053" t="s">
        <v>1621</v>
      </c>
      <c r="C8" s="3054"/>
      <c r="D8" s="3054"/>
      <c r="E8" s="3054"/>
      <c r="F8" s="3054"/>
      <c r="G8" s="3054"/>
      <c r="H8" s="3054"/>
      <c r="I8" s="3054"/>
      <c r="J8" s="3054"/>
      <c r="K8" s="3054"/>
      <c r="L8" s="3054"/>
      <c r="M8" s="3055"/>
    </row>
    <row r="9" spans="1:13" ht="15" thickBot="1" x14ac:dyDescent="0.35">
      <c r="B9" s="1695"/>
      <c r="C9" s="1696" t="s">
        <v>1622</v>
      </c>
      <c r="D9" s="1695"/>
      <c r="E9" s="1695"/>
      <c r="F9" s="1695"/>
      <c r="G9" s="1695"/>
      <c r="H9" s="1695"/>
      <c r="I9" s="1695"/>
      <c r="J9" s="1695"/>
      <c r="K9" s="1695"/>
      <c r="L9" s="1695"/>
      <c r="M9" s="1695"/>
    </row>
    <row r="10" spans="1:13" ht="15" customHeight="1" x14ac:dyDescent="0.3">
      <c r="L10" s="3056"/>
      <c r="M10" s="3058" t="s">
        <v>1140</v>
      </c>
    </row>
    <row r="11" spans="1:13" x14ac:dyDescent="0.3">
      <c r="E11" s="1697"/>
      <c r="L11" s="3057"/>
      <c r="M11" s="3058"/>
    </row>
    <row r="12" spans="1:13" x14ac:dyDescent="0.3">
      <c r="B12" s="1698" t="s">
        <v>1623</v>
      </c>
      <c r="C12" s="1699" t="s">
        <v>1624</v>
      </c>
      <c r="D12" s="1699"/>
      <c r="F12" s="1700"/>
      <c r="G12" s="1700"/>
      <c r="H12" s="1700"/>
      <c r="I12" s="1700"/>
      <c r="J12" s="1700"/>
      <c r="K12" s="1700"/>
      <c r="L12" s="1701" t="s">
        <v>1625</v>
      </c>
      <c r="M12" s="1702">
        <v>0</v>
      </c>
    </row>
    <row r="13" spans="1:13" ht="7.5" customHeight="1" x14ac:dyDescent="0.3">
      <c r="C13" s="1700"/>
      <c r="D13" s="1700"/>
      <c r="E13" s="1699"/>
      <c r="F13" s="1700"/>
      <c r="G13" s="1700"/>
      <c r="H13" s="1700"/>
      <c r="I13" s="1700"/>
      <c r="J13" s="1700"/>
      <c r="K13" s="1700"/>
      <c r="L13" s="1703"/>
      <c r="M13" s="1700"/>
    </row>
    <row r="14" spans="1:13" x14ac:dyDescent="0.3">
      <c r="C14" s="1700" t="s">
        <v>1142</v>
      </c>
      <c r="E14" s="1699"/>
      <c r="F14" s="1700"/>
      <c r="G14" s="1700"/>
      <c r="H14" s="1700"/>
      <c r="I14" s="1700"/>
      <c r="J14" s="1700"/>
      <c r="K14" s="1700"/>
      <c r="L14" s="1703"/>
      <c r="M14" s="1700"/>
    </row>
    <row r="15" spans="1:13" ht="6.75" customHeight="1" x14ac:dyDescent="0.3">
      <c r="C15" s="1700"/>
      <c r="E15" s="1699"/>
      <c r="F15" s="1700"/>
      <c r="G15" s="1700"/>
      <c r="H15" s="1700"/>
      <c r="I15" s="1700"/>
      <c r="J15" s="1700"/>
      <c r="K15" s="1700"/>
      <c r="L15" s="1703"/>
      <c r="M15" s="1700"/>
    </row>
    <row r="16" spans="1:13" x14ac:dyDescent="0.3">
      <c r="C16" s="1700"/>
      <c r="D16" s="1704"/>
      <c r="E16" s="3059" t="s">
        <v>1439</v>
      </c>
      <c r="F16" s="3060"/>
      <c r="G16" s="3060"/>
      <c r="H16" s="3060"/>
      <c r="I16" s="3060"/>
      <c r="J16" s="3060"/>
      <c r="K16" s="3060"/>
      <c r="L16" s="3061"/>
      <c r="M16" s="1705"/>
    </row>
    <row r="17" spans="2:13" x14ac:dyDescent="0.3">
      <c r="C17" s="1700"/>
      <c r="D17" s="1704"/>
    </row>
    <row r="18" spans="2:13" x14ac:dyDescent="0.3">
      <c r="E18" s="1706" t="s">
        <v>1149</v>
      </c>
      <c r="F18" s="1707"/>
      <c r="G18" s="1707"/>
      <c r="H18" s="1707"/>
      <c r="I18" s="1707"/>
      <c r="J18" s="1707"/>
      <c r="K18" s="1707"/>
      <c r="L18" s="1708"/>
      <c r="M18" s="1709"/>
    </row>
    <row r="19" spans="2:13" ht="28.5" customHeight="1" x14ac:dyDescent="0.3">
      <c r="E19" s="1710" t="s">
        <v>1150</v>
      </c>
      <c r="F19" s="1967"/>
      <c r="G19" s="1711" t="s">
        <v>1151</v>
      </c>
      <c r="H19" s="1967"/>
      <c r="I19" s="1711" t="s">
        <v>1152</v>
      </c>
      <c r="L19" s="1712"/>
      <c r="M19" s="1709"/>
    </row>
    <row r="20" spans="2:13" x14ac:dyDescent="0.3">
      <c r="E20" s="1713">
        <v>0</v>
      </c>
      <c r="F20" s="1714" t="s">
        <v>1153</v>
      </c>
      <c r="G20" s="1791" t="s">
        <v>1154</v>
      </c>
      <c r="H20" s="1715" t="s">
        <v>366</v>
      </c>
      <c r="I20" s="1716">
        <v>0</v>
      </c>
      <c r="L20" s="1712"/>
      <c r="M20" s="1709"/>
    </row>
    <row r="21" spans="2:13" x14ac:dyDescent="0.3">
      <c r="E21" s="1713">
        <v>0</v>
      </c>
      <c r="F21" s="1714" t="s">
        <v>1153</v>
      </c>
      <c r="G21" s="1791" t="s">
        <v>1156</v>
      </c>
      <c r="H21" s="1715" t="s">
        <v>366</v>
      </c>
      <c r="I21" s="1716">
        <v>0</v>
      </c>
      <c r="L21" s="1712"/>
      <c r="M21" s="1709"/>
    </row>
    <row r="22" spans="2:13" x14ac:dyDescent="0.3">
      <c r="E22" s="1713">
        <v>0</v>
      </c>
      <c r="F22" s="1717" t="s">
        <v>1153</v>
      </c>
      <c r="G22" s="1791" t="s">
        <v>1157</v>
      </c>
      <c r="H22" s="1715" t="s">
        <v>366</v>
      </c>
      <c r="I22" s="1716">
        <v>0</v>
      </c>
      <c r="L22" s="1712"/>
      <c r="M22" s="1709"/>
    </row>
    <row r="23" spans="2:13" x14ac:dyDescent="0.3">
      <c r="E23" s="1718"/>
      <c r="F23" s="3062" t="s">
        <v>1626</v>
      </c>
      <c r="G23" s="3063"/>
      <c r="H23" s="3064"/>
      <c r="I23" s="1719">
        <f>SUM(I20:I22)</f>
        <v>0</v>
      </c>
      <c r="J23" s="1720" t="s">
        <v>1158</v>
      </c>
      <c r="K23" s="1721"/>
      <c r="L23" s="1722"/>
      <c r="M23" s="1709"/>
    </row>
    <row r="24" spans="2:13" ht="15" thickBot="1" x14ac:dyDescent="0.35">
      <c r="B24" s="1723"/>
      <c r="C24" s="1723"/>
      <c r="D24" s="1723"/>
      <c r="E24" s="1723"/>
      <c r="F24" s="1723"/>
      <c r="G24" s="1723"/>
      <c r="H24" s="1723"/>
      <c r="I24" s="1724"/>
      <c r="J24" s="1725"/>
      <c r="K24" s="1723"/>
      <c r="L24" s="1723"/>
      <c r="M24" s="1723"/>
    </row>
    <row r="25" spans="2:13" x14ac:dyDescent="0.3">
      <c r="I25" s="1726"/>
      <c r="J25" s="1699"/>
    </row>
    <row r="26" spans="2:13" x14ac:dyDescent="0.3">
      <c r="B26" s="1698" t="s">
        <v>1627</v>
      </c>
      <c r="C26" s="1699" t="s">
        <v>1628</v>
      </c>
      <c r="D26" s="1699"/>
      <c r="F26" s="1700"/>
      <c r="G26" s="1700"/>
      <c r="H26" s="1700"/>
      <c r="I26" s="1700"/>
      <c r="J26" s="1700"/>
      <c r="K26" s="1700"/>
      <c r="L26" s="1701" t="s">
        <v>1629</v>
      </c>
      <c r="M26" s="1727">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3">
      <c r="C27" s="1700"/>
      <c r="D27" s="1700"/>
      <c r="E27" s="1699"/>
      <c r="F27" s="1700"/>
      <c r="G27" s="1700"/>
      <c r="H27" s="1700"/>
      <c r="I27" s="1700"/>
      <c r="J27" s="1700"/>
      <c r="K27" s="1700"/>
      <c r="L27" s="1728"/>
      <c r="M27" s="1703"/>
    </row>
    <row r="28" spans="2:13" x14ac:dyDescent="0.3">
      <c r="C28" s="1699" t="s">
        <v>1440</v>
      </c>
      <c r="D28" s="1699"/>
    </row>
    <row r="29" spans="2:13" ht="4.5" customHeight="1" x14ac:dyDescent="0.3">
      <c r="C29" s="1699"/>
      <c r="D29" s="1699"/>
    </row>
    <row r="30" spans="2:13" x14ac:dyDescent="0.3">
      <c r="E30" s="3065" t="s">
        <v>1161</v>
      </c>
      <c r="F30" s="3066"/>
      <c r="G30" s="1729" t="s">
        <v>1625</v>
      </c>
      <c r="H30" s="1697"/>
      <c r="I30" s="1730"/>
      <c r="J30" s="1715"/>
    </row>
    <row r="31" spans="2:13" ht="15" thickBot="1" x14ac:dyDescent="0.35">
      <c r="B31" s="1723"/>
      <c r="C31" s="1723"/>
      <c r="D31" s="1723"/>
      <c r="E31" s="1731"/>
      <c r="F31" s="1731"/>
      <c r="G31" s="1732"/>
      <c r="H31" s="1733"/>
      <c r="I31" s="1734"/>
      <c r="J31" s="1735"/>
      <c r="K31" s="1723"/>
      <c r="L31" s="1723"/>
      <c r="M31" s="1723"/>
    </row>
    <row r="33" spans="2:14" x14ac:dyDescent="0.3">
      <c r="B33" s="1698" t="s">
        <v>1630</v>
      </c>
      <c r="C33" s="1699" t="s">
        <v>1631</v>
      </c>
      <c r="D33" s="1699"/>
      <c r="F33" s="1700"/>
      <c r="G33" s="1700"/>
      <c r="H33" s="1700"/>
      <c r="I33" s="1700"/>
      <c r="J33" s="1700"/>
      <c r="K33" s="1700"/>
      <c r="L33" s="1701" t="s">
        <v>1629</v>
      </c>
      <c r="M33" s="1727">
        <f>SUM(L42,L43,L48,L49,L54,L55,)</f>
        <v>5</v>
      </c>
    </row>
    <row r="34" spans="2:14" ht="7.5" customHeight="1" x14ac:dyDescent="0.3">
      <c r="C34" s="1700"/>
      <c r="D34" s="1700"/>
      <c r="E34" s="1699"/>
      <c r="F34" s="1700"/>
      <c r="G34" s="1700"/>
      <c r="H34" s="1700"/>
      <c r="I34" s="1700"/>
      <c r="J34" s="1700"/>
      <c r="K34" s="1700"/>
      <c r="L34" s="1700"/>
      <c r="M34" s="1700"/>
    </row>
    <row r="35" spans="2:14" ht="10.5" customHeight="1" x14ac:dyDescent="0.3">
      <c r="C35" s="3067" t="s">
        <v>1441</v>
      </c>
      <c r="D35" s="3067"/>
      <c r="E35" s="3067"/>
      <c r="F35" s="3067"/>
      <c r="G35" s="3067"/>
      <c r="H35" s="3067"/>
      <c r="I35" s="3067"/>
      <c r="J35" s="3067"/>
      <c r="K35" s="3067"/>
      <c r="L35" s="3067"/>
      <c r="M35" s="3067"/>
    </row>
    <row r="36" spans="2:14" ht="15" customHeight="1" x14ac:dyDescent="0.3">
      <c r="C36" s="3067"/>
      <c r="D36" s="3067"/>
      <c r="E36" s="3067"/>
      <c r="F36" s="3067"/>
      <c r="G36" s="3067"/>
      <c r="H36" s="3067"/>
      <c r="I36" s="3067"/>
      <c r="J36" s="3067"/>
      <c r="K36" s="3067"/>
      <c r="L36" s="3067"/>
      <c r="M36" s="3067"/>
      <c r="N36" s="1967"/>
    </row>
    <row r="37" spans="2:14" ht="4.5" customHeight="1" x14ac:dyDescent="0.3">
      <c r="E37" s="1967"/>
      <c r="F37" s="1967"/>
      <c r="G37" s="1967"/>
      <c r="H37" s="1967"/>
      <c r="I37" s="1699" t="s">
        <v>306</v>
      </c>
      <c r="J37" s="1967"/>
      <c r="K37" s="1967"/>
      <c r="L37" s="1967"/>
      <c r="M37" s="1967"/>
      <c r="N37" s="1967"/>
    </row>
    <row r="38" spans="2:14" ht="17.25" customHeight="1" x14ac:dyDescent="0.3">
      <c r="E38" s="1967"/>
      <c r="F38" s="1967"/>
      <c r="G38" s="1967"/>
      <c r="H38" s="1967"/>
      <c r="I38" s="1736" t="s">
        <v>1632</v>
      </c>
      <c r="J38" s="1967"/>
      <c r="K38" s="1967"/>
      <c r="L38" s="1967"/>
      <c r="M38" s="1967"/>
      <c r="N38" s="1967"/>
    </row>
    <row r="39" spans="2:14" ht="16.2" customHeight="1" x14ac:dyDescent="0.3">
      <c r="C39" s="1699" t="s">
        <v>1442</v>
      </c>
      <c r="D39" s="1699"/>
      <c r="F39" s="1697"/>
      <c r="G39" s="1697"/>
      <c r="H39" s="1697"/>
      <c r="I39" s="1697"/>
      <c r="J39" s="1697"/>
    </row>
    <row r="40" spans="2:14" ht="6.75" customHeight="1" x14ac:dyDescent="0.3">
      <c r="C40" s="1699"/>
      <c r="D40" s="1699"/>
      <c r="F40" s="1697"/>
      <c r="G40" s="1697"/>
      <c r="H40" s="1697"/>
      <c r="I40" s="1697"/>
      <c r="J40" s="1697"/>
    </row>
    <row r="41" spans="2:14" ht="5.25" customHeight="1" x14ac:dyDescent="0.3">
      <c r="E41" s="1737"/>
      <c r="F41" s="1737"/>
      <c r="G41" s="1737"/>
      <c r="H41" s="1737"/>
      <c r="I41" s="1737"/>
      <c r="J41" s="1737"/>
      <c r="K41" s="1737"/>
      <c r="L41" s="1737"/>
      <c r="M41" s="1737"/>
    </row>
    <row r="42" spans="2:14" ht="16.2" customHeight="1" x14ac:dyDescent="0.3">
      <c r="E42" s="1737" t="s">
        <v>1443</v>
      </c>
      <c r="G42" s="1737"/>
      <c r="H42" s="1737"/>
      <c r="J42" s="1737" t="s">
        <v>1165</v>
      </c>
      <c r="K42" s="1738">
        <v>18</v>
      </c>
      <c r="L42" s="1739">
        <v>5</v>
      </c>
      <c r="M42" s="1737" t="s">
        <v>1633</v>
      </c>
    </row>
    <row r="43" spans="2:14" ht="16.2" customHeight="1" x14ac:dyDescent="0.3">
      <c r="E43" s="1737" t="s">
        <v>1444</v>
      </c>
      <c r="G43" s="1737"/>
      <c r="H43" s="1737"/>
      <c r="J43" s="1737" t="s">
        <v>1165</v>
      </c>
      <c r="K43" s="1738">
        <v>0</v>
      </c>
      <c r="L43" s="1739"/>
      <c r="M43" s="1737" t="s">
        <v>1633</v>
      </c>
    </row>
    <row r="44" spans="2:14" ht="16.2" customHeight="1" x14ac:dyDescent="0.3">
      <c r="E44" s="1737"/>
      <c r="F44" s="1737"/>
      <c r="G44" s="1737"/>
      <c r="H44" s="1737"/>
      <c r="I44" s="1737"/>
      <c r="J44" s="1737"/>
      <c r="K44" s="1737"/>
      <c r="L44" s="1737"/>
      <c r="M44" s="1737"/>
    </row>
    <row r="45" spans="2:14" ht="16.2" customHeight="1" x14ac:dyDescent="0.3">
      <c r="C45" s="1699" t="s">
        <v>1445</v>
      </c>
      <c r="D45" s="1699"/>
      <c r="F45" s="1697"/>
      <c r="G45" s="1697"/>
      <c r="H45" s="1697"/>
      <c r="I45" s="1697"/>
      <c r="J45" s="1697"/>
    </row>
    <row r="46" spans="2:14" ht="7.5" customHeight="1" x14ac:dyDescent="0.3">
      <c r="C46" s="1699"/>
      <c r="D46" s="1699"/>
      <c r="F46" s="1697"/>
      <c r="G46" s="1697"/>
      <c r="H46" s="1697"/>
      <c r="I46" s="1697"/>
      <c r="J46" s="1697"/>
    </row>
    <row r="47" spans="2:14" ht="6" customHeight="1" x14ac:dyDescent="0.3">
      <c r="E47" s="1740"/>
      <c r="F47" s="1741"/>
      <c r="G47" s="1741"/>
      <c r="H47" s="1741"/>
      <c r="I47" s="1741"/>
      <c r="J47" s="1741"/>
      <c r="K47" s="1740"/>
      <c r="L47" s="1740"/>
      <c r="M47" s="1740"/>
    </row>
    <row r="48" spans="2:14" ht="16.2" customHeight="1" x14ac:dyDescent="0.3">
      <c r="E48" s="1737" t="s">
        <v>1446</v>
      </c>
      <c r="G48" s="1737"/>
      <c r="H48" s="1737"/>
      <c r="I48" s="1737"/>
      <c r="J48" s="1737" t="s">
        <v>1165</v>
      </c>
      <c r="K48" s="1738">
        <v>0</v>
      </c>
      <c r="L48" s="1739"/>
      <c r="M48" s="1737" t="s">
        <v>1633</v>
      </c>
    </row>
    <row r="49" spans="1:29" ht="16.2" customHeight="1" x14ac:dyDescent="0.3">
      <c r="E49" s="1742" t="s">
        <v>1169</v>
      </c>
      <c r="H49" s="1742"/>
      <c r="I49" s="1742"/>
      <c r="J49" s="1742" t="s">
        <v>1165</v>
      </c>
      <c r="K49" s="1738">
        <v>0</v>
      </c>
      <c r="L49" s="1739"/>
      <c r="M49" s="1737" t="s">
        <v>1633</v>
      </c>
    </row>
    <row r="50" spans="1:29" s="1743" customFormat="1" ht="16.2" customHeight="1" x14ac:dyDescent="0.3">
      <c r="A50" s="1689"/>
      <c r="B50" s="1689"/>
      <c r="C50" s="1689"/>
      <c r="D50" s="1737"/>
      <c r="E50" s="1737"/>
      <c r="F50" s="1737"/>
      <c r="G50" s="1737"/>
      <c r="H50" s="1737"/>
      <c r="I50" s="1737"/>
      <c r="J50" s="1737"/>
      <c r="K50" s="1737"/>
      <c r="L50" s="1737"/>
      <c r="M50" s="1689"/>
      <c r="N50" s="1689"/>
      <c r="O50" s="1689"/>
      <c r="P50" s="1689"/>
      <c r="Q50" s="1689"/>
      <c r="R50" s="1689"/>
      <c r="S50" s="1737"/>
      <c r="T50" s="1737"/>
      <c r="U50" s="1737"/>
      <c r="V50" s="1737"/>
      <c r="W50" s="1737"/>
      <c r="X50" s="1737"/>
      <c r="Y50" s="1737"/>
      <c r="Z50" s="1737"/>
      <c r="AA50" s="1737"/>
      <c r="AB50" s="1689"/>
      <c r="AC50" s="1689"/>
    </row>
    <row r="51" spans="1:29" ht="16.2" customHeight="1" x14ac:dyDescent="0.3">
      <c r="C51" s="1689" t="s">
        <v>1447</v>
      </c>
      <c r="D51" s="1737"/>
      <c r="E51" s="1737"/>
      <c r="F51" s="1737"/>
      <c r="G51" s="1737"/>
      <c r="H51" s="1737"/>
      <c r="I51" s="1737"/>
      <c r="J51" s="1737"/>
      <c r="K51" s="1737"/>
      <c r="L51" s="1737"/>
      <c r="S51" s="1737"/>
      <c r="T51" s="1737"/>
      <c r="U51" s="1737"/>
      <c r="V51" s="1737"/>
      <c r="W51" s="1737"/>
      <c r="X51" s="1737"/>
      <c r="Y51" s="1737"/>
      <c r="Z51" s="1737"/>
      <c r="AA51" s="1737"/>
    </row>
    <row r="52" spans="1:29" ht="6.75" customHeight="1" x14ac:dyDescent="0.3">
      <c r="C52" s="1744"/>
      <c r="D52" s="1744"/>
      <c r="E52" s="1737"/>
      <c r="F52" s="1737"/>
      <c r="H52" s="1737"/>
      <c r="I52" s="1737"/>
      <c r="J52" s="1737"/>
      <c r="K52" s="1737"/>
      <c r="L52" s="1745"/>
      <c r="M52" s="1737"/>
    </row>
    <row r="53" spans="1:29" s="1743" customFormat="1" ht="6" customHeight="1" x14ac:dyDescent="0.3">
      <c r="D53" s="1737"/>
      <c r="E53" s="1737"/>
      <c r="F53" s="1737"/>
      <c r="G53" s="1737"/>
      <c r="H53" s="1737"/>
      <c r="I53" s="1737"/>
      <c r="J53" s="1737"/>
      <c r="K53" s="1737"/>
      <c r="L53" s="1737"/>
      <c r="M53" s="1737"/>
      <c r="N53" s="1737"/>
      <c r="O53" s="1737"/>
    </row>
    <row r="54" spans="1:29" ht="16.2" customHeight="1" x14ac:dyDescent="0.3">
      <c r="E54" s="1737"/>
      <c r="F54" s="1737" t="s">
        <v>1448</v>
      </c>
      <c r="G54" s="1737"/>
      <c r="H54" s="1737"/>
      <c r="I54" s="1737"/>
      <c r="J54" s="1737"/>
      <c r="K54" s="1737"/>
      <c r="L54" s="1739"/>
      <c r="M54" s="1737" t="s">
        <v>1633</v>
      </c>
      <c r="N54" s="1737"/>
      <c r="O54" s="1737"/>
      <c r="P54" s="1737"/>
      <c r="Q54" s="1737"/>
      <c r="R54" s="1737"/>
      <c r="S54" s="1737"/>
    </row>
    <row r="55" spans="1:29" ht="16.2" customHeight="1" x14ac:dyDescent="0.4">
      <c r="E55" s="1737"/>
      <c r="F55" s="1737" t="s">
        <v>1634</v>
      </c>
      <c r="G55" s="1737"/>
      <c r="H55" s="1737"/>
      <c r="I55" s="1737"/>
      <c r="J55" s="1737"/>
      <c r="K55" s="1737"/>
      <c r="L55" s="1739"/>
      <c r="M55" s="1737" t="s">
        <v>1633</v>
      </c>
      <c r="N55" s="1737"/>
      <c r="O55" s="1737"/>
      <c r="P55" s="1737"/>
      <c r="Q55" s="1737"/>
      <c r="R55" s="1737"/>
      <c r="S55" s="1737"/>
    </row>
    <row r="56" spans="1:29" ht="16.2" customHeight="1" x14ac:dyDescent="0.3">
      <c r="E56" s="1737"/>
      <c r="F56" s="1746" t="s">
        <v>1635</v>
      </c>
      <c r="G56" s="1737"/>
      <c r="H56" s="1737"/>
      <c r="I56" s="1737"/>
      <c r="J56" s="1737"/>
      <c r="K56" s="1737"/>
      <c r="L56" s="1737"/>
      <c r="M56" s="1737"/>
      <c r="N56" s="1737"/>
      <c r="O56" s="1737"/>
      <c r="P56" s="1737"/>
      <c r="Q56" s="1737"/>
      <c r="R56" s="1737"/>
      <c r="S56" s="1737"/>
    </row>
    <row r="57" spans="1:29" ht="16.2" customHeight="1" thickBot="1" x14ac:dyDescent="0.35">
      <c r="C57" s="1723"/>
      <c r="D57" s="1723"/>
      <c r="E57" s="1731"/>
      <c r="F57" s="1731"/>
      <c r="G57" s="1731"/>
      <c r="H57" s="1731"/>
      <c r="I57" s="1731"/>
      <c r="J57" s="1731"/>
      <c r="K57" s="1731"/>
      <c r="L57" s="1731"/>
      <c r="M57" s="1731"/>
      <c r="N57" s="1737"/>
      <c r="O57" s="1737"/>
      <c r="P57" s="1737"/>
      <c r="Q57" s="1737"/>
      <c r="R57" s="1737"/>
      <c r="S57" s="1737"/>
    </row>
    <row r="58" spans="1:29" ht="16.2" customHeight="1" x14ac:dyDescent="0.3">
      <c r="E58" s="1737"/>
      <c r="F58" s="1747"/>
      <c r="H58" s="1737"/>
      <c r="I58" s="1737" t="s">
        <v>1636</v>
      </c>
      <c r="J58" s="1737"/>
      <c r="K58" s="1737"/>
      <c r="L58" s="1745"/>
      <c r="M58" s="1737"/>
    </row>
    <row r="59" spans="1:29" x14ac:dyDescent="0.3">
      <c r="B59" s="1698" t="s">
        <v>1637</v>
      </c>
      <c r="C59" s="1699" t="s">
        <v>1638</v>
      </c>
      <c r="D59" s="1699"/>
      <c r="F59" s="1700"/>
      <c r="G59" s="1700"/>
      <c r="H59" s="1700"/>
      <c r="I59" s="1700"/>
      <c r="J59" s="1700"/>
      <c r="K59" s="1700"/>
      <c r="L59" s="1701" t="s">
        <v>1629</v>
      </c>
      <c r="M59" s="1748">
        <f>IF(J67&gt;=0.7599,10,IF(J67&gt;0.5099,8,IF(J67&gt;0.2599,6,IF(J67&gt;0.1599,4,IF(J67&gt;0.0002,2,IF(J67&gt;=0,0))))))</f>
        <v>0</v>
      </c>
    </row>
    <row r="60" spans="1:29" ht="10.5" customHeight="1" x14ac:dyDescent="0.3">
      <c r="C60" s="1700"/>
      <c r="D60" s="1700"/>
      <c r="E60" s="1699"/>
      <c r="F60" s="1700"/>
      <c r="G60" s="1700"/>
      <c r="H60" s="1700"/>
      <c r="I60" s="1700"/>
      <c r="J60" s="1700"/>
      <c r="K60" s="1700"/>
      <c r="L60" s="1728"/>
      <c r="M60" s="1703"/>
    </row>
    <row r="61" spans="1:29" ht="6.75" customHeight="1" x14ac:dyDescent="0.3">
      <c r="C61" s="1699"/>
      <c r="D61" s="1699"/>
      <c r="E61" s="1744"/>
    </row>
    <row r="62" spans="1:29" x14ac:dyDescent="0.3">
      <c r="E62" s="3065" t="s">
        <v>1161</v>
      </c>
      <c r="F62" s="3068"/>
      <c r="G62" s="3068"/>
      <c r="H62" s="3068"/>
      <c r="I62" s="3068"/>
      <c r="J62" s="3068"/>
      <c r="K62" s="3068"/>
      <c r="L62" s="3066"/>
      <c r="M62" s="1749"/>
    </row>
    <row r="63" spans="1:29" x14ac:dyDescent="0.3">
      <c r="E63" s="1750"/>
      <c r="H63" s="1750"/>
      <c r="K63" s="1750"/>
    </row>
    <row r="64" spans="1:29" x14ac:dyDescent="0.3">
      <c r="F64" s="1744" t="s">
        <v>1449</v>
      </c>
    </row>
    <row r="65" spans="1:13" x14ac:dyDescent="0.3">
      <c r="F65" s="1689" t="s">
        <v>1450</v>
      </c>
      <c r="H65" s="1751"/>
      <c r="J65" s="1752">
        <v>0</v>
      </c>
      <c r="K65" s="1750"/>
    </row>
    <row r="66" spans="1:13" x14ac:dyDescent="0.3">
      <c r="F66" s="1689" t="s">
        <v>1451</v>
      </c>
      <c r="G66" s="1753"/>
      <c r="H66" s="1751"/>
      <c r="J66" s="1754">
        <v>0</v>
      </c>
      <c r="K66" s="1750"/>
    </row>
    <row r="67" spans="1:13" x14ac:dyDescent="0.3">
      <c r="F67" s="1689" t="s">
        <v>1452</v>
      </c>
      <c r="G67" s="1753"/>
      <c r="H67" s="1751"/>
      <c r="J67" s="1755">
        <f>IFERROR(J65/J66,0)</f>
        <v>0</v>
      </c>
      <c r="K67" s="1756"/>
      <c r="L67" s="1757"/>
      <c r="M67" s="1758"/>
    </row>
    <row r="68" spans="1:13" ht="17.25" customHeight="1" thickBot="1" x14ac:dyDescent="0.35">
      <c r="C68" s="1723"/>
      <c r="D68" s="1723"/>
      <c r="E68" s="1759"/>
      <c r="F68" s="1723"/>
      <c r="G68" s="1723"/>
      <c r="H68" s="1760"/>
      <c r="I68" s="1761"/>
      <c r="J68" s="1762"/>
      <c r="K68" s="1762"/>
      <c r="L68" s="1762"/>
      <c r="M68" s="1762"/>
    </row>
    <row r="69" spans="1:13" ht="17.25" customHeight="1" x14ac:dyDescent="0.3">
      <c r="E69" s="1750"/>
      <c r="H69" s="1753"/>
      <c r="I69" s="1751"/>
      <c r="J69" s="1757"/>
      <c r="K69" s="1757"/>
      <c r="L69" s="1757"/>
      <c r="M69" s="1757"/>
    </row>
    <row r="70" spans="1:13" x14ac:dyDescent="0.3">
      <c r="B70" s="1698" t="s">
        <v>1639</v>
      </c>
      <c r="C70" s="1699" t="s">
        <v>1640</v>
      </c>
      <c r="D70" s="1699"/>
      <c r="F70" s="1700"/>
      <c r="G70" s="1700"/>
      <c r="H70" s="1700"/>
      <c r="I70" s="1700"/>
      <c r="J70" s="1700"/>
      <c r="K70" s="1700"/>
      <c r="L70" s="1701" t="s">
        <v>1629</v>
      </c>
      <c r="M70" s="1727">
        <f>IF(E72="Yes",1,0)</f>
        <v>0</v>
      </c>
    </row>
    <row r="71" spans="1:13" ht="13.5" customHeight="1" x14ac:dyDescent="0.3">
      <c r="C71" s="1763"/>
      <c r="D71" s="1763"/>
      <c r="E71" s="1763"/>
      <c r="F71" s="1763"/>
      <c r="G71" s="1763"/>
      <c r="H71" s="1763"/>
      <c r="I71" s="1763"/>
      <c r="J71" s="1763"/>
      <c r="K71" s="1763"/>
    </row>
    <row r="72" spans="1:13" x14ac:dyDescent="0.3">
      <c r="C72" s="1699"/>
      <c r="D72" s="1744"/>
      <c r="E72" s="3065"/>
      <c r="F72" s="3068"/>
      <c r="G72" s="3068"/>
      <c r="H72" s="3068"/>
      <c r="I72" s="3068"/>
      <c r="J72" s="3068"/>
      <c r="K72" s="3068"/>
      <c r="L72" s="3066"/>
      <c r="M72" s="1764"/>
    </row>
    <row r="73" spans="1:13" x14ac:dyDescent="0.3">
      <c r="G73" s="1750"/>
      <c r="J73" s="1750"/>
      <c r="M73" s="1764"/>
    </row>
    <row r="74" spans="1:13" x14ac:dyDescent="0.3">
      <c r="E74" s="3069" t="s">
        <v>1641</v>
      </c>
      <c r="F74" s="3070"/>
      <c r="G74" s="3070"/>
      <c r="H74" s="3070"/>
      <c r="I74" s="3070"/>
      <c r="J74" s="3070"/>
      <c r="K74" s="3070"/>
      <c r="L74" s="1694"/>
    </row>
    <row r="75" spans="1:13" x14ac:dyDescent="0.3">
      <c r="E75" s="3070"/>
      <c r="F75" s="3070"/>
      <c r="G75" s="3070"/>
      <c r="H75" s="3070"/>
      <c r="I75" s="3070"/>
      <c r="J75" s="3070"/>
      <c r="K75" s="3070"/>
      <c r="L75" s="1694"/>
    </row>
    <row r="76" spans="1:13" x14ac:dyDescent="0.3">
      <c r="E76" s="3070"/>
      <c r="F76" s="3070"/>
      <c r="G76" s="3070"/>
      <c r="H76" s="3070"/>
      <c r="I76" s="3070"/>
      <c r="J76" s="3070"/>
      <c r="K76" s="3070"/>
      <c r="L76" s="1694"/>
    </row>
    <row r="77" spans="1:13" x14ac:dyDescent="0.3">
      <c r="B77" s="1700"/>
      <c r="E77" s="3070"/>
      <c r="F77" s="3070"/>
      <c r="G77" s="3070"/>
      <c r="H77" s="3070"/>
      <c r="I77" s="3070"/>
      <c r="J77" s="3070"/>
      <c r="K77" s="3070"/>
      <c r="L77" s="1694"/>
    </row>
    <row r="78" spans="1:13" s="1764" customFormat="1" ht="15" thickBot="1" x14ac:dyDescent="0.35">
      <c r="A78" s="1689"/>
      <c r="B78" s="1689"/>
      <c r="C78" s="1723"/>
      <c r="D78" s="1759"/>
      <c r="E78" s="1723"/>
      <c r="F78" s="1723"/>
      <c r="G78" s="1760"/>
      <c r="H78" s="1761"/>
      <c r="I78" s="1762"/>
      <c r="J78" s="1762"/>
      <c r="K78" s="1762"/>
      <c r="L78" s="1762"/>
      <c r="M78" s="1765"/>
    </row>
    <row r="79" spans="1:13" x14ac:dyDescent="0.3">
      <c r="E79" s="1750"/>
      <c r="H79" s="1753"/>
      <c r="I79" s="1751"/>
      <c r="J79" s="1757"/>
      <c r="K79" s="1757"/>
      <c r="L79" s="1757"/>
      <c r="M79" s="1757"/>
    </row>
    <row r="80" spans="1:13" x14ac:dyDescent="0.3">
      <c r="B80" s="1700" t="s">
        <v>1642</v>
      </c>
      <c r="C80" s="1699" t="s">
        <v>1643</v>
      </c>
      <c r="D80" s="1699"/>
      <c r="F80" s="1700"/>
      <c r="G80" s="1700"/>
      <c r="H80" s="1700"/>
      <c r="I80" s="1700"/>
      <c r="J80" s="1700"/>
      <c r="K80" s="1700"/>
      <c r="L80" s="1701" t="s">
        <v>1629</v>
      </c>
      <c r="M80" s="1748">
        <f>IF(I89&gt;0.1499,10,IF(I89&gt;0.0999,5,IF(I89&gt;0.0499,3,IF(I89&gt;=0,0))))</f>
        <v>10</v>
      </c>
    </row>
    <row r="81" spans="1:16" ht="7.5" customHeight="1" x14ac:dyDescent="0.3">
      <c r="C81" s="1700"/>
      <c r="D81" s="1700"/>
      <c r="E81" s="1699"/>
      <c r="F81" s="1700"/>
      <c r="G81" s="1700"/>
      <c r="H81" s="1700"/>
      <c r="I81" s="1700"/>
      <c r="J81" s="1700"/>
      <c r="K81" s="1700"/>
      <c r="L81" s="1728"/>
      <c r="M81" s="1703"/>
    </row>
    <row r="82" spans="1:16" ht="25.5" customHeight="1" x14ac:dyDescent="0.3">
      <c r="C82" s="3071" t="s">
        <v>1453</v>
      </c>
      <c r="D82" s="3071"/>
      <c r="E82" s="3071"/>
      <c r="F82" s="3071"/>
      <c r="G82" s="3071"/>
      <c r="H82" s="3071"/>
      <c r="I82" s="3071"/>
      <c r="J82" s="3071"/>
      <c r="K82" s="3071"/>
      <c r="L82" s="3071"/>
      <c r="M82" s="3071"/>
    </row>
    <row r="83" spans="1:16" ht="9" customHeight="1" x14ac:dyDescent="0.3">
      <c r="C83" s="1699"/>
      <c r="D83" s="1699"/>
    </row>
    <row r="84" spans="1:16" ht="15" customHeight="1" x14ac:dyDescent="0.3">
      <c r="C84" s="1699"/>
      <c r="D84" s="1699"/>
      <c r="E84" s="3065" t="s">
        <v>1161</v>
      </c>
      <c r="F84" s="3068"/>
      <c r="G84" s="3068"/>
      <c r="H84" s="3068"/>
      <c r="I84" s="3068"/>
      <c r="J84" s="3068"/>
      <c r="K84" s="3068"/>
      <c r="L84" s="3066"/>
      <c r="M84" s="1766"/>
    </row>
    <row r="85" spans="1:16" ht="13.5" customHeight="1" x14ac:dyDescent="0.3">
      <c r="C85" s="1699"/>
      <c r="D85" s="1699"/>
      <c r="E85" s="1764"/>
      <c r="F85" s="1764"/>
      <c r="G85" s="1764"/>
      <c r="H85" s="1764"/>
      <c r="I85" s="1764"/>
      <c r="J85" s="1764"/>
      <c r="K85" s="1764"/>
      <c r="L85" s="1764"/>
      <c r="M85" s="1764"/>
    </row>
    <row r="86" spans="1:16" x14ac:dyDescent="0.3">
      <c r="F86" s="1744" t="s">
        <v>1454</v>
      </c>
    </row>
    <row r="87" spans="1:16" x14ac:dyDescent="0.3">
      <c r="F87" s="1689" t="s">
        <v>1455</v>
      </c>
      <c r="H87" s="1751"/>
      <c r="I87" s="3072">
        <f>12760000+3750000</f>
        <v>16510000</v>
      </c>
      <c r="J87" s="3073"/>
      <c r="K87" s="1764"/>
      <c r="L87" s="1764"/>
    </row>
    <row r="88" spans="1:16" x14ac:dyDescent="0.3">
      <c r="F88" s="1689" t="s">
        <v>143</v>
      </c>
      <c r="G88" s="1753"/>
      <c r="H88" s="1767"/>
      <c r="I88" s="3074">
        <v>49880535</v>
      </c>
      <c r="J88" s="3075"/>
      <c r="K88" s="1750"/>
      <c r="L88" s="1764"/>
    </row>
    <row r="89" spans="1:16" x14ac:dyDescent="0.3">
      <c r="F89" s="1689" t="s">
        <v>1186</v>
      </c>
      <c r="G89" s="1753"/>
      <c r="H89" s="1751"/>
      <c r="I89" s="3076">
        <f>IFERROR(I87/I88,0)</f>
        <v>0.33099083640542348</v>
      </c>
      <c r="J89" s="3077"/>
      <c r="K89" s="1764"/>
      <c r="L89" s="1764"/>
    </row>
    <row r="90" spans="1:16" ht="15" thickBot="1" x14ac:dyDescent="0.35">
      <c r="D90" s="1723"/>
      <c r="E90" s="1723"/>
      <c r="F90" s="1723"/>
      <c r="G90" s="1760"/>
      <c r="H90" s="1761"/>
      <c r="I90" s="1768"/>
      <c r="J90" s="1768"/>
      <c r="K90" s="1765"/>
      <c r="L90" s="1765"/>
      <c r="M90" s="1723"/>
    </row>
    <row r="91" spans="1:16" ht="15" customHeight="1" x14ac:dyDescent="0.3"/>
    <row r="92" spans="1:16" s="1764" customFormat="1" x14ac:dyDescent="0.3">
      <c r="A92" s="1700"/>
      <c r="B92" s="1700" t="s">
        <v>1644</v>
      </c>
      <c r="C92" s="1699" t="s">
        <v>1645</v>
      </c>
      <c r="D92" s="1689"/>
      <c r="E92" s="1700"/>
      <c r="F92" s="1700"/>
      <c r="G92" s="1700"/>
      <c r="H92" s="1700"/>
      <c r="I92" s="1700"/>
      <c r="J92" s="1700"/>
      <c r="K92" s="1769"/>
      <c r="L92" s="1701" t="s">
        <v>1629</v>
      </c>
      <c r="M92" s="1748">
        <f>IF(I103&gt;=0.14,7,IF(I103&gt;=0.12,6,IF(I103&gt;=0.1,5,IF(I103&gt;=0.08,4,IF(I103&gt;=0.06,3,IF(I103&gt;=0.04,2,IF(I103&gt;=0.02,1,IF(I103&lt;=0.0199,0))))))))</f>
        <v>0</v>
      </c>
      <c r="P92" s="1764" t="s">
        <v>306</v>
      </c>
    </row>
    <row r="93" spans="1:16" s="1764" customFormat="1" x14ac:dyDescent="0.3">
      <c r="A93" s="1689"/>
      <c r="B93" s="1700"/>
      <c r="C93" s="1700"/>
      <c r="D93" s="1699"/>
      <c r="E93" s="1700"/>
      <c r="F93" s="1700"/>
      <c r="G93" s="1700"/>
      <c r="H93" s="1700"/>
      <c r="I93" s="1700"/>
      <c r="J93" s="1700"/>
      <c r="K93" s="1728"/>
      <c r="L93" s="1703"/>
    </row>
    <row r="94" spans="1:16" s="1764" customFormat="1" ht="27.75" customHeight="1" x14ac:dyDescent="0.3">
      <c r="A94" s="1689"/>
      <c r="B94" s="1967"/>
      <c r="C94" s="3071" t="s">
        <v>1646</v>
      </c>
      <c r="D94" s="3071"/>
      <c r="E94" s="3071"/>
      <c r="F94" s="3071"/>
      <c r="G94" s="3071"/>
      <c r="H94" s="3071"/>
      <c r="I94" s="3071"/>
      <c r="J94" s="3071"/>
      <c r="K94" s="3071"/>
      <c r="L94" s="3071"/>
      <c r="M94" s="3071"/>
    </row>
    <row r="95" spans="1:16" s="1764" customFormat="1" x14ac:dyDescent="0.3">
      <c r="A95" s="1689"/>
      <c r="B95" s="1699"/>
      <c r="C95" s="1699"/>
      <c r="D95" s="1689"/>
      <c r="E95" s="1689"/>
      <c r="F95" s="1689"/>
      <c r="G95" s="1689"/>
      <c r="H95" s="1689"/>
      <c r="I95" s="1770" t="s">
        <v>1647</v>
      </c>
      <c r="J95" s="1689"/>
      <c r="K95" s="1689"/>
      <c r="L95" s="1689"/>
      <c r="M95" s="1967"/>
    </row>
    <row r="96" spans="1:16" s="1764" customFormat="1" x14ac:dyDescent="0.3">
      <c r="A96" s="1689"/>
      <c r="B96" s="1689"/>
      <c r="C96" s="1689"/>
      <c r="D96" s="1689"/>
      <c r="E96" s="3065" t="s">
        <v>1161</v>
      </c>
      <c r="F96" s="3068"/>
      <c r="G96" s="3068"/>
      <c r="H96" s="3068"/>
      <c r="I96" s="3068"/>
      <c r="J96" s="3068"/>
      <c r="K96" s="3068"/>
      <c r="L96" s="3066"/>
      <c r="M96" s="1703"/>
    </row>
    <row r="97" spans="1:13" x14ac:dyDescent="0.3">
      <c r="M97" s="1699"/>
    </row>
    <row r="98" spans="1:13" x14ac:dyDescent="0.3">
      <c r="E98" s="1744" t="s">
        <v>1456</v>
      </c>
      <c r="M98" s="1967"/>
    </row>
    <row r="99" spans="1:13" x14ac:dyDescent="0.3">
      <c r="E99" s="1689" t="s">
        <v>1458</v>
      </c>
      <c r="G99" s="1751"/>
      <c r="I99" s="3074"/>
      <c r="J99" s="3075"/>
      <c r="K99" s="1750"/>
      <c r="M99" s="1771"/>
    </row>
    <row r="100" spans="1:13" ht="12.75" customHeight="1" x14ac:dyDescent="0.3">
      <c r="E100" s="1689" t="s">
        <v>1457</v>
      </c>
      <c r="F100" s="1753"/>
      <c r="G100" s="1751"/>
      <c r="I100" s="3074"/>
      <c r="J100" s="3075"/>
      <c r="K100" s="1750"/>
    </row>
    <row r="101" spans="1:13" ht="12.75" customHeight="1" x14ac:dyDescent="0.3">
      <c r="E101" s="1689" t="s">
        <v>1459</v>
      </c>
      <c r="F101" s="1753"/>
      <c r="G101" s="1751"/>
      <c r="I101" s="3074">
        <f>I99+I100</f>
        <v>0</v>
      </c>
      <c r="J101" s="3075"/>
    </row>
    <row r="102" spans="1:13" x14ac:dyDescent="0.3">
      <c r="F102" s="1753"/>
      <c r="G102" s="1751"/>
      <c r="H102" s="1757"/>
      <c r="I102" s="1757"/>
      <c r="J102" s="1772" t="s">
        <v>306</v>
      </c>
      <c r="K102" s="1772"/>
      <c r="M102" s="1771"/>
    </row>
    <row r="103" spans="1:13" x14ac:dyDescent="0.3">
      <c r="A103" s="1764"/>
      <c r="B103" s="1764"/>
      <c r="C103" s="1764"/>
      <c r="D103" s="1764"/>
      <c r="E103" s="1764" t="s">
        <v>1460</v>
      </c>
      <c r="F103" s="1753"/>
      <c r="G103" s="1751"/>
      <c r="H103" s="1757"/>
      <c r="I103" s="3078">
        <f>IFERROR(I100/I101,0)</f>
        <v>0</v>
      </c>
      <c r="J103" s="3079"/>
      <c r="K103" s="1757"/>
      <c r="L103" s="1764"/>
      <c r="M103" s="1703"/>
    </row>
    <row r="104" spans="1:13" ht="15" thickBot="1" x14ac:dyDescent="0.35">
      <c r="C104" s="1723"/>
      <c r="D104" s="1723"/>
      <c r="E104" s="1723"/>
      <c r="F104" s="1723"/>
      <c r="G104" s="1723"/>
      <c r="H104" s="1723"/>
      <c r="I104" s="1723"/>
      <c r="J104" s="1723"/>
      <c r="K104" s="1723"/>
      <c r="L104" s="1723"/>
      <c r="M104" s="1723"/>
    </row>
    <row r="106" spans="1:13" x14ac:dyDescent="0.3">
      <c r="B106" s="1773" t="s">
        <v>1648</v>
      </c>
      <c r="C106" s="1699" t="s">
        <v>1649</v>
      </c>
      <c r="L106" s="1701" t="s">
        <v>1629</v>
      </c>
      <c r="M106" s="1748">
        <f>IF(I113&lt;=-0.25,5,IF(I113&lt;=-0.2,4,IF(I113&lt;=-0.15,3,IF(I113&lt;=-0.1,2,IF(I113&lt;=-0.05,1,IF(I113&gt;=0,0))))))</f>
        <v>0</v>
      </c>
    </row>
    <row r="108" spans="1:13" s="1764" customFormat="1" ht="27.75" customHeight="1" x14ac:dyDescent="0.3">
      <c r="A108" s="1689"/>
      <c r="B108" s="1967"/>
      <c r="C108" s="3071" t="s">
        <v>1650</v>
      </c>
      <c r="D108" s="3071"/>
      <c r="E108" s="3071"/>
      <c r="F108" s="3071"/>
      <c r="G108" s="3071"/>
      <c r="H108" s="3071"/>
      <c r="I108" s="3071"/>
      <c r="J108" s="3071"/>
      <c r="K108" s="3071"/>
      <c r="L108" s="3071"/>
      <c r="M108" s="3071"/>
    </row>
    <row r="110" spans="1:13" x14ac:dyDescent="0.3">
      <c r="F110" s="1744"/>
    </row>
    <row r="111" spans="1:13" x14ac:dyDescent="0.3">
      <c r="F111" s="1689" t="s">
        <v>1651</v>
      </c>
      <c r="H111" s="1751"/>
      <c r="I111" s="3074">
        <v>46626048</v>
      </c>
      <c r="J111" s="3075"/>
      <c r="K111" s="1750" t="s">
        <v>1809</v>
      </c>
    </row>
    <row r="112" spans="1:13" x14ac:dyDescent="0.3">
      <c r="F112" s="1689" t="s">
        <v>143</v>
      </c>
      <c r="G112" s="1753"/>
      <c r="H112" s="1767"/>
      <c r="I112" s="3074">
        <v>48544640</v>
      </c>
      <c r="J112" s="3075"/>
      <c r="K112" s="1750"/>
    </row>
    <row r="113" spans="2:14" x14ac:dyDescent="0.3">
      <c r="F113" s="1689" t="s">
        <v>1652</v>
      </c>
      <c r="G113" s="1753"/>
      <c r="H113" s="1751"/>
      <c r="I113" s="3078">
        <f>IFERROR(I112/I111-1,0)</f>
        <v>4.1148501369878021E-2</v>
      </c>
      <c r="J113" s="3079"/>
      <c r="K113" s="1764"/>
    </row>
    <row r="114" spans="2:14" x14ac:dyDescent="0.3">
      <c r="G114" s="1753"/>
      <c r="H114" s="1751"/>
      <c r="I114" s="1751"/>
      <c r="J114" s="1751"/>
      <c r="K114" s="1764"/>
    </row>
    <row r="115" spans="2:14" ht="27.75" customHeight="1" thickBot="1" x14ac:dyDescent="0.35">
      <c r="C115" s="1723"/>
      <c r="D115" s="1723"/>
      <c r="E115" s="3046" t="s">
        <v>2204</v>
      </c>
      <c r="F115" s="3047"/>
      <c r="G115" s="3047"/>
      <c r="H115" s="3047"/>
      <c r="I115" s="3047"/>
      <c r="J115" s="3047"/>
      <c r="K115" s="3047"/>
      <c r="L115" s="3047"/>
      <c r="M115" s="3047"/>
    </row>
    <row r="116" spans="2:14" x14ac:dyDescent="0.3">
      <c r="G116" s="1753"/>
      <c r="H116" s="1751"/>
      <c r="I116" s="1751"/>
      <c r="J116" s="1751"/>
      <c r="K116" s="1764"/>
    </row>
    <row r="117" spans="2:14" x14ac:dyDescent="0.3">
      <c r="B117" s="1773" t="s">
        <v>1653</v>
      </c>
      <c r="C117" s="1699" t="s">
        <v>1654</v>
      </c>
      <c r="D117" s="1699"/>
      <c r="F117" s="1700"/>
      <c r="G117" s="1700"/>
      <c r="H117" s="1700"/>
      <c r="I117" s="1700"/>
      <c r="J117" s="1700"/>
      <c r="K117" s="1700"/>
      <c r="L117" s="1701" t="s">
        <v>1629</v>
      </c>
      <c r="M117" s="1727">
        <f>IF(E121="15% - 0 Points",0,0)+IF(E121="14% - 1 point",1,0)+IF(E121="13% - 2 points",2,0)+IF(E121="12% - 3 points",3,0)+IF(E121="11% - 4 points",4,0)+IF(E121="10% - 5 Points",5,0)</f>
        <v>3</v>
      </c>
    </row>
    <row r="118" spans="2:14" ht="7.5" customHeight="1" x14ac:dyDescent="0.3">
      <c r="C118" s="1700"/>
      <c r="D118" s="1700"/>
      <c r="E118" s="1699"/>
      <c r="F118" s="1700"/>
      <c r="G118" s="1700"/>
      <c r="H118" s="1700"/>
      <c r="I118" s="1700"/>
      <c r="J118" s="1700"/>
      <c r="K118" s="1700"/>
      <c r="L118" s="1728"/>
      <c r="M118" s="1703"/>
    </row>
    <row r="119" spans="2:14" x14ac:dyDescent="0.3">
      <c r="C119" s="1699" t="s">
        <v>1198</v>
      </c>
      <c r="D119" s="1699"/>
      <c r="E119" s="1699"/>
      <c r="F119" s="1699"/>
      <c r="G119" s="1699"/>
      <c r="H119" s="1699"/>
      <c r="I119" s="1699"/>
      <c r="J119" s="1699"/>
      <c r="K119" s="1699"/>
      <c r="L119" s="1699"/>
      <c r="M119" s="1699"/>
    </row>
    <row r="120" spans="2:14" ht="14.25" customHeight="1" x14ac:dyDescent="0.3">
      <c r="D120" s="1967"/>
      <c r="E120" s="1967"/>
      <c r="F120" s="1967"/>
      <c r="G120" s="1967"/>
      <c r="H120" s="1967"/>
      <c r="I120" s="1967"/>
      <c r="J120" s="1967"/>
      <c r="K120" s="1967"/>
      <c r="L120" s="1967"/>
      <c r="M120" s="1967"/>
      <c r="N120" s="1967"/>
    </row>
    <row r="121" spans="2:14" ht="18" customHeight="1" x14ac:dyDescent="0.3">
      <c r="E121" s="3080" t="s">
        <v>1726</v>
      </c>
      <c r="F121" s="3081"/>
      <c r="G121" s="1699"/>
      <c r="H121" s="1699"/>
      <c r="I121" s="1699"/>
      <c r="J121" s="1699"/>
      <c r="K121" s="1699"/>
      <c r="L121" s="1699"/>
      <c r="M121" s="1699"/>
    </row>
    <row r="122" spans="2:14" ht="15" customHeight="1" x14ac:dyDescent="0.3">
      <c r="E122" s="1699"/>
      <c r="F122" s="1699"/>
      <c r="G122" s="1699"/>
      <c r="H122" s="1699"/>
      <c r="I122" s="1699"/>
      <c r="J122" s="1699"/>
      <c r="K122" s="1699"/>
      <c r="L122" s="1699"/>
      <c r="M122" s="1699"/>
    </row>
    <row r="123" spans="2:14" ht="15" customHeight="1" thickBot="1" x14ac:dyDescent="0.35">
      <c r="C123" s="1723"/>
      <c r="D123" s="1723"/>
      <c r="E123" s="1725"/>
      <c r="F123" s="1725"/>
      <c r="G123" s="1725"/>
      <c r="H123" s="1725"/>
      <c r="I123" s="1725"/>
      <c r="J123" s="1725"/>
      <c r="K123" s="1725"/>
      <c r="L123" s="1725"/>
      <c r="M123" s="1725"/>
    </row>
    <row r="124" spans="2:14" ht="15" customHeight="1" x14ac:dyDescent="0.3">
      <c r="E124" s="1699"/>
      <c r="F124" s="1699"/>
      <c r="G124" s="1699"/>
      <c r="H124" s="1699"/>
      <c r="I124" s="1699"/>
      <c r="J124" s="1699"/>
      <c r="K124" s="1699"/>
      <c r="L124" s="1699"/>
      <c r="M124" s="1699"/>
    </row>
    <row r="125" spans="2:14" x14ac:dyDescent="0.3">
      <c r="B125" s="1698" t="s">
        <v>1655</v>
      </c>
      <c r="C125" s="1699" t="s">
        <v>1656</v>
      </c>
      <c r="D125" s="1699"/>
      <c r="F125" s="1700"/>
      <c r="G125" s="1700"/>
      <c r="H125" s="1700"/>
      <c r="I125" s="1700"/>
      <c r="J125" s="1700"/>
      <c r="K125" s="1700"/>
      <c r="L125" s="1701" t="s">
        <v>1625</v>
      </c>
      <c r="M125" s="1702">
        <v>0</v>
      </c>
    </row>
    <row r="126" spans="2:14" ht="7.5" customHeight="1" x14ac:dyDescent="0.3">
      <c r="C126" s="1700"/>
      <c r="D126" s="1700"/>
      <c r="F126" s="1700"/>
      <c r="G126" s="1700"/>
      <c r="H126" s="1700"/>
      <c r="I126" s="1700"/>
      <c r="J126" s="1700"/>
      <c r="K126" s="1700"/>
      <c r="L126" s="1728"/>
      <c r="M126" s="1703"/>
    </row>
    <row r="127" spans="2:14" x14ac:dyDescent="0.3">
      <c r="C127" s="1699" t="s">
        <v>1461</v>
      </c>
      <c r="D127" s="1699"/>
      <c r="E127" s="1699"/>
      <c r="F127" s="1699"/>
      <c r="G127" s="1699"/>
      <c r="H127" s="1699"/>
      <c r="I127" s="1699"/>
      <c r="J127" s="1699"/>
      <c r="K127" s="1699"/>
      <c r="L127" s="1699"/>
      <c r="M127" s="1699"/>
    </row>
    <row r="128" spans="2:14" ht="18.75" customHeight="1" x14ac:dyDescent="0.3"/>
    <row r="129" spans="1:14" ht="14.25" customHeight="1" x14ac:dyDescent="0.3">
      <c r="F129" s="1737" t="s">
        <v>1463</v>
      </c>
      <c r="H129" s="1737"/>
      <c r="I129" s="1737"/>
      <c r="J129" s="1737"/>
      <c r="K129" s="1738">
        <v>0</v>
      </c>
      <c r="L129" s="1689" t="s">
        <v>1165</v>
      </c>
    </row>
    <row r="130" spans="1:14" ht="14.25" customHeight="1" x14ac:dyDescent="0.3">
      <c r="F130" s="1737" t="s">
        <v>1464</v>
      </c>
      <c r="H130" s="1737"/>
      <c r="I130" s="1737"/>
      <c r="J130" s="1737"/>
      <c r="K130" s="1738">
        <v>0</v>
      </c>
      <c r="L130" s="1689" t="s">
        <v>1165</v>
      </c>
    </row>
    <row r="131" spans="1:14" ht="14.25" customHeight="1" x14ac:dyDescent="0.3">
      <c r="G131" s="1774" t="s">
        <v>1657</v>
      </c>
      <c r="K131" s="1775">
        <v>0</v>
      </c>
      <c r="M131" s="1689" t="s">
        <v>306</v>
      </c>
    </row>
    <row r="132" spans="1:14" x14ac:dyDescent="0.3">
      <c r="C132" s="1699"/>
      <c r="D132" s="1699"/>
      <c r="E132" s="1737"/>
      <c r="F132" s="1742" t="s">
        <v>1462</v>
      </c>
      <c r="H132" s="1742"/>
      <c r="I132" s="1742"/>
      <c r="J132" s="1742"/>
      <c r="K132" s="1738">
        <v>0</v>
      </c>
      <c r="L132" s="1737" t="s">
        <v>1165</v>
      </c>
    </row>
    <row r="133" spans="1:14" s="1764" customFormat="1" x14ac:dyDescent="0.3">
      <c r="C133" s="1699"/>
      <c r="D133" s="1699"/>
      <c r="E133" s="1737"/>
      <c r="F133" s="1742" t="s">
        <v>1658</v>
      </c>
      <c r="G133" s="1697"/>
      <c r="H133" s="1742"/>
      <c r="I133" s="1742"/>
      <c r="J133" s="1737"/>
      <c r="K133" s="1727">
        <v>0</v>
      </c>
      <c r="L133" s="1750"/>
    </row>
    <row r="134" spans="1:14" s="1764" customFormat="1" x14ac:dyDescent="0.3">
      <c r="C134" s="1699"/>
      <c r="D134" s="1699"/>
      <c r="E134" s="1737"/>
      <c r="F134" s="1737" t="s">
        <v>1659</v>
      </c>
      <c r="I134" s="1737"/>
      <c r="J134" s="1737"/>
      <c r="K134" s="1776">
        <f>IFERROR(K132/K129,0)</f>
        <v>0</v>
      </c>
      <c r="L134" s="1737"/>
    </row>
    <row r="135" spans="1:14" x14ac:dyDescent="0.3">
      <c r="C135" s="1699"/>
      <c r="D135" s="1699"/>
      <c r="E135" s="1737"/>
      <c r="F135" s="1737"/>
      <c r="H135" s="1737"/>
      <c r="I135" s="1737"/>
      <c r="J135" s="1737"/>
      <c r="K135" s="1737"/>
      <c r="L135" s="1745"/>
      <c r="M135" s="1764"/>
      <c r="N135" s="1764"/>
    </row>
    <row r="136" spans="1:14" ht="15" thickBot="1" x14ac:dyDescent="0.35">
      <c r="C136" s="1725"/>
      <c r="D136" s="1725"/>
      <c r="E136" s="1731"/>
      <c r="F136" s="1731"/>
      <c r="G136" s="1723"/>
      <c r="H136" s="1731"/>
      <c r="I136" s="1731"/>
      <c r="J136" s="1731"/>
      <c r="K136" s="1731"/>
      <c r="L136" s="1777"/>
      <c r="M136" s="1731"/>
    </row>
    <row r="137" spans="1:14" x14ac:dyDescent="0.3">
      <c r="C137" s="1699"/>
      <c r="D137" s="1699"/>
      <c r="E137" s="1737"/>
      <c r="F137" s="1737"/>
      <c r="H137" s="1737"/>
      <c r="I137" s="1737"/>
      <c r="J137" s="1737"/>
      <c r="K137" s="1737"/>
      <c r="L137" s="1745"/>
      <c r="M137" s="1737"/>
    </row>
    <row r="138" spans="1:14" x14ac:dyDescent="0.3">
      <c r="B138" s="1698" t="s">
        <v>1660</v>
      </c>
      <c r="C138" s="1699" t="s">
        <v>1661</v>
      </c>
      <c r="D138" s="1699"/>
      <c r="F138" s="1700"/>
      <c r="G138" s="1700"/>
      <c r="H138" s="1700"/>
      <c r="I138" s="1700"/>
      <c r="J138" s="1700"/>
      <c r="K138" s="1700"/>
      <c r="L138" s="1701" t="s">
        <v>1625</v>
      </c>
      <c r="M138" s="1702">
        <v>0</v>
      </c>
    </row>
    <row r="139" spans="1:14" ht="7.5" customHeight="1" x14ac:dyDescent="0.3"/>
    <row r="140" spans="1:14" s="1764" customFormat="1" ht="27.75" customHeight="1" x14ac:dyDescent="0.3">
      <c r="A140" s="1689"/>
      <c r="B140" s="1967"/>
      <c r="C140" s="3071" t="s">
        <v>1662</v>
      </c>
      <c r="D140" s="3071"/>
      <c r="E140" s="3071"/>
      <c r="F140" s="3071"/>
      <c r="G140" s="3071"/>
      <c r="H140" s="3071"/>
      <c r="I140" s="3071"/>
      <c r="J140" s="3071"/>
      <c r="K140" s="3071"/>
      <c r="L140" s="3071"/>
      <c r="M140" s="3071"/>
    </row>
    <row r="141" spans="1:14" s="1764" customFormat="1" ht="12" customHeight="1" x14ac:dyDescent="0.3">
      <c r="A141" s="1689"/>
      <c r="B141" s="1967"/>
      <c r="C141" s="1967"/>
      <c r="D141" s="1967"/>
      <c r="E141" s="1967"/>
      <c r="F141" s="1967"/>
      <c r="G141" s="1967"/>
      <c r="H141" s="1967"/>
      <c r="I141" s="1967"/>
      <c r="J141" s="1967"/>
      <c r="K141" s="1967"/>
      <c r="L141" s="1967"/>
      <c r="M141" s="1967"/>
    </row>
    <row r="142" spans="1:14" ht="15" thickBot="1" x14ac:dyDescent="0.35">
      <c r="C142" s="1725"/>
      <c r="D142" s="1725"/>
      <c r="E142" s="1725"/>
      <c r="F142" s="1725"/>
      <c r="G142" s="1725"/>
      <c r="H142" s="1725"/>
      <c r="I142" s="1725"/>
      <c r="J142" s="1725"/>
      <c r="K142" s="1725"/>
      <c r="L142" s="1725"/>
      <c r="M142" s="1725"/>
    </row>
    <row r="143" spans="1:14" x14ac:dyDescent="0.3">
      <c r="C143" s="1699"/>
      <c r="D143" s="1699"/>
      <c r="E143" s="1699"/>
      <c r="F143" s="1699"/>
      <c r="G143" s="1699"/>
      <c r="H143" s="1699"/>
      <c r="I143" s="1699"/>
      <c r="J143" s="1699"/>
      <c r="K143" s="1699"/>
      <c r="L143" s="1699"/>
      <c r="M143" s="1699"/>
    </row>
    <row r="144" spans="1:14" x14ac:dyDescent="0.3">
      <c r="B144" s="1698" t="s">
        <v>1663</v>
      </c>
      <c r="C144" s="1699" t="s">
        <v>1664</v>
      </c>
      <c r="D144" s="1699"/>
      <c r="F144" s="1700"/>
      <c r="G144" s="1700"/>
      <c r="H144" s="1700"/>
      <c r="I144" s="1700"/>
      <c r="J144" s="1700"/>
      <c r="K144" s="1700"/>
      <c r="L144" s="1701" t="s">
        <v>1625</v>
      </c>
      <c r="M144" s="1702">
        <v>0</v>
      </c>
    </row>
    <row r="145" spans="1:13" ht="7.5" customHeight="1" x14ac:dyDescent="0.3"/>
    <row r="146" spans="1:13" s="1764" customFormat="1" ht="27.75" customHeight="1" x14ac:dyDescent="0.3">
      <c r="A146" s="1689"/>
      <c r="B146" s="1967"/>
      <c r="C146" s="3071" t="s">
        <v>1665</v>
      </c>
      <c r="D146" s="3071"/>
      <c r="E146" s="3071"/>
      <c r="F146" s="3071"/>
      <c r="G146" s="3071"/>
      <c r="H146" s="3071"/>
      <c r="I146" s="3071"/>
      <c r="J146" s="3071"/>
      <c r="K146" s="3071"/>
      <c r="L146" s="3071"/>
      <c r="M146" s="3071"/>
    </row>
    <row r="147" spans="1:13" s="1764" customFormat="1" ht="12" customHeight="1" x14ac:dyDescent="0.3">
      <c r="A147" s="1689"/>
      <c r="B147" s="1967"/>
      <c r="C147" s="1967"/>
      <c r="D147" s="1967"/>
      <c r="E147" s="1967"/>
      <c r="F147" s="1967"/>
      <c r="G147" s="1967"/>
      <c r="H147" s="1967"/>
      <c r="I147" s="1967"/>
      <c r="J147" s="1967"/>
      <c r="K147" s="1967"/>
      <c r="L147" s="1967"/>
      <c r="M147" s="1967"/>
    </row>
    <row r="148" spans="1:13" s="1764" customFormat="1" ht="94.5" customHeight="1" x14ac:dyDescent="0.3">
      <c r="A148" s="1689"/>
      <c r="B148" s="1967"/>
      <c r="C148" s="1967"/>
      <c r="D148" s="1967"/>
      <c r="E148" s="3082" t="s">
        <v>1666</v>
      </c>
      <c r="F148" s="3083"/>
      <c r="G148" s="3083"/>
      <c r="H148" s="3083"/>
      <c r="I148" s="3083"/>
      <c r="J148" s="3083"/>
      <c r="K148" s="3083"/>
      <c r="L148" s="3084"/>
      <c r="M148" s="1967"/>
    </row>
    <row r="149" spans="1:13" s="1764" customFormat="1" ht="12" customHeight="1" x14ac:dyDescent="0.3">
      <c r="A149" s="1689"/>
      <c r="B149" s="1967"/>
      <c r="C149" s="1967"/>
      <c r="D149" s="1967"/>
      <c r="E149" s="1967"/>
      <c r="F149" s="1967"/>
      <c r="G149" s="1967"/>
      <c r="H149" s="1967"/>
      <c r="I149" s="1967"/>
      <c r="J149" s="1967"/>
      <c r="K149" s="1967"/>
      <c r="L149" s="1967"/>
      <c r="M149" s="1967"/>
    </row>
    <row r="150" spans="1:13" ht="15" thickBot="1" x14ac:dyDescent="0.35">
      <c r="C150" s="1725"/>
      <c r="D150" s="1725"/>
      <c r="E150" s="1725"/>
      <c r="F150" s="1725"/>
      <c r="G150" s="1725"/>
      <c r="H150" s="1725"/>
      <c r="I150" s="1725"/>
      <c r="J150" s="1725"/>
      <c r="K150" s="1725"/>
      <c r="L150" s="1725"/>
      <c r="M150" s="1725"/>
    </row>
    <row r="151" spans="1:13" x14ac:dyDescent="0.3">
      <c r="C151" s="1699"/>
      <c r="D151" s="1699"/>
      <c r="E151" s="1699"/>
      <c r="F151" s="1699"/>
      <c r="G151" s="1699"/>
      <c r="H151" s="1699"/>
      <c r="I151" s="1699"/>
      <c r="J151" s="1699"/>
      <c r="K151" s="1699"/>
      <c r="L151" s="1699"/>
      <c r="M151" s="1699"/>
    </row>
    <row r="152" spans="1:13" x14ac:dyDescent="0.3">
      <c r="B152" s="1698" t="s">
        <v>1667</v>
      </c>
      <c r="C152" s="1699" t="s">
        <v>1668</v>
      </c>
      <c r="D152" s="1699"/>
      <c r="F152" s="1700"/>
      <c r="G152" s="1700"/>
      <c r="H152" s="1700"/>
      <c r="I152" s="1700"/>
      <c r="J152" s="1700"/>
      <c r="K152" s="1700"/>
      <c r="L152" s="1701" t="s">
        <v>1629</v>
      </c>
      <c r="M152" s="1727">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3"/>
    <row r="154" spans="1:13" s="1764" customFormat="1" ht="27.75" customHeight="1" x14ac:dyDescent="0.3">
      <c r="A154" s="1689"/>
      <c r="B154" s="1967"/>
      <c r="C154" s="3071" t="s">
        <v>1669</v>
      </c>
      <c r="D154" s="3071"/>
      <c r="E154" s="3071"/>
      <c r="F154" s="3071"/>
      <c r="G154" s="3071"/>
      <c r="H154" s="3071"/>
      <c r="I154" s="3071"/>
      <c r="J154" s="3071"/>
      <c r="K154" s="3071"/>
      <c r="L154" s="3071"/>
      <c r="M154" s="3071"/>
    </row>
    <row r="155" spans="1:13" s="1764" customFormat="1" ht="12" customHeight="1" x14ac:dyDescent="0.3">
      <c r="A155" s="1689"/>
      <c r="B155" s="1967"/>
      <c r="C155" s="1967"/>
      <c r="D155" s="1967"/>
      <c r="E155" s="1967"/>
      <c r="F155" s="1967"/>
      <c r="G155" s="1967"/>
      <c r="H155" s="1967"/>
      <c r="I155" s="1967"/>
      <c r="J155" s="1967"/>
      <c r="K155" s="1967"/>
      <c r="L155" s="1967"/>
      <c r="M155" s="1967"/>
    </row>
    <row r="156" spans="1:13" s="1764" customFormat="1" ht="12" customHeight="1" x14ac:dyDescent="0.3">
      <c r="A156" s="1689"/>
      <c r="B156" s="1967"/>
      <c r="C156" s="1967"/>
      <c r="D156" s="1967"/>
      <c r="E156" s="3065" t="s">
        <v>1161</v>
      </c>
      <c r="F156" s="3068"/>
      <c r="G156" s="3068"/>
      <c r="H156" s="3068"/>
      <c r="I156" s="3068"/>
      <c r="J156" s="3068"/>
      <c r="K156" s="3068"/>
      <c r="L156" s="3066"/>
      <c r="M156" s="1967"/>
    </row>
    <row r="157" spans="1:13" s="1764" customFormat="1" ht="12" customHeight="1" x14ac:dyDescent="0.3">
      <c r="A157" s="1689"/>
      <c r="B157" s="1967"/>
      <c r="C157" s="1967"/>
      <c r="D157" s="1967"/>
      <c r="E157" s="1967"/>
      <c r="F157" s="1967"/>
      <c r="G157" s="1967"/>
      <c r="H157" s="1967"/>
      <c r="I157" s="1967"/>
      <c r="J157" s="1967"/>
      <c r="K157" s="1967"/>
      <c r="L157" s="1967"/>
      <c r="M157" s="1967"/>
    </row>
    <row r="158" spans="1:13" s="1764" customFormat="1" ht="12" customHeight="1" thickBot="1" x14ac:dyDescent="0.35">
      <c r="A158" s="1689"/>
      <c r="B158" s="1967"/>
      <c r="C158" s="1778"/>
      <c r="D158" s="1778"/>
      <c r="E158" s="1778"/>
      <c r="F158" s="1778"/>
      <c r="G158" s="1778"/>
      <c r="H158" s="1778"/>
      <c r="I158" s="1778"/>
      <c r="J158" s="1778"/>
      <c r="K158" s="1778"/>
      <c r="L158" s="1778"/>
      <c r="M158" s="1778"/>
    </row>
    <row r="159" spans="1:13" s="1764" customFormat="1" ht="12" customHeight="1" x14ac:dyDescent="0.3">
      <c r="A159" s="1689"/>
      <c r="B159" s="1967"/>
      <c r="C159" s="1967"/>
      <c r="D159" s="1967"/>
      <c r="E159" s="1967"/>
      <c r="F159" s="1967"/>
      <c r="G159" s="1967"/>
      <c r="H159" s="1967"/>
      <c r="I159" s="1967"/>
      <c r="J159" s="1967"/>
      <c r="K159" s="1967"/>
      <c r="L159" s="1967"/>
      <c r="M159" s="1967"/>
    </row>
    <row r="160" spans="1:13" x14ac:dyDescent="0.3">
      <c r="A160" s="1698"/>
      <c r="B160" s="1698" t="s">
        <v>1670</v>
      </c>
      <c r="C160" s="1779" t="s">
        <v>1671</v>
      </c>
      <c r="E160" s="1700"/>
      <c r="F160" s="1700"/>
      <c r="G160" s="1700"/>
      <c r="H160" s="1700"/>
      <c r="I160" s="1700"/>
      <c r="J160" s="1700"/>
      <c r="K160" s="1769"/>
      <c r="L160" s="1701" t="s">
        <v>1625</v>
      </c>
      <c r="M160" s="1702">
        <v>3</v>
      </c>
    </row>
    <row r="161" spans="2:13" ht="14.25" customHeight="1" x14ac:dyDescent="0.3">
      <c r="M161" s="1967"/>
    </row>
    <row r="162" spans="2:13" ht="24.75" customHeight="1" x14ac:dyDescent="0.3">
      <c r="B162" s="1967"/>
      <c r="C162" s="3071" t="s">
        <v>1465</v>
      </c>
      <c r="D162" s="3070"/>
      <c r="E162" s="3070"/>
      <c r="F162" s="3070"/>
      <c r="G162" s="3070"/>
      <c r="H162" s="3070"/>
      <c r="I162" s="3070"/>
      <c r="J162" s="3070"/>
      <c r="K162" s="3070"/>
      <c r="L162" s="1967"/>
    </row>
    <row r="163" spans="2:13" x14ac:dyDescent="0.3">
      <c r="B163" s="1699"/>
    </row>
    <row r="164" spans="2:13" x14ac:dyDescent="0.3">
      <c r="E164" s="3065" t="s">
        <v>1948</v>
      </c>
      <c r="F164" s="3068"/>
      <c r="G164" s="3068"/>
      <c r="H164" s="3068"/>
      <c r="I164" s="3068"/>
      <c r="J164" s="3068"/>
      <c r="K164" s="3068"/>
      <c r="L164" s="3066"/>
      <c r="M164" s="1737"/>
    </row>
    <row r="165" spans="2:13" x14ac:dyDescent="0.3">
      <c r="E165" s="1866"/>
      <c r="F165" s="1866"/>
      <c r="G165" s="1866"/>
      <c r="H165" s="1866"/>
      <c r="I165" s="1866"/>
      <c r="J165" s="1866"/>
      <c r="K165" s="1866"/>
      <c r="L165" s="1866"/>
      <c r="M165" s="1737"/>
    </row>
    <row r="166" spans="2:13" ht="15" thickBot="1" x14ac:dyDescent="0.35">
      <c r="C166" s="1723"/>
      <c r="D166" s="1723"/>
      <c r="E166" s="1723"/>
      <c r="F166" s="1723"/>
      <c r="G166" s="1723"/>
      <c r="H166" s="1723"/>
      <c r="I166" s="1723"/>
      <c r="J166" s="1723"/>
      <c r="K166" s="1777"/>
      <c r="L166" s="1731"/>
      <c r="M166" s="1737"/>
    </row>
    <row r="167" spans="2:13" x14ac:dyDescent="0.3">
      <c r="K167" s="1745"/>
      <c r="L167" s="1737"/>
      <c r="M167" s="1737"/>
    </row>
    <row r="168" spans="2:13" x14ac:dyDescent="0.3">
      <c r="B168" s="1698" t="s">
        <v>1672</v>
      </c>
      <c r="C168" s="1699" t="s">
        <v>1673</v>
      </c>
      <c r="D168" s="1699"/>
      <c r="E168" s="1699"/>
      <c r="F168" s="1699"/>
      <c r="G168" s="1699"/>
      <c r="H168" s="1699"/>
      <c r="I168" s="1699"/>
      <c r="J168" s="1699"/>
      <c r="K168" s="1699"/>
      <c r="L168" s="1701" t="s">
        <v>1625</v>
      </c>
      <c r="M168" s="1702">
        <v>2</v>
      </c>
    </row>
    <row r="169" spans="2:13" ht="9.75" customHeight="1" x14ac:dyDescent="0.3"/>
    <row r="170" spans="2:13" ht="29.25" customHeight="1" x14ac:dyDescent="0.3">
      <c r="C170" s="3071" t="s">
        <v>1674</v>
      </c>
      <c r="D170" s="3070"/>
      <c r="E170" s="3070"/>
      <c r="F170" s="3070"/>
      <c r="G170" s="3070"/>
      <c r="H170" s="3070"/>
      <c r="I170" s="3070"/>
      <c r="J170" s="3070"/>
      <c r="K170" s="3070"/>
      <c r="L170" s="1967"/>
      <c r="M170" s="1703"/>
    </row>
    <row r="171" spans="2:13" ht="12" customHeight="1" thickBot="1" x14ac:dyDescent="0.35">
      <c r="C171" s="1725"/>
      <c r="D171" s="1723"/>
      <c r="E171" s="1723"/>
      <c r="F171" s="1723"/>
      <c r="G171" s="1723"/>
      <c r="H171" s="1723"/>
      <c r="I171" s="1723"/>
      <c r="J171" s="1723"/>
      <c r="K171" s="1723"/>
      <c r="L171" s="1723"/>
      <c r="M171" s="1967"/>
    </row>
    <row r="172" spans="2:13" x14ac:dyDescent="0.3">
      <c r="L172" s="1745"/>
      <c r="M172" s="1703"/>
    </row>
    <row r="173" spans="2:13" x14ac:dyDescent="0.3">
      <c r="B173" s="1698" t="s">
        <v>1675</v>
      </c>
      <c r="C173" s="1699" t="s">
        <v>1676</v>
      </c>
      <c r="D173" s="1699"/>
      <c r="F173" s="1700"/>
      <c r="G173" s="1700"/>
      <c r="L173" s="1701" t="s">
        <v>1625</v>
      </c>
      <c r="M173" s="1702">
        <v>3</v>
      </c>
    </row>
    <row r="174" spans="2:13" ht="7.5" customHeight="1" x14ac:dyDescent="0.3">
      <c r="B174" s="1698"/>
      <c r="C174" s="1699"/>
      <c r="D174" s="1699"/>
      <c r="F174" s="1700"/>
      <c r="G174" s="1700"/>
      <c r="H174" s="1700"/>
      <c r="I174" s="1700"/>
      <c r="J174" s="1700"/>
      <c r="K174" s="1700"/>
      <c r="L174" s="1769"/>
      <c r="M174" s="1703"/>
    </row>
    <row r="175" spans="2:13" ht="27" customHeight="1" x14ac:dyDescent="0.3">
      <c r="C175" s="3071" t="s">
        <v>1677</v>
      </c>
      <c r="D175" s="3070"/>
      <c r="E175" s="3070"/>
      <c r="F175" s="3070"/>
      <c r="G175" s="3070"/>
      <c r="H175" s="3070"/>
      <c r="I175" s="3070"/>
      <c r="J175" s="3070"/>
      <c r="K175" s="3070"/>
      <c r="L175" s="1728"/>
      <c r="M175" s="1967"/>
    </row>
    <row r="176" spans="2:13" ht="8.25" customHeight="1" x14ac:dyDescent="0.3">
      <c r="C176" s="1967"/>
      <c r="D176" s="1967"/>
      <c r="E176" s="1967"/>
      <c r="F176" s="1967"/>
      <c r="G176" s="1967"/>
      <c r="H176" s="1967"/>
      <c r="I176" s="1967"/>
      <c r="J176" s="1967"/>
      <c r="K176" s="1967"/>
      <c r="L176" s="1967"/>
      <c r="M176" s="1967"/>
    </row>
    <row r="177" spans="2:13" ht="9.75" customHeight="1" thickBot="1" x14ac:dyDescent="0.35">
      <c r="C177" s="1778"/>
      <c r="D177" s="1778"/>
      <c r="E177" s="1778"/>
      <c r="F177" s="1778"/>
      <c r="G177" s="1778"/>
      <c r="H177" s="1778"/>
      <c r="I177" s="1778"/>
      <c r="J177" s="1778"/>
      <c r="K177" s="1778"/>
      <c r="L177" s="1778"/>
      <c r="M177" s="1703"/>
    </row>
    <row r="178" spans="2:13" ht="9.75" customHeight="1" x14ac:dyDescent="0.3">
      <c r="C178" s="1967"/>
      <c r="D178" s="1967"/>
      <c r="E178" s="1967"/>
      <c r="F178" s="1967"/>
      <c r="G178" s="1967"/>
      <c r="H178" s="1967"/>
      <c r="I178" s="1967"/>
      <c r="J178" s="1967"/>
      <c r="K178" s="1967"/>
      <c r="L178" s="1967"/>
      <c r="M178" s="1703"/>
    </row>
    <row r="179" spans="2:13" ht="15.75" customHeight="1" x14ac:dyDescent="0.3">
      <c r="B179" s="1698" t="s">
        <v>1678</v>
      </c>
      <c r="C179" s="1699" t="s">
        <v>1679</v>
      </c>
      <c r="D179" s="1699"/>
      <c r="F179" s="1700"/>
      <c r="G179" s="1700"/>
      <c r="H179" s="1700"/>
      <c r="I179" s="1700"/>
      <c r="J179" s="1700"/>
      <c r="K179" s="1700"/>
      <c r="L179" s="1701" t="s">
        <v>1625</v>
      </c>
      <c r="M179" s="1702">
        <v>3</v>
      </c>
    </row>
    <row r="180" spans="2:13" ht="10.5" customHeight="1" x14ac:dyDescent="0.3">
      <c r="B180" s="1698"/>
      <c r="C180" s="1699"/>
      <c r="D180" s="1699"/>
      <c r="F180" s="1700"/>
      <c r="G180" s="1700"/>
      <c r="H180" s="1700"/>
      <c r="I180" s="1700"/>
      <c r="J180" s="1700"/>
      <c r="K180" s="1700"/>
      <c r="L180" s="1769"/>
      <c r="M180" s="1967"/>
    </row>
    <row r="181" spans="2:13" ht="27" customHeight="1" x14ac:dyDescent="0.3">
      <c r="B181" s="1698"/>
      <c r="C181" s="3071" t="s">
        <v>1680</v>
      </c>
      <c r="D181" s="3070"/>
      <c r="E181" s="3070"/>
      <c r="F181" s="3070"/>
      <c r="G181" s="3070"/>
      <c r="H181" s="3070"/>
      <c r="I181" s="3070"/>
      <c r="J181" s="3070"/>
      <c r="K181" s="3070"/>
      <c r="L181" s="1769"/>
      <c r="M181" s="1967"/>
    </row>
    <row r="182" spans="2:13" ht="8.25" customHeight="1" thickBot="1" x14ac:dyDescent="0.35">
      <c r="B182" s="1698"/>
      <c r="C182" s="1725"/>
      <c r="D182" s="1725"/>
      <c r="E182" s="1723"/>
      <c r="F182" s="1780"/>
      <c r="G182" s="1780"/>
      <c r="H182" s="1780"/>
      <c r="I182" s="1780"/>
      <c r="J182" s="1780"/>
      <c r="K182" s="1780"/>
      <c r="L182" s="1781"/>
      <c r="M182" s="1967"/>
    </row>
    <row r="183" spans="2:13" ht="9.75" customHeight="1" x14ac:dyDescent="0.3">
      <c r="C183" s="1967"/>
      <c r="D183" s="1967"/>
      <c r="E183" s="1967"/>
      <c r="F183" s="1967"/>
      <c r="G183" s="1967"/>
      <c r="H183" s="1967"/>
      <c r="I183" s="1967"/>
      <c r="J183" s="1967"/>
      <c r="K183" s="1967"/>
      <c r="L183" s="1967"/>
      <c r="M183" s="1703"/>
    </row>
    <row r="184" spans="2:13" ht="15.75" customHeight="1" x14ac:dyDescent="0.3">
      <c r="B184" s="1698" t="s">
        <v>1681</v>
      </c>
      <c r="C184" s="1699" t="s">
        <v>1682</v>
      </c>
      <c r="D184" s="1699"/>
      <c r="F184" s="1700"/>
      <c r="G184" s="1700"/>
      <c r="H184" s="1700"/>
      <c r="I184" s="1700"/>
      <c r="J184" s="1700"/>
      <c r="K184" s="1700"/>
      <c r="L184" s="1701" t="s">
        <v>1625</v>
      </c>
      <c r="M184" s="1702">
        <v>1</v>
      </c>
    </row>
    <row r="185" spans="2:13" ht="10.5" customHeight="1" x14ac:dyDescent="0.3">
      <c r="B185" s="1698"/>
      <c r="C185" s="1699"/>
      <c r="D185" s="1699"/>
      <c r="F185" s="1700"/>
      <c r="G185" s="1700"/>
      <c r="H185" s="1700"/>
      <c r="I185" s="1700"/>
      <c r="J185" s="1700"/>
      <c r="K185" s="1700"/>
      <c r="L185" s="1769"/>
      <c r="M185" s="1967"/>
    </row>
    <row r="186" spans="2:13" ht="27" customHeight="1" x14ac:dyDescent="0.3">
      <c r="B186" s="1698"/>
      <c r="C186" s="3071" t="s">
        <v>1683</v>
      </c>
      <c r="D186" s="3070"/>
      <c r="E186" s="3070"/>
      <c r="F186" s="3070"/>
      <c r="G186" s="3070"/>
      <c r="H186" s="3070"/>
      <c r="I186" s="3070"/>
      <c r="J186" s="3070"/>
      <c r="K186" s="3070"/>
      <c r="L186" s="1769"/>
      <c r="M186" s="1967"/>
    </row>
    <row r="187" spans="2:13" ht="8.25" customHeight="1" thickBot="1" x14ac:dyDescent="0.35">
      <c r="B187" s="1698"/>
      <c r="C187" s="1725"/>
      <c r="D187" s="1725"/>
      <c r="E187" s="1723"/>
      <c r="F187" s="1780"/>
      <c r="G187" s="1780"/>
      <c r="H187" s="1780"/>
      <c r="I187" s="1780"/>
      <c r="J187" s="1780"/>
      <c r="K187" s="1780"/>
      <c r="L187" s="1781"/>
      <c r="M187" s="1967"/>
    </row>
    <row r="188" spans="2:13" x14ac:dyDescent="0.3">
      <c r="C188" s="1700"/>
      <c r="D188" s="1700"/>
      <c r="E188" s="1737"/>
      <c r="F188" s="1737"/>
      <c r="G188" s="1737"/>
      <c r="H188" s="1737"/>
      <c r="I188" s="1737"/>
      <c r="J188" s="1700"/>
      <c r="K188" s="1769"/>
      <c r="L188" s="1728"/>
    </row>
    <row r="189" spans="2:13" x14ac:dyDescent="0.3">
      <c r="B189" s="1698" t="s">
        <v>1684</v>
      </c>
      <c r="C189" s="1699" t="s">
        <v>1685</v>
      </c>
      <c r="D189" s="1699"/>
      <c r="F189" s="1700"/>
      <c r="G189" s="1700"/>
      <c r="H189" s="1700"/>
      <c r="I189" s="1700"/>
      <c r="J189" s="1700"/>
      <c r="K189" s="1700"/>
      <c r="L189" s="1701" t="s">
        <v>1629</v>
      </c>
      <c r="M189" s="1727">
        <f>IF(E193="No Points Taken",0,3)</f>
        <v>3</v>
      </c>
    </row>
    <row r="190" spans="2:13" ht="5.25" customHeight="1" x14ac:dyDescent="0.3">
      <c r="C190" s="1700"/>
      <c r="D190" s="1700"/>
      <c r="E190" s="1699"/>
      <c r="F190" s="1700"/>
      <c r="G190" s="1700"/>
      <c r="H190" s="1700"/>
      <c r="I190" s="1700"/>
      <c r="J190" s="1700"/>
      <c r="K190" s="1700"/>
      <c r="L190" s="1728"/>
      <c r="M190" s="1728"/>
    </row>
    <row r="191" spans="2:13" ht="21" customHeight="1" x14ac:dyDescent="0.3">
      <c r="C191" s="1699" t="s">
        <v>1686</v>
      </c>
      <c r="D191" s="1699"/>
      <c r="E191" s="1699"/>
      <c r="F191" s="1699"/>
      <c r="G191" s="1699"/>
      <c r="H191" s="1699"/>
      <c r="I191" s="1699"/>
      <c r="J191" s="1699"/>
      <c r="K191" s="1699"/>
      <c r="L191" s="1699"/>
      <c r="M191" s="1703"/>
    </row>
    <row r="192" spans="2:13" ht="15" customHeight="1" x14ac:dyDescent="0.3">
      <c r="C192" s="1967"/>
      <c r="D192" s="1967"/>
      <c r="E192" s="1967"/>
      <c r="F192" s="1967"/>
      <c r="G192" s="1967"/>
      <c r="H192" s="1967"/>
      <c r="I192" s="1967"/>
      <c r="J192" s="1967"/>
      <c r="K192" s="1967"/>
      <c r="L192" s="1967"/>
      <c r="M192" s="1967"/>
    </row>
    <row r="193" spans="1:13" x14ac:dyDescent="0.3">
      <c r="E193" s="3065" t="s">
        <v>1730</v>
      </c>
      <c r="F193" s="3068"/>
      <c r="G193" s="3068"/>
      <c r="H193" s="3068"/>
      <c r="I193" s="3068"/>
      <c r="J193" s="3068"/>
      <c r="K193" s="3068"/>
      <c r="L193" s="3066"/>
      <c r="M193" s="1967"/>
    </row>
    <row r="194" spans="1:13" ht="15" thickBot="1" x14ac:dyDescent="0.35">
      <c r="C194" s="1723"/>
      <c r="D194" s="1723"/>
      <c r="E194" s="1723"/>
      <c r="F194" s="1723"/>
      <c r="G194" s="1731"/>
      <c r="H194" s="1731"/>
      <c r="I194" s="1731"/>
      <c r="J194" s="1731"/>
      <c r="K194" s="1731"/>
      <c r="L194" s="1731"/>
    </row>
    <row r="195" spans="1:13" ht="15" customHeight="1" x14ac:dyDescent="0.3">
      <c r="G195" s="1737"/>
      <c r="H195" s="1737"/>
      <c r="I195" s="1737"/>
      <c r="J195" s="1737"/>
      <c r="K195" s="1737"/>
      <c r="L195" s="1737"/>
      <c r="M195" s="1703"/>
    </row>
    <row r="196" spans="1:13" ht="12" customHeight="1" x14ac:dyDescent="0.3">
      <c r="B196" s="1698" t="s">
        <v>1687</v>
      </c>
      <c r="C196" s="1699" t="s">
        <v>1688</v>
      </c>
      <c r="D196" s="1699"/>
      <c r="F196" s="1700"/>
      <c r="G196" s="1700"/>
      <c r="H196" s="1700"/>
      <c r="I196" s="1700"/>
      <c r="J196" s="1700"/>
      <c r="K196" s="1700"/>
      <c r="L196" s="1701" t="s">
        <v>1625</v>
      </c>
      <c r="M196" s="1702">
        <v>0</v>
      </c>
    </row>
    <row r="197" spans="1:13" ht="15.75" customHeight="1" x14ac:dyDescent="0.3">
      <c r="C197" s="1782" t="s">
        <v>1689</v>
      </c>
      <c r="D197" s="1700"/>
      <c r="E197" s="1699"/>
      <c r="F197" s="1700"/>
      <c r="G197" s="1700"/>
      <c r="H197" s="1700"/>
      <c r="I197" s="1700"/>
      <c r="J197" s="1700"/>
      <c r="K197" s="1700"/>
      <c r="L197" s="1728"/>
      <c r="M197" s="1967"/>
    </row>
    <row r="198" spans="1:13" ht="12.75" customHeight="1" x14ac:dyDescent="0.3">
      <c r="C198" s="1700"/>
      <c r="F198" s="1783" t="s">
        <v>1690</v>
      </c>
      <c r="G198" s="1700"/>
      <c r="H198" s="1700"/>
      <c r="I198" s="1700"/>
      <c r="J198" s="1700"/>
      <c r="K198" s="1700"/>
      <c r="L198" s="1728"/>
      <c r="M198" s="1967"/>
    </row>
    <row r="199" spans="1:13" ht="12.75" customHeight="1" x14ac:dyDescent="0.3">
      <c r="C199" s="1700"/>
      <c r="F199" s="1783" t="s">
        <v>1691</v>
      </c>
      <c r="G199" s="1700"/>
      <c r="H199" s="1700"/>
      <c r="I199" s="1700"/>
      <c r="J199" s="1700"/>
      <c r="K199" s="1700"/>
      <c r="L199" s="1728"/>
      <c r="M199" s="1967"/>
    </row>
    <row r="200" spans="1:13" ht="15" thickBot="1" x14ac:dyDescent="0.35">
      <c r="C200" s="1723"/>
      <c r="D200" s="1723"/>
      <c r="E200" s="1778"/>
      <c r="F200" s="1723"/>
      <c r="G200" s="1723"/>
      <c r="H200" s="1723"/>
      <c r="I200" s="1723"/>
      <c r="J200" s="1723"/>
      <c r="K200" s="1723"/>
      <c r="L200" s="1723"/>
    </row>
    <row r="201" spans="1:13" ht="16.2" customHeight="1" x14ac:dyDescent="0.3">
      <c r="C201" s="1967"/>
      <c r="D201" s="1967"/>
      <c r="F201" s="1967"/>
      <c r="G201" s="1967"/>
      <c r="H201" s="1967"/>
      <c r="I201" s="1967"/>
      <c r="J201" s="1967"/>
      <c r="K201" s="1967"/>
      <c r="L201" s="1967"/>
      <c r="M201" s="1737"/>
    </row>
    <row r="202" spans="1:13" ht="16.2" customHeight="1" x14ac:dyDescent="0.3">
      <c r="B202" s="1698" t="s">
        <v>1692</v>
      </c>
      <c r="C202" s="1699" t="s">
        <v>1693</v>
      </c>
      <c r="D202" s="1699"/>
      <c r="E202" s="1699"/>
      <c r="F202" s="1700"/>
      <c r="G202" s="1700"/>
      <c r="H202" s="1700"/>
      <c r="I202" s="1700"/>
      <c r="J202" s="1700"/>
      <c r="K202" s="1700"/>
      <c r="L202" s="1701" t="s">
        <v>1625</v>
      </c>
      <c r="M202" s="1702">
        <v>3</v>
      </c>
    </row>
    <row r="203" spans="1:13" ht="9.75" customHeight="1" x14ac:dyDescent="0.3">
      <c r="A203" s="3071"/>
      <c r="B203" s="3071"/>
      <c r="C203" s="3071"/>
      <c r="D203" s="3071"/>
      <c r="E203" s="3071"/>
      <c r="F203" s="3071"/>
      <c r="G203" s="3071"/>
      <c r="H203" s="3071"/>
      <c r="I203" s="3071"/>
      <c r="J203" s="3071"/>
      <c r="K203" s="3071"/>
      <c r="L203" s="1728"/>
      <c r="M203" s="1737"/>
    </row>
    <row r="204" spans="1:13" ht="39" customHeight="1" x14ac:dyDescent="0.3">
      <c r="C204" s="1737"/>
      <c r="D204" s="3071" t="s">
        <v>1694</v>
      </c>
      <c r="E204" s="3070"/>
      <c r="F204" s="3070"/>
      <c r="G204" s="3070"/>
      <c r="H204" s="3070"/>
      <c r="I204" s="3070"/>
      <c r="J204" s="3070"/>
      <c r="K204" s="3070"/>
      <c r="L204" s="1737"/>
    </row>
    <row r="205" spans="1:13" x14ac:dyDescent="0.3">
      <c r="C205" s="1737"/>
      <c r="F205" s="1784" t="s">
        <v>571</v>
      </c>
      <c r="G205" s="1737" t="s">
        <v>1466</v>
      </c>
      <c r="H205" s="1737"/>
      <c r="I205" s="1737"/>
      <c r="J205" s="1737"/>
      <c r="K205" s="1737"/>
      <c r="L205" s="1737"/>
    </row>
    <row r="206" spans="1:13" x14ac:dyDescent="0.3">
      <c r="C206" s="1737"/>
      <c r="F206" s="1784"/>
      <c r="G206" s="1737" t="s">
        <v>1695</v>
      </c>
      <c r="H206" s="1737"/>
      <c r="I206" s="1737"/>
      <c r="J206" s="1737"/>
      <c r="K206" s="1737"/>
      <c r="L206" s="1737"/>
    </row>
    <row r="207" spans="1:13" x14ac:dyDescent="0.3">
      <c r="C207" s="1737"/>
      <c r="F207" s="1784"/>
      <c r="G207" s="1737" t="s">
        <v>1467</v>
      </c>
      <c r="H207" s="1737"/>
      <c r="I207" s="1737"/>
      <c r="J207" s="1737"/>
      <c r="K207" s="1737"/>
      <c r="L207" s="1737"/>
    </row>
    <row r="208" spans="1:13" x14ac:dyDescent="0.3">
      <c r="C208" s="1737"/>
      <c r="F208" s="1784"/>
      <c r="G208" s="1737" t="s">
        <v>1696</v>
      </c>
      <c r="H208" s="1737"/>
      <c r="I208" s="1737"/>
      <c r="J208" s="1737"/>
      <c r="K208" s="1737"/>
      <c r="L208" s="1737"/>
    </row>
    <row r="209" spans="1:13" x14ac:dyDescent="0.3">
      <c r="C209" s="1737"/>
      <c r="F209" s="1784" t="s">
        <v>571</v>
      </c>
      <c r="G209" s="1737" t="s">
        <v>1468</v>
      </c>
      <c r="H209" s="1737"/>
      <c r="I209" s="1737"/>
      <c r="J209" s="1737"/>
      <c r="K209" s="1737"/>
    </row>
    <row r="210" spans="1:13" x14ac:dyDescent="0.3">
      <c r="C210" s="1700"/>
      <c r="F210" s="1784" t="s">
        <v>571</v>
      </c>
      <c r="G210" s="1689" t="s">
        <v>1469</v>
      </c>
      <c r="H210" s="1737"/>
      <c r="I210" s="1737"/>
      <c r="J210" s="1737"/>
      <c r="K210" s="1700"/>
    </row>
    <row r="211" spans="1:13" ht="15" thickBot="1" x14ac:dyDescent="0.35">
      <c r="C211" s="1780"/>
      <c r="D211" s="1723"/>
      <c r="E211" s="1723"/>
      <c r="F211" s="1723"/>
      <c r="G211" s="1723"/>
      <c r="H211" s="1731"/>
      <c r="I211" s="1731"/>
      <c r="J211" s="1731"/>
      <c r="K211" s="1780"/>
      <c r="L211" s="1723"/>
    </row>
    <row r="212" spans="1:13" ht="16.2" customHeight="1" x14ac:dyDescent="0.3">
      <c r="C212" s="1967"/>
      <c r="D212" s="1967"/>
      <c r="F212" s="1967"/>
      <c r="G212" s="1967"/>
      <c r="H212" s="1967"/>
      <c r="I212" s="1967"/>
      <c r="J212" s="1967"/>
      <c r="K212" s="1967"/>
      <c r="L212" s="1967"/>
      <c r="M212" s="1737"/>
    </row>
    <row r="213" spans="1:13" ht="16.2" customHeight="1" x14ac:dyDescent="0.3">
      <c r="B213" s="1698" t="s">
        <v>1697</v>
      </c>
      <c r="C213" s="1699" t="s">
        <v>1698</v>
      </c>
      <c r="D213" s="1699"/>
      <c r="E213" s="1699"/>
      <c r="F213" s="1700"/>
      <c r="G213" s="1700"/>
      <c r="H213" s="1700"/>
      <c r="I213" s="1700"/>
      <c r="J213" s="1700"/>
      <c r="K213" s="1700"/>
      <c r="L213" s="1701" t="s">
        <v>1625</v>
      </c>
      <c r="M213" s="1785">
        <v>2</v>
      </c>
    </row>
    <row r="214" spans="1:13" ht="9.75" customHeight="1" x14ac:dyDescent="0.3">
      <c r="A214" s="3071"/>
      <c r="B214" s="3071"/>
      <c r="C214" s="3071"/>
      <c r="D214" s="3071"/>
      <c r="E214" s="3071"/>
      <c r="F214" s="3071"/>
      <c r="G214" s="3071"/>
      <c r="H214" s="3071"/>
      <c r="I214" s="3071"/>
      <c r="J214" s="3071"/>
      <c r="K214" s="3071"/>
      <c r="L214" s="1728"/>
      <c r="M214" s="1786"/>
    </row>
    <row r="215" spans="1:13" ht="39" customHeight="1" x14ac:dyDescent="0.3">
      <c r="C215" s="1737"/>
      <c r="D215" s="3071" t="s">
        <v>1699</v>
      </c>
      <c r="E215" s="3070"/>
      <c r="F215" s="3070"/>
      <c r="G215" s="3070"/>
      <c r="H215" s="3070"/>
      <c r="I215" s="3070"/>
      <c r="J215" s="3070"/>
      <c r="K215" s="3070"/>
      <c r="L215" s="1737"/>
      <c r="M215" s="1787"/>
    </row>
    <row r="216" spans="1:13" ht="13.5" customHeight="1" x14ac:dyDescent="0.3">
      <c r="C216" s="1737"/>
      <c r="D216" s="1782" t="s">
        <v>1689</v>
      </c>
      <c r="L216" s="1737"/>
      <c r="M216" s="1787"/>
    </row>
    <row r="217" spans="1:13" ht="8.25" customHeight="1" x14ac:dyDescent="0.3">
      <c r="C217" s="1737"/>
      <c r="D217" s="1782"/>
      <c r="L217" s="1737"/>
      <c r="M217" s="1787"/>
    </row>
    <row r="218" spans="1:13" x14ac:dyDescent="0.3">
      <c r="C218" s="1737"/>
      <c r="F218" s="1784"/>
      <c r="G218" s="1689" t="s">
        <v>1700</v>
      </c>
      <c r="H218" s="1737"/>
      <c r="I218" s="1737"/>
      <c r="J218" s="1737"/>
      <c r="K218" s="1737"/>
      <c r="L218" s="1737"/>
      <c r="M218" s="1787"/>
    </row>
    <row r="219" spans="1:13" x14ac:dyDescent="0.3">
      <c r="C219" s="1737"/>
      <c r="F219" s="1784" t="s">
        <v>1949</v>
      </c>
      <c r="G219" s="1737" t="s">
        <v>1701</v>
      </c>
      <c r="H219" s="1737"/>
      <c r="I219" s="1737"/>
      <c r="J219" s="1737"/>
      <c r="K219" s="1737"/>
      <c r="L219" s="1737"/>
      <c r="M219" s="1787"/>
    </row>
    <row r="220" spans="1:13" ht="15" thickBot="1" x14ac:dyDescent="0.35">
      <c r="C220" s="1731"/>
      <c r="D220" s="1723"/>
      <c r="E220" s="1723"/>
      <c r="F220" s="1731"/>
      <c r="G220" s="1731"/>
      <c r="H220" s="1731"/>
      <c r="I220" s="1731"/>
      <c r="J220" s="1731"/>
      <c r="K220" s="1731"/>
      <c r="L220" s="1731"/>
      <c r="M220" s="1787"/>
    </row>
    <row r="221" spans="1:13" x14ac:dyDescent="0.3">
      <c r="C221" s="1967"/>
      <c r="D221" s="1700"/>
      <c r="E221" s="1967"/>
      <c r="F221" s="1967"/>
      <c r="G221" s="1967"/>
      <c r="H221" s="1967"/>
      <c r="I221" s="1967"/>
      <c r="J221" s="1967"/>
      <c r="K221" s="1967"/>
      <c r="M221" s="1787"/>
    </row>
    <row r="222" spans="1:13" ht="16.2" customHeight="1" x14ac:dyDescent="0.3">
      <c r="B222" s="1698" t="s">
        <v>1702</v>
      </c>
      <c r="C222" s="1699" t="s">
        <v>1703</v>
      </c>
      <c r="D222" s="1699"/>
      <c r="E222" s="1699"/>
      <c r="F222" s="1700"/>
      <c r="G222" s="1700"/>
      <c r="H222" s="1700"/>
      <c r="I222" s="1700"/>
      <c r="J222" s="1700"/>
      <c r="K222" s="1700"/>
      <c r="L222" s="1701" t="s">
        <v>1625</v>
      </c>
      <c r="M222" s="1785">
        <v>3</v>
      </c>
    </row>
    <row r="223" spans="1:13" ht="9.75" customHeight="1" x14ac:dyDescent="0.3">
      <c r="A223" s="3071"/>
      <c r="B223" s="3071"/>
      <c r="C223" s="3071"/>
      <c r="D223" s="3071"/>
      <c r="E223" s="3071"/>
      <c r="F223" s="3071"/>
      <c r="G223" s="3071"/>
      <c r="H223" s="3071"/>
      <c r="I223" s="3071"/>
      <c r="J223" s="3071"/>
      <c r="K223" s="3071"/>
      <c r="L223" s="1728"/>
      <c r="M223" s="1737"/>
    </row>
    <row r="224" spans="1:13" ht="14.25" customHeight="1" x14ac:dyDescent="0.3">
      <c r="C224" s="1737"/>
      <c r="D224" s="3071" t="s">
        <v>1704</v>
      </c>
      <c r="E224" s="3070"/>
      <c r="F224" s="3070"/>
      <c r="G224" s="3070"/>
      <c r="H224" s="3070"/>
      <c r="I224" s="3070"/>
      <c r="J224" s="3070"/>
      <c r="K224" s="3070"/>
      <c r="L224" s="1737"/>
    </row>
    <row r="225" spans="1:13" ht="13.5" customHeight="1" x14ac:dyDescent="0.3">
      <c r="C225" s="1737"/>
      <c r="D225" s="1782"/>
      <c r="L225" s="1737"/>
    </row>
    <row r="226" spans="1:13" s="1764" customFormat="1" ht="12" customHeight="1" x14ac:dyDescent="0.3">
      <c r="A226" s="1689"/>
      <c r="B226" s="1967"/>
      <c r="C226" s="1967"/>
      <c r="D226" s="1967"/>
      <c r="E226" s="3065" t="s">
        <v>1733</v>
      </c>
      <c r="F226" s="3068"/>
      <c r="G226" s="3068"/>
      <c r="H226" s="3068"/>
      <c r="I226" s="3068"/>
      <c r="J226" s="3068"/>
      <c r="K226" s="3068"/>
      <c r="L226" s="3066"/>
      <c r="M226" s="1967"/>
    </row>
    <row r="227" spans="1:13" s="1764" customFormat="1" ht="12" customHeight="1" x14ac:dyDescent="0.3">
      <c r="A227" s="1689"/>
      <c r="B227" s="1967"/>
      <c r="C227" s="1967"/>
      <c r="D227" s="1967"/>
      <c r="E227" s="3065" t="s">
        <v>1161</v>
      </c>
      <c r="F227" s="3068"/>
      <c r="G227" s="3068"/>
      <c r="H227" s="3068"/>
      <c r="I227" s="3068"/>
      <c r="J227" s="3068"/>
      <c r="K227" s="3068"/>
      <c r="L227" s="3066"/>
      <c r="M227" s="1967"/>
    </row>
    <row r="228" spans="1:13" ht="15" thickBot="1" x14ac:dyDescent="0.35">
      <c r="C228" s="1731"/>
      <c r="D228" s="1723"/>
      <c r="E228" s="1723"/>
      <c r="F228" s="1723"/>
      <c r="G228" s="1731"/>
      <c r="H228" s="1731"/>
      <c r="I228" s="1731"/>
      <c r="J228" s="1731"/>
      <c r="K228" s="1731"/>
      <c r="L228" s="1731"/>
    </row>
    <row r="229" spans="1:13" x14ac:dyDescent="0.3">
      <c r="C229" s="1737"/>
      <c r="G229" s="1737"/>
      <c r="H229" s="1737"/>
      <c r="I229" s="1737"/>
      <c r="J229" s="1737"/>
      <c r="K229" s="1737"/>
      <c r="L229" s="1737"/>
    </row>
    <row r="230" spans="1:13" x14ac:dyDescent="0.3">
      <c r="B230" s="1698" t="s">
        <v>1705</v>
      </c>
      <c r="C230" s="1699" t="s">
        <v>1706</v>
      </c>
      <c r="D230" s="1699"/>
      <c r="F230" s="1700"/>
      <c r="G230" s="1700"/>
      <c r="L230" s="1701" t="s">
        <v>1625</v>
      </c>
      <c r="M230" s="1702">
        <v>0</v>
      </c>
    </row>
    <row r="231" spans="1:13" ht="7.5" customHeight="1" x14ac:dyDescent="0.3">
      <c r="B231" s="1698"/>
      <c r="C231" s="1699"/>
      <c r="D231" s="1699"/>
      <c r="F231" s="1700"/>
      <c r="G231" s="1700"/>
      <c r="H231" s="1700"/>
      <c r="I231" s="1700"/>
      <c r="J231" s="1700"/>
      <c r="K231" s="1700"/>
      <c r="L231" s="1769"/>
      <c r="M231" s="1703"/>
    </row>
    <row r="232" spans="1:13" ht="27" customHeight="1" x14ac:dyDescent="0.3">
      <c r="C232" s="3071" t="s">
        <v>1707</v>
      </c>
      <c r="D232" s="3070"/>
      <c r="E232" s="3070"/>
      <c r="F232" s="3070"/>
      <c r="G232" s="3070"/>
      <c r="H232" s="3070"/>
      <c r="I232" s="3070"/>
      <c r="J232" s="3070"/>
      <c r="K232" s="3070"/>
      <c r="L232" s="1728"/>
      <c r="M232" s="1967"/>
    </row>
    <row r="233" spans="1:13" ht="15" thickBot="1" x14ac:dyDescent="0.35"/>
    <row r="234" spans="1:13" ht="28.5" customHeight="1" thickTop="1" thickBot="1" x14ac:dyDescent="0.35">
      <c r="B234" s="1788"/>
      <c r="C234" s="1789" t="s">
        <v>1470</v>
      </c>
      <c r="D234" s="1789"/>
      <c r="E234" s="1788"/>
      <c r="F234" s="1788"/>
      <c r="G234" s="1788"/>
      <c r="H234" s="1788"/>
      <c r="I234" s="1788"/>
      <c r="J234" s="1788"/>
      <c r="K234" s="1788"/>
      <c r="L234" s="1788"/>
      <c r="M234" s="1790">
        <f>SUM(M230,M222,M213,M202,M196,M189,M184,M179,M168,M173,M160,M152,M144,M138,M125,M117,M106,M92,M80,M70,M59,M33,M26,M12,)</f>
        <v>41</v>
      </c>
    </row>
    <row r="235" spans="1:13" ht="15" thickTop="1" x14ac:dyDescent="0.3"/>
  </sheetData>
  <sheetProtection formatCells="0" formatColumns="0" formatRows="0"/>
  <mergeCells count="53">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115:M115"/>
    <mergeCell ref="A1:M1"/>
    <mergeCell ref="B2:M2"/>
    <mergeCell ref="B5:M5"/>
    <mergeCell ref="B6:E6"/>
    <mergeCell ref="F6:H6"/>
    <mergeCell ref="B8:M8"/>
    <mergeCell ref="L10:L11"/>
    <mergeCell ref="M10:M11"/>
    <mergeCell ref="E16:L16"/>
    <mergeCell ref="F23:H23"/>
    <mergeCell ref="E30:F30"/>
    <mergeCell ref="C35:M36"/>
    <mergeCell ref="E62:L62"/>
    <mergeCell ref="E72:L72"/>
    <mergeCell ref="E74:K77"/>
  </mergeCells>
  <dataValidations count="14">
    <dataValidation type="list" allowBlank="1" showInputMessage="1" showErrorMessage="1" sqref="F228:F229" xr:uid="{00000000-0002-0000-3000-000000000000}">
      <formula1>$D$28:$D$29</formula1>
    </dataValidation>
    <dataValidation type="list" allowBlank="1" showInputMessage="1" showErrorMessage="1" sqref="L56" xr:uid="{00000000-0002-0000-3000-000001000000}">
      <formula1>$D$16:$D$17</formula1>
    </dataValidation>
    <dataValidation type="list" allowBlank="1" showInputMessage="1" showErrorMessage="1" sqref="D164:D165" xr:uid="{00000000-0002-0000-3000-000002000000}">
      <formula1>location_eff</formula1>
    </dataValidation>
    <dataValidation allowBlank="1" showErrorMessage="1" sqref="M16" xr:uid="{00000000-0002-0000-3000-000003000000}"/>
    <dataValidation type="list" allowBlank="1" showInputMessage="1" showErrorMessage="1" sqref="E84:L84" xr:uid="{00000000-0002-0000-3000-000004000000}">
      <formula1>four_perc_leveraging_public_resources</formula1>
    </dataValidation>
    <dataValidation type="list" allowBlank="1" showInputMessage="1" showErrorMessage="1" sqref="E164" xr:uid="{00000000-0002-0000-3000-000005000000}">
      <formula1>four_perc_efficient_location</formula1>
    </dataValidation>
    <dataValidation type="list" allowBlank="1" showInputMessage="1" showErrorMessage="1" sqref="E193:L193" xr:uid="{00000000-0002-0000-3000-000006000000}">
      <formula1>four_perc_np_sponsor</formula1>
    </dataValidation>
    <dataValidation type="list" allowBlank="1" showInputMessage="1" showErrorMessage="1" sqref="E121:F121" xr:uid="{00000000-0002-0000-3000-000007000000}">
      <formula1>four_perc_dev_fees</formula1>
    </dataValidation>
    <dataValidation type="list" allowBlank="1" showInputMessage="1" showErrorMessage="1" sqref="E62:L62" xr:uid="{00000000-0002-0000-3000-000008000000}">
      <formula1>four_perc_project_based_rental_assistance</formula1>
    </dataValidation>
    <dataValidation type="list" allowBlank="1" showErrorMessage="1" sqref="E16:L16" xr:uid="{00000000-0002-0000-3000-000009000000}">
      <formula1>four_perc_lih_commit</formula1>
    </dataValidation>
    <dataValidation type="list" allowBlank="1" showInputMessage="1" sqref="E30:F30" xr:uid="{00000000-0002-0000-3000-00000A000000}">
      <formula1>four_perc_Years</formula1>
    </dataValidation>
    <dataValidation type="list" allowBlank="1" showInputMessage="1" showErrorMessage="1" sqref="E96:L96" xr:uid="{00000000-0002-0000-3000-00000B000000}">
      <formula1>four_perc_leveraging_taxable_bonds</formula1>
    </dataValidation>
    <dataValidation type="list" allowBlank="1" showInputMessage="1" showErrorMessage="1" sqref="E156:L156" xr:uid="{00000000-0002-0000-3000-00000C000000}">
      <formula1>four_perc_property_type</formula1>
    </dataValidation>
    <dataValidation type="list" allowBlank="1" showInputMessage="1" showErrorMessage="1" sqref="F205:F210 F218:F219" xr:uid="{00000000-0002-0000-3000-00000D000000}">
      <formula1>Enable</formula1>
    </dataValidation>
  </dataValidations>
  <hyperlinks>
    <hyperlink ref="F6" r:id="rId1" display="2016 Bond/Tax Credit Polices" xr:uid="{00000000-0004-0000-3000-000000000000}"/>
    <hyperlink ref="F6:H6" r:id="rId2" display="2017 Bond/Tax Credit Polices" xr:uid="{00000000-0004-0000-3000-000001000000}"/>
  </hyperlinks>
  <pageMargins left="1" right="1" top="0.75" bottom="0.75" header="0.3" footer="0.3"/>
  <pageSetup scale="78" fitToHeight="0" orientation="portrait" r:id="rId3"/>
  <headerFooter>
    <oddFooter>&amp;LForm 11B
4% Tax Credit / Bond Program Scoring&amp;CCFA Forms&amp;REdition: 2017
Version: 1.0</oddFooter>
  </headerFooter>
  <drawing r:id="rId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3000-00000E000000}">
          <x14:formula1>
            <xm:f>'4% LIHTC ScoringLists'!$D$46:$D$48</xm:f>
          </x14:formula1>
          <xm:sqref>M222</xm:sqref>
        </x14:dataValidation>
        <x14:dataValidation type="list" allowBlank="1" showInputMessage="1" showErrorMessage="1" xr:uid="{00000000-0002-0000-3000-00000F000000}">
          <x14:formula1>
            <xm:f>'4% LIHTC ScoringLists'!$B$112:$B$113</xm:f>
          </x14:formula1>
          <xm:sqref>E226:L226</xm:sqref>
        </x14:dataValidation>
        <x14:dataValidation type="list" allowBlank="1" showInputMessage="1" showErrorMessage="1" xr:uid="{00000000-0002-0000-3000-000010000000}">
          <x14:formula1>
            <xm:f>'4% LIHTC ScoringLists'!$B$114:$B$115</xm:f>
          </x14:formula1>
          <xm:sqref>E227:L227</xm:sqref>
        </x14:dataValidation>
        <x14:dataValidation type="list" allowBlank="1" showInputMessage="1" showErrorMessage="1" xr:uid="{00000000-0002-0000-3000-000011000000}">
          <x14:formula1>
            <xm:f>'4% LIHTC ScoringLists'!$D$34:$D$41</xm:f>
          </x14:formula1>
          <xm:sqref>M202</xm:sqref>
        </x14:dataValidation>
        <x14:dataValidation type="list" allowBlank="1" showInputMessage="1" showErrorMessage="1" xr:uid="{00000000-0002-0000-3000-000012000000}">
          <x14:formula1>
            <xm:f>'4% LIHTC ScoringLists'!$D$30:$D$32</xm:f>
          </x14:formula1>
          <xm:sqref>M196</xm:sqref>
        </x14:dataValidation>
        <x14:dataValidation type="list" allowBlank="1" showInputMessage="1" showErrorMessage="1" xr:uid="{00000000-0002-0000-3000-000013000000}">
          <x14:formula1>
            <xm:f>'4% LIHTC ScoringLists'!$D$22:$D$23</xm:f>
          </x14:formula1>
          <xm:sqref>M184</xm:sqref>
        </x14:dataValidation>
        <x14:dataValidation type="list" allowBlank="1" showInputMessage="1" showErrorMessage="1" xr:uid="{00000000-0002-0000-3000-000014000000}">
          <x14:formula1>
            <xm:f>'4% LIHTC ScoringLists'!$D$28:$D$29</xm:f>
          </x14:formula1>
          <xm:sqref>M168 M213</xm:sqref>
        </x14:dataValidation>
        <x14:dataValidation type="list" allowBlank="1" showInputMessage="1" showErrorMessage="1" xr:uid="{00000000-0002-0000-3000-000015000000}">
          <x14:formula1>
            <xm:f>'4% LIHTC ScoringLists'!$D$25:$D$26</xm:f>
          </x14:formula1>
          <xm:sqref>M160 M179 M173</xm:sqref>
        </x14:dataValidation>
        <x14:dataValidation type="list" allowBlank="1" showInputMessage="1" showErrorMessage="1" xr:uid="{00000000-0002-0000-3000-000016000000}">
          <x14:formula1>
            <xm:f>'4% LIHTC ScoringLists'!$B$68:$B$72</xm:f>
          </x14:formula1>
          <xm:sqref>E157:L158</xm:sqref>
        </x14:dataValidation>
        <x14:dataValidation type="list" allowBlank="1" showInputMessage="1" showErrorMessage="1" xr:uid="{00000000-0002-0000-3000-000017000000}">
          <x14:formula1>
            <xm:f>'4% LIHTC ScoringLists'!$B$50:$B$57</xm:f>
          </x14:formula1>
          <xm:sqref>D96</xm:sqref>
        </x14:dataValidation>
        <x14:dataValidation type="list" allowBlank="1" showInputMessage="1" showErrorMessage="1" xr:uid="{00000000-0002-0000-3000-000018000000}">
          <x14:formula1>
            <xm:f>'4% LIHTC ScoringLists'!#REF!</xm:f>
          </x14:formula1>
          <xm:sqref>E122:E124</xm:sqref>
        </x14:dataValidation>
        <x14:dataValidation type="list" allowBlank="1" showInputMessage="1" showErrorMessage="1" xr:uid="{00000000-0002-0000-3000-000019000000}">
          <x14:formula1>
            <xm:f>'4% LIHTC ScoringLists'!$D$16:$D$17</xm:f>
          </x14:formula1>
          <xm:sqref>L48:L49 L55</xm:sqref>
        </x14:dataValidation>
        <x14:dataValidation type="list" allowBlank="1" showInputMessage="1" showErrorMessage="1" xr:uid="{00000000-0002-0000-3000-00001A000000}">
          <x14:formula1>
            <xm:f>'4% LIHTC ScoringLists'!$D$12:$D$13</xm:f>
          </x14:formula1>
          <xm:sqref>L42:L43 L54 M138 M144 M230 M125</xm:sqref>
        </x14:dataValidation>
        <x14:dataValidation type="list" allowBlank="1" showInputMessage="1" showErrorMessage="1" xr:uid="{00000000-0002-0000-3000-00001B000000}">
          <x14:formula1>
            <xm:f>'4% LIHTC ScoringLists'!$D$1:$D$6</xm:f>
          </x14:formula1>
          <xm:sqref>M12</xm:sqref>
        </x14:dataValidation>
        <x14:dataValidation type="list" allowBlank="1" showInputMessage="1" showErrorMessage="1" xr:uid="{00000000-0002-0000-3000-00001C000000}">
          <x14:formula1>
            <xm:f>'4% LIHTC ScoringLists'!$D$19:$D$20</xm:f>
          </x14:formula1>
          <xm:sqref>E72:L72</xm:sqref>
        </x14:dataValidation>
        <x14:dataValidation type="list" allowBlank="1" showInputMessage="1" showErrorMessage="1" xr:uid="{00000000-0002-0000-3000-00001D000000}">
          <x14:formula1>
            <xm:f>'4% LIHTC ScoringLists'!$B$14:$B$19</xm:f>
          </x14:formula1>
          <xm:sqref>E21:E22</xm:sqref>
        </x14:dataValidation>
        <x14:dataValidation type="list" allowBlank="1" showInputMessage="1" showErrorMessage="1" xr:uid="{00000000-0002-0000-3000-00001E000000}">
          <x14:formula1>
            <xm:f>'4% LIHTC ScoringLists'!$B$12:$B$13</xm:f>
          </x14:formula1>
          <xm:sqref>E20</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pageSetUpPr fitToPage="1"/>
  </sheetPr>
  <dimension ref="A1:D115"/>
  <sheetViews>
    <sheetView topLeftCell="A25" workbookViewId="0">
      <selection activeCell="B217" sqref="B217"/>
    </sheetView>
  </sheetViews>
  <sheetFormatPr defaultColWidth="9.109375" defaultRowHeight="14.4" x14ac:dyDescent="0.3"/>
  <cols>
    <col min="1" max="1" width="36.6640625" style="1783" bestFit="1" customWidth="1"/>
    <col min="2" max="2" width="115" style="1783" bestFit="1" customWidth="1"/>
    <col min="3" max="16384" width="9.109375" style="1783"/>
  </cols>
  <sheetData>
    <row r="1" spans="1:4" x14ac:dyDescent="0.3">
      <c r="A1" s="1792"/>
      <c r="D1" s="1783">
        <v>0</v>
      </c>
    </row>
    <row r="2" spans="1:4" x14ac:dyDescent="0.3">
      <c r="D2" s="1783">
        <v>2</v>
      </c>
    </row>
    <row r="3" spans="1:4" x14ac:dyDescent="0.3">
      <c r="A3" s="1783" t="s">
        <v>1792</v>
      </c>
      <c r="B3" s="1783" t="s">
        <v>1439</v>
      </c>
      <c r="D3" s="1783">
        <v>4</v>
      </c>
    </row>
    <row r="4" spans="1:4" x14ac:dyDescent="0.3">
      <c r="B4" s="1783" t="s">
        <v>1471</v>
      </c>
      <c r="D4" s="1783">
        <v>6</v>
      </c>
    </row>
    <row r="5" spans="1:4" x14ac:dyDescent="0.3">
      <c r="B5" s="1783" t="s">
        <v>1472</v>
      </c>
      <c r="D5" s="1783">
        <v>8</v>
      </c>
    </row>
    <row r="6" spans="1:4" x14ac:dyDescent="0.3">
      <c r="B6" s="1783" t="s">
        <v>1473</v>
      </c>
      <c r="D6" s="1783">
        <v>10</v>
      </c>
    </row>
    <row r="7" spans="1:4" x14ac:dyDescent="0.3">
      <c r="B7" s="1783" t="s">
        <v>1474</v>
      </c>
    </row>
    <row r="8" spans="1:4" x14ac:dyDescent="0.3">
      <c r="B8" s="1783" t="s">
        <v>1475</v>
      </c>
    </row>
    <row r="9" spans="1:4" x14ac:dyDescent="0.3">
      <c r="B9" s="1783" t="s">
        <v>1476</v>
      </c>
    </row>
    <row r="12" spans="1:4" x14ac:dyDescent="0.3">
      <c r="A12" s="1783" t="s">
        <v>1793</v>
      </c>
      <c r="B12" s="1793">
        <v>0</v>
      </c>
      <c r="D12" s="1783">
        <v>0</v>
      </c>
    </row>
    <row r="13" spans="1:4" x14ac:dyDescent="0.3">
      <c r="B13" s="1793">
        <v>0.1</v>
      </c>
      <c r="D13" s="1783">
        <v>5</v>
      </c>
    </row>
    <row r="14" spans="1:4" x14ac:dyDescent="0.3">
      <c r="B14" s="1793">
        <v>0</v>
      </c>
    </row>
    <row r="15" spans="1:4" x14ac:dyDescent="0.3">
      <c r="B15" s="1793">
        <v>0.3</v>
      </c>
    </row>
    <row r="16" spans="1:4" x14ac:dyDescent="0.3">
      <c r="B16" s="1793">
        <v>0.5</v>
      </c>
      <c r="D16" s="1783">
        <v>0</v>
      </c>
    </row>
    <row r="17" spans="1:4" x14ac:dyDescent="0.3">
      <c r="B17" s="1793">
        <v>0.7</v>
      </c>
      <c r="D17" s="1783">
        <v>10</v>
      </c>
    </row>
    <row r="18" spans="1:4" x14ac:dyDescent="0.3">
      <c r="B18" s="1793">
        <v>0.9</v>
      </c>
      <c r="D18" s="1783" t="s">
        <v>1161</v>
      </c>
    </row>
    <row r="19" spans="1:4" x14ac:dyDescent="0.3">
      <c r="B19" s="1793">
        <v>1</v>
      </c>
      <c r="D19" s="1794" t="s">
        <v>549</v>
      </c>
    </row>
    <row r="20" spans="1:4" x14ac:dyDescent="0.3">
      <c r="D20" s="1794" t="s">
        <v>550</v>
      </c>
    </row>
    <row r="21" spans="1:4" x14ac:dyDescent="0.3">
      <c r="A21" s="1783" t="s">
        <v>1794</v>
      </c>
      <c r="B21" s="1783" t="s">
        <v>1161</v>
      </c>
    </row>
    <row r="22" spans="1:4" x14ac:dyDescent="0.3">
      <c r="B22" s="1795" t="s">
        <v>1708</v>
      </c>
      <c r="D22" s="1783">
        <v>0</v>
      </c>
    </row>
    <row r="23" spans="1:4" x14ac:dyDescent="0.3">
      <c r="B23" s="1795" t="s">
        <v>1709</v>
      </c>
      <c r="D23" s="1783">
        <v>1</v>
      </c>
    </row>
    <row r="24" spans="1:4" x14ac:dyDescent="0.3">
      <c r="B24" s="1795" t="s">
        <v>1710</v>
      </c>
    </row>
    <row r="25" spans="1:4" x14ac:dyDescent="0.3">
      <c r="B25" s="1795" t="s">
        <v>1711</v>
      </c>
      <c r="D25" s="1783">
        <v>0</v>
      </c>
    </row>
    <row r="26" spans="1:4" x14ac:dyDescent="0.3">
      <c r="B26" s="1795" t="s">
        <v>1712</v>
      </c>
      <c r="D26" s="1783">
        <v>3</v>
      </c>
    </row>
    <row r="27" spans="1:4" x14ac:dyDescent="0.3">
      <c r="B27" s="1795" t="s">
        <v>1713</v>
      </c>
    </row>
    <row r="28" spans="1:4" x14ac:dyDescent="0.3">
      <c r="B28" s="1795" t="s">
        <v>1714</v>
      </c>
      <c r="D28" s="1783">
        <v>0</v>
      </c>
    </row>
    <row r="29" spans="1:4" x14ac:dyDescent="0.3">
      <c r="B29" s="1795" t="s">
        <v>1715</v>
      </c>
      <c r="D29" s="1783">
        <v>2</v>
      </c>
    </row>
    <row r="30" spans="1:4" x14ac:dyDescent="0.3">
      <c r="B30" s="1795" t="s">
        <v>1716</v>
      </c>
      <c r="D30" s="1783">
        <v>0</v>
      </c>
    </row>
    <row r="31" spans="1:4" x14ac:dyDescent="0.3">
      <c r="B31" s="1795" t="s">
        <v>1717</v>
      </c>
      <c r="D31" s="1783">
        <v>4</v>
      </c>
    </row>
    <row r="32" spans="1:4" x14ac:dyDescent="0.3">
      <c r="B32" s="1795" t="s">
        <v>1718</v>
      </c>
      <c r="D32" s="1783">
        <v>8</v>
      </c>
    </row>
    <row r="34" spans="1:4" x14ac:dyDescent="0.3">
      <c r="A34" s="1795" t="s">
        <v>1795</v>
      </c>
      <c r="B34" s="1795" t="s">
        <v>1161</v>
      </c>
      <c r="D34" s="1783">
        <v>0</v>
      </c>
    </row>
    <row r="35" spans="1:4" x14ac:dyDescent="0.3">
      <c r="A35" s="1795"/>
      <c r="B35" s="1796" t="s">
        <v>1477</v>
      </c>
      <c r="D35" s="1783">
        <v>1</v>
      </c>
    </row>
    <row r="36" spans="1:4" x14ac:dyDescent="0.3">
      <c r="A36" s="1795"/>
      <c r="B36" s="1796"/>
    </row>
    <row r="37" spans="1:4" x14ac:dyDescent="0.3">
      <c r="A37" s="1795" t="s">
        <v>1808</v>
      </c>
      <c r="B37" s="1795" t="s">
        <v>1161</v>
      </c>
      <c r="D37" s="1783">
        <v>2</v>
      </c>
    </row>
    <row r="38" spans="1:4" x14ac:dyDescent="0.3">
      <c r="A38" s="1795"/>
      <c r="B38" s="1795" t="s">
        <v>1719</v>
      </c>
      <c r="D38" s="1783">
        <v>3</v>
      </c>
    </row>
    <row r="39" spans="1:4" x14ac:dyDescent="0.3">
      <c r="B39" s="1795" t="s">
        <v>1720</v>
      </c>
      <c r="D39" s="1783">
        <v>4</v>
      </c>
    </row>
    <row r="40" spans="1:4" x14ac:dyDescent="0.3">
      <c r="A40" s="1795"/>
      <c r="B40" s="1795" t="s">
        <v>1721</v>
      </c>
      <c r="D40" s="1783">
        <v>5</v>
      </c>
    </row>
    <row r="41" spans="1:4" x14ac:dyDescent="0.3">
      <c r="A41" s="1795"/>
      <c r="B41" s="1795" t="s">
        <v>1722</v>
      </c>
      <c r="D41" s="1783">
        <v>6</v>
      </c>
    </row>
    <row r="42" spans="1:4" x14ac:dyDescent="0.3">
      <c r="A42" s="1795"/>
      <c r="B42" s="1795" t="s">
        <v>1723</v>
      </c>
    </row>
    <row r="43" spans="1:4" x14ac:dyDescent="0.3">
      <c r="A43" s="1795"/>
      <c r="B43" s="1795"/>
    </row>
    <row r="44" spans="1:4" x14ac:dyDescent="0.3">
      <c r="A44" s="1795"/>
      <c r="B44" s="1795"/>
      <c r="D44" s="1783" t="s">
        <v>1146</v>
      </c>
    </row>
    <row r="45" spans="1:4" ht="18" x14ac:dyDescent="0.35">
      <c r="A45" s="1783" t="s">
        <v>1796</v>
      </c>
      <c r="B45" s="1783" t="s">
        <v>1161</v>
      </c>
      <c r="D45" s="1797" t="s">
        <v>571</v>
      </c>
    </row>
    <row r="46" spans="1:4" x14ac:dyDescent="0.3">
      <c r="B46" s="1783" t="s">
        <v>1478</v>
      </c>
      <c r="D46" s="1783">
        <v>0</v>
      </c>
    </row>
    <row r="47" spans="1:4" x14ac:dyDescent="0.3">
      <c r="B47" s="1783" t="s">
        <v>1479</v>
      </c>
      <c r="D47" s="1783">
        <v>3</v>
      </c>
    </row>
    <row r="48" spans="1:4" x14ac:dyDescent="0.3">
      <c r="B48" s="1783" t="s">
        <v>1480</v>
      </c>
      <c r="D48" s="1783">
        <v>6</v>
      </c>
    </row>
    <row r="50" spans="1:2" x14ac:dyDescent="0.3">
      <c r="A50" s="1783" t="s">
        <v>1797</v>
      </c>
      <c r="B50" s="1783" t="s">
        <v>1161</v>
      </c>
    </row>
    <row r="51" spans="1:2" x14ac:dyDescent="0.3">
      <c r="B51" s="1783" t="s">
        <v>1481</v>
      </c>
    </row>
    <row r="52" spans="1:2" x14ac:dyDescent="0.3">
      <c r="B52" s="1783" t="s">
        <v>1482</v>
      </c>
    </row>
    <row r="53" spans="1:2" x14ac:dyDescent="0.3">
      <c r="B53" s="1783" t="s">
        <v>1483</v>
      </c>
    </row>
    <row r="54" spans="1:2" x14ac:dyDescent="0.3">
      <c r="B54" s="1783" t="s">
        <v>1484</v>
      </c>
    </row>
    <row r="55" spans="1:2" x14ac:dyDescent="0.3">
      <c r="B55" s="1783" t="s">
        <v>1485</v>
      </c>
    </row>
    <row r="56" spans="1:2" x14ac:dyDescent="0.3">
      <c r="B56" s="1783" t="s">
        <v>1486</v>
      </c>
    </row>
    <row r="57" spans="1:2" x14ac:dyDescent="0.3">
      <c r="B57" s="1783" t="s">
        <v>1487</v>
      </c>
    </row>
    <row r="60" spans="1:2" x14ac:dyDescent="0.3">
      <c r="A60" s="1783" t="s">
        <v>1798</v>
      </c>
      <c r="B60" s="1783" t="s">
        <v>1724</v>
      </c>
    </row>
    <row r="61" spans="1:2" x14ac:dyDescent="0.3">
      <c r="B61" s="1783" t="s">
        <v>1725</v>
      </c>
    </row>
    <row r="62" spans="1:2" x14ac:dyDescent="0.3">
      <c r="B62" s="1783" t="s">
        <v>1726</v>
      </c>
    </row>
    <row r="63" spans="1:2" x14ac:dyDescent="0.3">
      <c r="B63" s="1783" t="s">
        <v>1727</v>
      </c>
    </row>
    <row r="64" spans="1:2" x14ac:dyDescent="0.3">
      <c r="B64" s="1783" t="s">
        <v>1728</v>
      </c>
    </row>
    <row r="65" spans="1:2" x14ac:dyDescent="0.3">
      <c r="B65" s="1783" t="s">
        <v>1199</v>
      </c>
    </row>
    <row r="66" spans="1:2" x14ac:dyDescent="0.3">
      <c r="A66" s="1795"/>
      <c r="B66" s="1795"/>
    </row>
    <row r="68" spans="1:2" x14ac:dyDescent="0.3">
      <c r="A68" s="1783" t="s">
        <v>1799</v>
      </c>
      <c r="B68" s="1783" t="s">
        <v>1161</v>
      </c>
    </row>
    <row r="69" spans="1:2" x14ac:dyDescent="0.3">
      <c r="B69" s="1783" t="s">
        <v>1488</v>
      </c>
    </row>
    <row r="70" spans="1:2" x14ac:dyDescent="0.3">
      <c r="B70" s="1783" t="s">
        <v>1489</v>
      </c>
    </row>
    <row r="71" spans="1:2" x14ac:dyDescent="0.3">
      <c r="B71" s="1783" t="s">
        <v>1490</v>
      </c>
    </row>
    <row r="72" spans="1:2" x14ac:dyDescent="0.3">
      <c r="B72" s="1783" t="s">
        <v>1729</v>
      </c>
    </row>
    <row r="75" spans="1:2" x14ac:dyDescent="0.3">
      <c r="A75" s="1795" t="s">
        <v>1800</v>
      </c>
      <c r="B75" s="1783" t="s">
        <v>1161</v>
      </c>
    </row>
    <row r="76" spans="1:2" x14ac:dyDescent="0.3">
      <c r="A76" s="1795"/>
      <c r="B76" s="1795" t="s">
        <v>1845</v>
      </c>
    </row>
    <row r="77" spans="1:2" x14ac:dyDescent="0.3">
      <c r="A77" s="1795"/>
      <c r="B77" s="1795" t="s">
        <v>1828</v>
      </c>
    </row>
    <row r="78" spans="1:2" x14ac:dyDescent="0.3">
      <c r="A78" s="1795"/>
      <c r="B78" s="1795" t="s">
        <v>1846</v>
      </c>
    </row>
    <row r="79" spans="1:2" x14ac:dyDescent="0.3">
      <c r="A79" s="1795"/>
      <c r="B79" s="1795"/>
    </row>
    <row r="80" spans="1:2" x14ac:dyDescent="0.3">
      <c r="A80" s="1795"/>
      <c r="B80" s="1795"/>
    </row>
    <row r="81" spans="1:2" x14ac:dyDescent="0.3">
      <c r="A81" s="1795" t="s">
        <v>1801</v>
      </c>
      <c r="B81" s="1783" t="s">
        <v>1161</v>
      </c>
    </row>
    <row r="82" spans="1:2" x14ac:dyDescent="0.3">
      <c r="A82" s="1795"/>
      <c r="B82" s="1795" t="s">
        <v>1730</v>
      </c>
    </row>
    <row r="83" spans="1:2" x14ac:dyDescent="0.3">
      <c r="A83" s="1795"/>
      <c r="B83" s="1795" t="s">
        <v>1731</v>
      </c>
    </row>
    <row r="86" spans="1:2" x14ac:dyDescent="0.3">
      <c r="A86" s="1783" t="s">
        <v>1802</v>
      </c>
      <c r="B86" s="1798">
        <v>0</v>
      </c>
    </row>
    <row r="87" spans="1:2" x14ac:dyDescent="0.3">
      <c r="B87" s="1798">
        <v>0.1</v>
      </c>
    </row>
    <row r="89" spans="1:2" x14ac:dyDescent="0.3">
      <c r="A89" s="1783" t="s">
        <v>1803</v>
      </c>
      <c r="B89" s="1798">
        <v>0</v>
      </c>
    </row>
    <row r="90" spans="1:2" x14ac:dyDescent="0.3">
      <c r="B90" s="1798">
        <v>0.3</v>
      </c>
    </row>
    <row r="91" spans="1:2" x14ac:dyDescent="0.3">
      <c r="B91" s="1798">
        <v>0.5</v>
      </c>
    </row>
    <row r="92" spans="1:2" x14ac:dyDescent="0.3">
      <c r="B92" s="1798">
        <v>0.7</v>
      </c>
    </row>
    <row r="93" spans="1:2" x14ac:dyDescent="0.3">
      <c r="B93" s="1798">
        <v>1</v>
      </c>
    </row>
    <row r="95" spans="1:2" x14ac:dyDescent="0.3">
      <c r="A95" s="1783" t="s">
        <v>1804</v>
      </c>
      <c r="B95" s="1798">
        <v>1</v>
      </c>
    </row>
    <row r="96" spans="1:2" x14ac:dyDescent="0.3">
      <c r="B96" s="1798">
        <v>0.9</v>
      </c>
    </row>
    <row r="97" spans="1:2" x14ac:dyDescent="0.3">
      <c r="B97" s="1798">
        <v>0.7</v>
      </c>
    </row>
    <row r="98" spans="1:2" x14ac:dyDescent="0.3">
      <c r="B98" s="1798">
        <v>0.5</v>
      </c>
    </row>
    <row r="99" spans="1:2" x14ac:dyDescent="0.3">
      <c r="B99" s="1798">
        <v>0.3</v>
      </c>
    </row>
    <row r="100" spans="1:2" x14ac:dyDescent="0.3">
      <c r="B100" s="1798">
        <v>0</v>
      </c>
    </row>
    <row r="102" spans="1:2" x14ac:dyDescent="0.3">
      <c r="A102" s="1783" t="s">
        <v>1805</v>
      </c>
      <c r="B102" s="1783" t="s">
        <v>1161</v>
      </c>
    </row>
    <row r="103" spans="1:2" x14ac:dyDescent="0.3">
      <c r="B103" s="1783" t="s">
        <v>1690</v>
      </c>
    </row>
    <row r="104" spans="1:2" x14ac:dyDescent="0.3">
      <c r="B104" s="1783" t="s">
        <v>1691</v>
      </c>
    </row>
    <row r="111" spans="1:2" x14ac:dyDescent="0.3">
      <c r="B111" s="1783" t="s">
        <v>1732</v>
      </c>
    </row>
    <row r="112" spans="1:2" x14ac:dyDescent="0.3">
      <c r="A112" s="1783" t="s">
        <v>1806</v>
      </c>
      <c r="B112" s="1783" t="s">
        <v>1161</v>
      </c>
    </row>
    <row r="113" spans="1:2" x14ac:dyDescent="0.3">
      <c r="B113" s="1783" t="s">
        <v>1733</v>
      </c>
    </row>
    <row r="114" spans="1:2" x14ac:dyDescent="0.3">
      <c r="A114" s="1783" t="s">
        <v>1807</v>
      </c>
      <c r="B114" s="1783" t="s">
        <v>1161</v>
      </c>
    </row>
    <row r="115" spans="1:2" x14ac:dyDescent="0.3">
      <c r="B115" s="1966" t="s">
        <v>1734</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B307"/>
  <sheetViews>
    <sheetView topLeftCell="A197" workbookViewId="0">
      <selection activeCell="B217" sqref="B217"/>
    </sheetView>
  </sheetViews>
  <sheetFormatPr defaultColWidth="9.109375" defaultRowHeight="14.4" x14ac:dyDescent="0.3"/>
  <cols>
    <col min="1" max="1" width="42" style="1859" customWidth="1"/>
    <col min="2" max="2" width="83" style="1859" bestFit="1" customWidth="1"/>
    <col min="3" max="16384" width="9.109375" style="1859"/>
  </cols>
  <sheetData>
    <row r="1" spans="1:2" x14ac:dyDescent="0.3">
      <c r="A1" s="1858"/>
    </row>
    <row r="2" spans="1:2" x14ac:dyDescent="0.3">
      <c r="A2" s="1859" t="s">
        <v>1810</v>
      </c>
      <c r="B2" s="1859" t="s">
        <v>1148</v>
      </c>
    </row>
    <row r="3" spans="1:2" x14ac:dyDescent="0.3">
      <c r="B3" s="1859" t="s">
        <v>1252</v>
      </c>
    </row>
    <row r="4" spans="1:2" x14ac:dyDescent="0.3">
      <c r="B4" s="1859" t="s">
        <v>1253</v>
      </c>
    </row>
    <row r="5" spans="1:2" x14ac:dyDescent="0.3">
      <c r="B5" s="1859" t="s">
        <v>1254</v>
      </c>
    </row>
    <row r="6" spans="1:2" x14ac:dyDescent="0.3">
      <c r="A6" s="1858"/>
      <c r="B6" s="1859" t="s">
        <v>1255</v>
      </c>
    </row>
    <row r="7" spans="1:2" x14ac:dyDescent="0.3">
      <c r="A7" s="1858"/>
      <c r="B7" s="1859" t="s">
        <v>1289</v>
      </c>
    </row>
    <row r="8" spans="1:2" x14ac:dyDescent="0.3">
      <c r="A8" s="1858"/>
      <c r="B8" s="1859" t="s">
        <v>1256</v>
      </c>
    </row>
    <row r="9" spans="1:2" x14ac:dyDescent="0.3">
      <c r="A9" s="1858"/>
      <c r="B9" s="1859" t="s">
        <v>1291</v>
      </c>
    </row>
    <row r="10" spans="1:2" x14ac:dyDescent="0.3">
      <c r="A10" s="1858"/>
      <c r="B10" s="1859" t="s">
        <v>1257</v>
      </c>
    </row>
    <row r="11" spans="1:2" x14ac:dyDescent="0.3">
      <c r="A11" s="1858"/>
      <c r="B11" s="1859" t="s">
        <v>1258</v>
      </c>
    </row>
    <row r="12" spans="1:2" x14ac:dyDescent="0.3">
      <c r="A12" s="1858"/>
      <c r="B12" s="1859" t="s">
        <v>1292</v>
      </c>
    </row>
    <row r="13" spans="1:2" x14ac:dyDescent="0.3">
      <c r="A13" s="1858"/>
      <c r="B13" s="1859" t="s">
        <v>1259</v>
      </c>
    </row>
    <row r="14" spans="1:2" x14ac:dyDescent="0.3">
      <c r="A14" s="1858"/>
      <c r="B14" s="1859" t="s">
        <v>1260</v>
      </c>
    </row>
    <row r="15" spans="1:2" x14ac:dyDescent="0.3">
      <c r="A15" s="1858"/>
      <c r="B15" s="1859" t="s">
        <v>1261</v>
      </c>
    </row>
    <row r="16" spans="1:2" x14ac:dyDescent="0.3">
      <c r="A16" s="1858"/>
      <c r="B16" s="1859" t="s">
        <v>1262</v>
      </c>
    </row>
    <row r="17" spans="1:2" x14ac:dyDescent="0.3">
      <c r="A17" s="1858"/>
      <c r="B17" s="1859" t="s">
        <v>1263</v>
      </c>
    </row>
    <row r="18" spans="1:2" x14ac:dyDescent="0.3">
      <c r="A18" s="1858"/>
      <c r="B18" s="1859" t="s">
        <v>1264</v>
      </c>
    </row>
    <row r="19" spans="1:2" x14ac:dyDescent="0.3">
      <c r="A19" s="1858"/>
      <c r="B19" s="1859" t="s">
        <v>1265</v>
      </c>
    </row>
    <row r="20" spans="1:2" x14ac:dyDescent="0.3">
      <c r="A20" s="1858"/>
      <c r="B20" s="1859" t="s">
        <v>1304</v>
      </c>
    </row>
    <row r="21" spans="1:2" x14ac:dyDescent="0.3">
      <c r="A21" s="1858"/>
    </row>
    <row r="22" spans="1:2" x14ac:dyDescent="0.3">
      <c r="A22" s="1858"/>
      <c r="B22" s="1859" t="s">
        <v>1146</v>
      </c>
    </row>
    <row r="23" spans="1:2" x14ac:dyDescent="0.3">
      <c r="A23" s="1859" t="s">
        <v>1812</v>
      </c>
      <c r="B23" s="1859" t="s">
        <v>1266</v>
      </c>
    </row>
    <row r="24" spans="1:2" x14ac:dyDescent="0.3">
      <c r="B24" s="1859" t="s">
        <v>1267</v>
      </c>
    </row>
    <row r="25" spans="1:2" x14ac:dyDescent="0.3">
      <c r="B25" s="1859" t="s">
        <v>1268</v>
      </c>
    </row>
    <row r="26" spans="1:2" x14ac:dyDescent="0.3">
      <c r="B26" s="1859" t="s">
        <v>1269</v>
      </c>
    </row>
    <row r="27" spans="1:2" x14ac:dyDescent="0.3">
      <c r="B27" s="1859" t="s">
        <v>1270</v>
      </c>
    </row>
    <row r="28" spans="1:2" x14ac:dyDescent="0.3">
      <c r="B28" s="1859" t="s">
        <v>1271</v>
      </c>
    </row>
    <row r="29" spans="1:2" x14ac:dyDescent="0.3">
      <c r="B29" s="1859" t="s">
        <v>1272</v>
      </c>
    </row>
    <row r="30" spans="1:2" x14ac:dyDescent="0.3">
      <c r="B30" s="1859" t="s">
        <v>1273</v>
      </c>
    </row>
    <row r="31" spans="1:2" x14ac:dyDescent="0.3">
      <c r="B31" s="1859" t="s">
        <v>1274</v>
      </c>
    </row>
    <row r="32" spans="1:2" x14ac:dyDescent="0.3">
      <c r="B32" s="1859" t="s">
        <v>1275</v>
      </c>
    </row>
    <row r="33" spans="1:2" x14ac:dyDescent="0.3">
      <c r="B33" s="1860" t="s">
        <v>1749</v>
      </c>
    </row>
    <row r="34" spans="1:2" x14ac:dyDescent="0.3">
      <c r="B34" s="1859" t="s">
        <v>1276</v>
      </c>
    </row>
    <row r="35" spans="1:2" x14ac:dyDescent="0.3">
      <c r="B35" s="1860" t="s">
        <v>1318</v>
      </c>
    </row>
    <row r="36" spans="1:2" x14ac:dyDescent="0.3">
      <c r="B36" s="1860" t="s">
        <v>1750</v>
      </c>
    </row>
    <row r="37" spans="1:2" x14ac:dyDescent="0.3">
      <c r="B37" s="1860" t="s">
        <v>1751</v>
      </c>
    </row>
    <row r="38" spans="1:2" x14ac:dyDescent="0.3">
      <c r="B38" s="1860" t="s">
        <v>1752</v>
      </c>
    </row>
    <row r="39" spans="1:2" x14ac:dyDescent="0.3">
      <c r="B39" s="1860" t="s">
        <v>1753</v>
      </c>
    </row>
    <row r="40" spans="1:2" x14ac:dyDescent="0.3">
      <c r="B40" s="1859" t="s">
        <v>1277</v>
      </c>
    </row>
    <row r="41" spans="1:2" x14ac:dyDescent="0.3">
      <c r="B41" s="1859" t="s">
        <v>1278</v>
      </c>
    </row>
    <row r="42" spans="1:2" x14ac:dyDescent="0.3">
      <c r="B42" s="1859" t="s">
        <v>1279</v>
      </c>
    </row>
    <row r="44" spans="1:2" x14ac:dyDescent="0.3">
      <c r="A44" s="1858"/>
      <c r="B44" s="1859" t="s">
        <v>1144</v>
      </c>
    </row>
    <row r="45" spans="1:2" x14ac:dyDescent="0.3">
      <c r="A45" s="1859" t="s">
        <v>1811</v>
      </c>
      <c r="B45" s="1859" t="s">
        <v>1280</v>
      </c>
    </row>
    <row r="46" spans="1:2" x14ac:dyDescent="0.3">
      <c r="B46" s="1859" t="s">
        <v>1281</v>
      </c>
    </row>
    <row r="47" spans="1:2" x14ac:dyDescent="0.3">
      <c r="B47" s="1859" t="s">
        <v>1282</v>
      </c>
    </row>
    <row r="48" spans="1:2" x14ac:dyDescent="0.3">
      <c r="B48" s="1859" t="s">
        <v>1283</v>
      </c>
    </row>
    <row r="49" spans="2:2" x14ac:dyDescent="0.3">
      <c r="B49" s="1859" t="s">
        <v>1284</v>
      </c>
    </row>
    <row r="50" spans="2:2" x14ac:dyDescent="0.3">
      <c r="B50" s="1859" t="s">
        <v>1285</v>
      </c>
    </row>
    <row r="51" spans="2:2" x14ac:dyDescent="0.3">
      <c r="B51" s="1859" t="s">
        <v>1286</v>
      </c>
    </row>
    <row r="52" spans="2:2" x14ac:dyDescent="0.3">
      <c r="B52" s="1859" t="s">
        <v>1287</v>
      </c>
    </row>
    <row r="53" spans="2:2" x14ac:dyDescent="0.3">
      <c r="B53" s="1859" t="s">
        <v>1288</v>
      </c>
    </row>
    <row r="54" spans="2:2" x14ac:dyDescent="0.3">
      <c r="B54" s="1859" t="s">
        <v>527</v>
      </c>
    </row>
    <row r="55" spans="2:2" x14ac:dyDescent="0.3">
      <c r="B55" s="1859" t="s">
        <v>1290</v>
      </c>
    </row>
    <row r="56" spans="2:2" x14ac:dyDescent="0.3">
      <c r="B56" s="1859" t="s">
        <v>1293</v>
      </c>
    </row>
    <row r="57" spans="2:2" x14ac:dyDescent="0.3">
      <c r="B57" s="1859" t="s">
        <v>1294</v>
      </c>
    </row>
    <row r="58" spans="2:2" x14ac:dyDescent="0.3">
      <c r="B58" s="1859" t="s">
        <v>1295</v>
      </c>
    </row>
    <row r="59" spans="2:2" x14ac:dyDescent="0.3">
      <c r="B59" s="1859" t="s">
        <v>1296</v>
      </c>
    </row>
    <row r="60" spans="2:2" x14ac:dyDescent="0.3">
      <c r="B60" s="1859" t="s">
        <v>1297</v>
      </c>
    </row>
    <row r="61" spans="2:2" x14ac:dyDescent="0.3">
      <c r="B61" s="1859" t="s">
        <v>1298</v>
      </c>
    </row>
    <row r="62" spans="2:2" x14ac:dyDescent="0.3">
      <c r="B62" s="1859" t="s">
        <v>1299</v>
      </c>
    </row>
    <row r="63" spans="2:2" x14ac:dyDescent="0.3">
      <c r="B63" s="1859" t="s">
        <v>1300</v>
      </c>
    </row>
    <row r="64" spans="2:2" x14ac:dyDescent="0.3">
      <c r="B64" s="1859" t="s">
        <v>1301</v>
      </c>
    </row>
    <row r="65" spans="1:2" x14ac:dyDescent="0.3">
      <c r="B65" s="1859" t="s">
        <v>1302</v>
      </c>
    </row>
    <row r="66" spans="1:2" x14ac:dyDescent="0.3">
      <c r="B66" s="1859" t="s">
        <v>1303</v>
      </c>
    </row>
    <row r="67" spans="1:2" x14ac:dyDescent="0.3">
      <c r="B67" s="1859" t="s">
        <v>1305</v>
      </c>
    </row>
    <row r="69" spans="1:2" x14ac:dyDescent="0.3">
      <c r="A69" s="1858"/>
      <c r="B69" s="1859" t="s">
        <v>1146</v>
      </c>
    </row>
    <row r="70" spans="1:2" x14ac:dyDescent="0.3">
      <c r="A70" s="1859" t="s">
        <v>1813</v>
      </c>
      <c r="B70" s="1859" t="s">
        <v>1306</v>
      </c>
    </row>
    <row r="71" spans="1:2" x14ac:dyDescent="0.3">
      <c r="B71" s="1859" t="s">
        <v>1307</v>
      </c>
    </row>
    <row r="72" spans="1:2" x14ac:dyDescent="0.3">
      <c r="B72" s="1859" t="s">
        <v>1308</v>
      </c>
    </row>
    <row r="73" spans="1:2" x14ac:dyDescent="0.3">
      <c r="B73" s="1859" t="s">
        <v>1309</v>
      </c>
    </row>
    <row r="74" spans="1:2" x14ac:dyDescent="0.3">
      <c r="B74" s="1859" t="s">
        <v>1310</v>
      </c>
    </row>
    <row r="75" spans="1:2" x14ac:dyDescent="0.3">
      <c r="B75" s="1859" t="s">
        <v>1311</v>
      </c>
    </row>
    <row r="76" spans="1:2" x14ac:dyDescent="0.3">
      <c r="B76" s="1859" t="s">
        <v>1312</v>
      </c>
    </row>
    <row r="77" spans="1:2" x14ac:dyDescent="0.3">
      <c r="B77" s="1859" t="s">
        <v>1313</v>
      </c>
    </row>
    <row r="78" spans="1:2" x14ac:dyDescent="0.3">
      <c r="B78" s="1859" t="s">
        <v>1314</v>
      </c>
    </row>
    <row r="79" spans="1:2" x14ac:dyDescent="0.3">
      <c r="B79" s="1859" t="s">
        <v>1315</v>
      </c>
    </row>
    <row r="80" spans="1:2" x14ac:dyDescent="0.3">
      <c r="B80" s="1859" t="s">
        <v>1316</v>
      </c>
    </row>
    <row r="81" spans="1:2" x14ac:dyDescent="0.3">
      <c r="B81" s="1859" t="s">
        <v>1317</v>
      </c>
    </row>
    <row r="82" spans="1:2" x14ac:dyDescent="0.3">
      <c r="B82" s="1859" t="s">
        <v>1318</v>
      </c>
    </row>
    <row r="83" spans="1:2" x14ac:dyDescent="0.3">
      <c r="B83" s="1859" t="s">
        <v>1319</v>
      </c>
    </row>
    <row r="84" spans="1:2" x14ac:dyDescent="0.3">
      <c r="B84" s="1859" t="s">
        <v>1320</v>
      </c>
    </row>
    <row r="85" spans="1:2" x14ac:dyDescent="0.3">
      <c r="B85" s="1860" t="s">
        <v>1754</v>
      </c>
    </row>
    <row r="86" spans="1:2" x14ac:dyDescent="0.3">
      <c r="B86" s="1860" t="s">
        <v>1753</v>
      </c>
    </row>
    <row r="87" spans="1:2" x14ac:dyDescent="0.3">
      <c r="B87" s="1860" t="s">
        <v>1755</v>
      </c>
    </row>
    <row r="88" spans="1:2" x14ac:dyDescent="0.3">
      <c r="B88" s="1860" t="s">
        <v>1756</v>
      </c>
    </row>
    <row r="89" spans="1:2" x14ac:dyDescent="0.3">
      <c r="B89" s="1860" t="s">
        <v>1757</v>
      </c>
    </row>
    <row r="91" spans="1:2" x14ac:dyDescent="0.3">
      <c r="A91" s="1858"/>
      <c r="B91" s="1861">
        <v>0</v>
      </c>
    </row>
    <row r="92" spans="1:2" x14ac:dyDescent="0.3">
      <c r="A92" s="1859" t="s">
        <v>1814</v>
      </c>
      <c r="B92" s="1861">
        <v>0.1</v>
      </c>
    </row>
    <row r="93" spans="1:2" x14ac:dyDescent="0.3">
      <c r="B93" s="1861">
        <v>0.2</v>
      </c>
    </row>
    <row r="94" spans="1:2" x14ac:dyDescent="0.3">
      <c r="B94" s="1861">
        <v>0.25</v>
      </c>
    </row>
    <row r="95" spans="1:2" x14ac:dyDescent="0.3">
      <c r="B95" s="1861">
        <v>0.3</v>
      </c>
    </row>
    <row r="96" spans="1:2" x14ac:dyDescent="0.3">
      <c r="B96" s="1861">
        <v>0.4</v>
      </c>
    </row>
    <row r="97" spans="1:2" x14ac:dyDescent="0.3">
      <c r="B97" s="1861">
        <v>0.5</v>
      </c>
    </row>
    <row r="98" spans="1:2" x14ac:dyDescent="0.3">
      <c r="B98" s="1861">
        <v>0.6</v>
      </c>
    </row>
    <row r="99" spans="1:2" x14ac:dyDescent="0.3">
      <c r="B99" s="1861">
        <v>0.75</v>
      </c>
    </row>
    <row r="100" spans="1:2" x14ac:dyDescent="0.3">
      <c r="B100" s="1861">
        <v>1</v>
      </c>
    </row>
    <row r="102" spans="1:2" x14ac:dyDescent="0.3">
      <c r="A102" s="1858"/>
      <c r="B102" s="1859" t="s">
        <v>1161</v>
      </c>
    </row>
    <row r="103" spans="1:2" x14ac:dyDescent="0.3">
      <c r="A103" s="1859" t="s">
        <v>1815</v>
      </c>
      <c r="B103" s="1862" t="s">
        <v>1321</v>
      </c>
    </row>
    <row r="104" spans="1:2" x14ac:dyDescent="0.3">
      <c r="B104" s="1862" t="s">
        <v>1322</v>
      </c>
    </row>
    <row r="105" spans="1:2" x14ac:dyDescent="0.3">
      <c r="B105" s="1862" t="s">
        <v>1323</v>
      </c>
    </row>
    <row r="106" spans="1:2" x14ac:dyDescent="0.3">
      <c r="B106" s="1862" t="s">
        <v>1324</v>
      </c>
    </row>
    <row r="107" spans="1:2" x14ac:dyDescent="0.3">
      <c r="B107" s="1862" t="s">
        <v>1325</v>
      </c>
    </row>
    <row r="108" spans="1:2" x14ac:dyDescent="0.3">
      <c r="B108" s="1862" t="s">
        <v>1326</v>
      </c>
    </row>
    <row r="109" spans="1:2" x14ac:dyDescent="0.3">
      <c r="B109" s="1862" t="s">
        <v>1327</v>
      </c>
    </row>
    <row r="110" spans="1:2" x14ac:dyDescent="0.3">
      <c r="B110" s="1862" t="s">
        <v>1328</v>
      </c>
    </row>
    <row r="111" spans="1:2" x14ac:dyDescent="0.3">
      <c r="B111" s="1862" t="s">
        <v>1329</v>
      </c>
    </row>
    <row r="112" spans="1:2" x14ac:dyDescent="0.3">
      <c r="B112" s="1862" t="s">
        <v>1330</v>
      </c>
    </row>
    <row r="113" spans="1:2" x14ac:dyDescent="0.3">
      <c r="B113" s="1862" t="s">
        <v>1331</v>
      </c>
    </row>
    <row r="114" spans="1:2" x14ac:dyDescent="0.3">
      <c r="B114" s="1862" t="s">
        <v>1332</v>
      </c>
    </row>
    <row r="115" spans="1:2" x14ac:dyDescent="0.3">
      <c r="B115" s="1862" t="s">
        <v>1333</v>
      </c>
    </row>
    <row r="116" spans="1:2" x14ac:dyDescent="0.3">
      <c r="B116" s="1862" t="s">
        <v>1334</v>
      </c>
    </row>
    <row r="117" spans="1:2" x14ac:dyDescent="0.3">
      <c r="B117" s="1862" t="s">
        <v>1335</v>
      </c>
    </row>
    <row r="118" spans="1:2" x14ac:dyDescent="0.3">
      <c r="B118" s="1862" t="s">
        <v>1336</v>
      </c>
    </row>
    <row r="119" spans="1:2" x14ac:dyDescent="0.3">
      <c r="B119" s="1862" t="s">
        <v>1337</v>
      </c>
    </row>
    <row r="120" spans="1:2" x14ac:dyDescent="0.3">
      <c r="B120" s="1862" t="s">
        <v>1338</v>
      </c>
    </row>
    <row r="121" spans="1:2" x14ac:dyDescent="0.3">
      <c r="B121" s="1862" t="s">
        <v>1339</v>
      </c>
    </row>
    <row r="122" spans="1:2" x14ac:dyDescent="0.3">
      <c r="B122" s="1862" t="s">
        <v>1340</v>
      </c>
    </row>
    <row r="123" spans="1:2" x14ac:dyDescent="0.3">
      <c r="B123" s="1862" t="s">
        <v>1341</v>
      </c>
    </row>
    <row r="124" spans="1:2" x14ac:dyDescent="0.3">
      <c r="B124" s="1862" t="s">
        <v>1342</v>
      </c>
    </row>
    <row r="126" spans="1:2" x14ac:dyDescent="0.3">
      <c r="A126" s="1862"/>
      <c r="B126" s="1862" t="s">
        <v>1161</v>
      </c>
    </row>
    <row r="127" spans="1:2" x14ac:dyDescent="0.3">
      <c r="A127" s="1862" t="s">
        <v>1816</v>
      </c>
      <c r="B127" s="1863" t="s">
        <v>1343</v>
      </c>
    </row>
    <row r="128" spans="1:2" x14ac:dyDescent="0.3">
      <c r="A128" s="1862"/>
      <c r="B128" s="1863" t="s">
        <v>1758</v>
      </c>
    </row>
    <row r="129" spans="1:2" x14ac:dyDescent="0.3">
      <c r="A129" s="1862"/>
    </row>
    <row r="130" spans="1:2" x14ac:dyDescent="0.3">
      <c r="A130" s="1862"/>
    </row>
    <row r="131" spans="1:2" x14ac:dyDescent="0.3">
      <c r="A131" s="1862"/>
      <c r="B131" s="1863"/>
    </row>
    <row r="132" spans="1:2" x14ac:dyDescent="0.3">
      <c r="A132" s="1862"/>
      <c r="B132" s="1862"/>
    </row>
    <row r="133" spans="1:2" x14ac:dyDescent="0.3">
      <c r="A133" s="1862"/>
      <c r="B133" s="1862" t="s">
        <v>1161</v>
      </c>
    </row>
    <row r="134" spans="1:2" x14ac:dyDescent="0.3">
      <c r="A134" s="1862" t="s">
        <v>1817</v>
      </c>
      <c r="B134" s="1862" t="s">
        <v>1759</v>
      </c>
    </row>
    <row r="135" spans="1:2" x14ac:dyDescent="0.3">
      <c r="A135" s="1862"/>
      <c r="B135" s="1862" t="s">
        <v>1344</v>
      </c>
    </row>
    <row r="136" spans="1:2" x14ac:dyDescent="0.3">
      <c r="A136" s="1862"/>
      <c r="B136" s="1863" t="s">
        <v>1345</v>
      </c>
    </row>
    <row r="137" spans="1:2" x14ac:dyDescent="0.3">
      <c r="A137" s="1862"/>
      <c r="B137" s="1863" t="s">
        <v>1346</v>
      </c>
    </row>
    <row r="138" spans="1:2" x14ac:dyDescent="0.3">
      <c r="A138" s="1862"/>
      <c r="B138" s="1863" t="s">
        <v>1347</v>
      </c>
    </row>
    <row r="139" spans="1:2" x14ac:dyDescent="0.3">
      <c r="A139" s="1862"/>
      <c r="B139" s="1864" t="s">
        <v>1348</v>
      </c>
    </row>
    <row r="140" spans="1:2" x14ac:dyDescent="0.3">
      <c r="A140" s="1862"/>
      <c r="B140" s="1864" t="s">
        <v>1349</v>
      </c>
    </row>
    <row r="141" spans="1:2" x14ac:dyDescent="0.3">
      <c r="A141" s="1862"/>
      <c r="B141" s="1864" t="s">
        <v>1350</v>
      </c>
    </row>
    <row r="142" spans="1:2" x14ac:dyDescent="0.3">
      <c r="A142" s="1862"/>
      <c r="B142" s="1862"/>
    </row>
    <row r="143" spans="1:2" x14ac:dyDescent="0.3">
      <c r="A143" s="1862"/>
      <c r="B143" s="1862" t="s">
        <v>1175</v>
      </c>
    </row>
    <row r="144" spans="1:2" x14ac:dyDescent="0.3">
      <c r="A144" s="1862" t="s">
        <v>1818</v>
      </c>
      <c r="B144" s="1862" t="s">
        <v>1351</v>
      </c>
    </row>
    <row r="145" spans="1:2" x14ac:dyDescent="0.3">
      <c r="B145" s="1862" t="s">
        <v>1352</v>
      </c>
    </row>
    <row r="146" spans="1:2" x14ac:dyDescent="0.3">
      <c r="A146" s="1862"/>
      <c r="B146" s="1862" t="s">
        <v>1353</v>
      </c>
    </row>
    <row r="147" spans="1:2" x14ac:dyDescent="0.3">
      <c r="A147" s="1862"/>
      <c r="B147" s="1862" t="s">
        <v>1354</v>
      </c>
    </row>
    <row r="148" spans="1:2" x14ac:dyDescent="0.3">
      <c r="A148" s="1862"/>
      <c r="B148" s="1862" t="s">
        <v>1355</v>
      </c>
    </row>
    <row r="149" spans="1:2" x14ac:dyDescent="0.3">
      <c r="A149" s="1862"/>
      <c r="B149" s="1862" t="s">
        <v>1356</v>
      </c>
    </row>
    <row r="150" spans="1:2" x14ac:dyDescent="0.3">
      <c r="A150" s="1862"/>
      <c r="B150" s="1862" t="s">
        <v>1357</v>
      </c>
    </row>
    <row r="151" spans="1:2" x14ac:dyDescent="0.3">
      <c r="A151" s="1862"/>
    </row>
    <row r="152" spans="1:2" x14ac:dyDescent="0.3">
      <c r="A152" s="1862"/>
      <c r="B152" s="1859" t="s">
        <v>1358</v>
      </c>
    </row>
    <row r="153" spans="1:2" x14ac:dyDescent="0.3">
      <c r="A153" s="1862" t="s">
        <v>1819</v>
      </c>
      <c r="B153" s="1864" t="s">
        <v>1359</v>
      </c>
    </row>
    <row r="154" spans="1:2" x14ac:dyDescent="0.3">
      <c r="B154" s="1864" t="s">
        <v>1360</v>
      </c>
    </row>
    <row r="155" spans="1:2" x14ac:dyDescent="0.3">
      <c r="A155" s="1862"/>
      <c r="B155" s="1864">
        <v>2060</v>
      </c>
    </row>
    <row r="156" spans="1:2" x14ac:dyDescent="0.3">
      <c r="A156" s="1862"/>
      <c r="B156" s="1864">
        <v>2163</v>
      </c>
    </row>
    <row r="157" spans="1:2" x14ac:dyDescent="0.3">
      <c r="A157" s="1862"/>
      <c r="B157" s="1864" t="s">
        <v>1361</v>
      </c>
    </row>
    <row r="158" spans="1:2" x14ac:dyDescent="0.3">
      <c r="A158" s="1862"/>
      <c r="B158" s="1862" t="s">
        <v>1362</v>
      </c>
    </row>
    <row r="159" spans="1:2" x14ac:dyDescent="0.3">
      <c r="A159" s="1862"/>
      <c r="B159" s="1862" t="s">
        <v>1363</v>
      </c>
    </row>
    <row r="160" spans="1:2" x14ac:dyDescent="0.3">
      <c r="A160" s="1862"/>
      <c r="B160" s="1862" t="s">
        <v>1364</v>
      </c>
    </row>
    <row r="161" spans="1:2" x14ac:dyDescent="0.3">
      <c r="A161" s="1862"/>
      <c r="B161" s="1862" t="s">
        <v>1365</v>
      </c>
    </row>
    <row r="162" spans="1:2" x14ac:dyDescent="0.3">
      <c r="A162" s="1862"/>
      <c r="B162" s="1862" t="s">
        <v>1366</v>
      </c>
    </row>
    <row r="163" spans="1:2" x14ac:dyDescent="0.3">
      <c r="A163" s="1862"/>
      <c r="B163" s="1862" t="s">
        <v>1367</v>
      </c>
    </row>
    <row r="164" spans="1:2" x14ac:dyDescent="0.3">
      <c r="A164" s="1862"/>
      <c r="B164" s="1862" t="s">
        <v>1368</v>
      </c>
    </row>
    <row r="165" spans="1:2" x14ac:dyDescent="0.3">
      <c r="A165" s="1862"/>
      <c r="B165" s="1862"/>
    </row>
    <row r="166" spans="1:2" x14ac:dyDescent="0.3">
      <c r="A166" s="1862"/>
      <c r="B166" s="1862" t="s">
        <v>1358</v>
      </c>
    </row>
    <row r="167" spans="1:2" x14ac:dyDescent="0.3">
      <c r="A167" s="1862" t="s">
        <v>1820</v>
      </c>
      <c r="B167" s="1862" t="s">
        <v>192</v>
      </c>
    </row>
    <row r="168" spans="1:2" x14ac:dyDescent="0.3">
      <c r="B168" s="1862" t="s">
        <v>1369</v>
      </c>
    </row>
    <row r="169" spans="1:2" x14ac:dyDescent="0.3">
      <c r="A169" s="1862"/>
      <c r="B169" s="1862" t="s">
        <v>1361</v>
      </c>
    </row>
    <row r="170" spans="1:2" x14ac:dyDescent="0.3">
      <c r="A170" s="1862"/>
      <c r="B170" s="1862" t="s">
        <v>1370</v>
      </c>
    </row>
    <row r="171" spans="1:2" x14ac:dyDescent="0.3">
      <c r="A171" s="1862"/>
      <c r="B171" s="1862" t="s">
        <v>1371</v>
      </c>
    </row>
    <row r="172" spans="1:2" x14ac:dyDescent="0.3">
      <c r="A172" s="1862"/>
      <c r="B172" s="1862" t="s">
        <v>1372</v>
      </c>
    </row>
    <row r="173" spans="1:2" x14ac:dyDescent="0.3">
      <c r="A173" s="1862"/>
      <c r="B173" s="1862"/>
    </row>
    <row r="174" spans="1:2" x14ac:dyDescent="0.3">
      <c r="A174" s="1862"/>
      <c r="B174" s="1859" t="s">
        <v>1146</v>
      </c>
    </row>
    <row r="175" spans="1:2" x14ac:dyDescent="0.3">
      <c r="A175" s="1862" t="s">
        <v>1821</v>
      </c>
      <c r="B175" s="1864" t="s">
        <v>1373</v>
      </c>
    </row>
    <row r="176" spans="1:2" x14ac:dyDescent="0.3">
      <c r="A176" s="1862"/>
      <c r="B176" s="1864" t="s">
        <v>1374</v>
      </c>
    </row>
    <row r="177" spans="1:2" x14ac:dyDescent="0.3">
      <c r="A177" s="1862"/>
      <c r="B177" s="1864" t="s">
        <v>1375</v>
      </c>
    </row>
    <row r="178" spans="1:2" x14ac:dyDescent="0.3">
      <c r="A178" s="1862"/>
      <c r="B178" s="1864" t="s">
        <v>1376</v>
      </c>
    </row>
    <row r="179" spans="1:2" x14ac:dyDescent="0.3">
      <c r="A179" s="1862"/>
      <c r="B179" s="1864" t="s">
        <v>1377</v>
      </c>
    </row>
    <row r="180" spans="1:2" x14ac:dyDescent="0.3">
      <c r="A180" s="1862"/>
      <c r="B180" s="1862" t="s">
        <v>1378</v>
      </c>
    </row>
    <row r="181" spans="1:2" x14ac:dyDescent="0.3">
      <c r="A181" s="1862"/>
      <c r="B181" s="1862"/>
    </row>
    <row r="182" spans="1:2" x14ac:dyDescent="0.3">
      <c r="A182" s="1862"/>
      <c r="B182" s="1862" t="s">
        <v>1379</v>
      </c>
    </row>
    <row r="183" spans="1:2" x14ac:dyDescent="0.3">
      <c r="A183" s="1862" t="s">
        <v>1822</v>
      </c>
      <c r="B183" s="1862" t="s">
        <v>1380</v>
      </c>
    </row>
    <row r="184" spans="1:2" x14ac:dyDescent="0.3">
      <c r="A184" s="1862"/>
      <c r="B184" s="1862" t="s">
        <v>1381</v>
      </c>
    </row>
    <row r="185" spans="1:2" x14ac:dyDescent="0.3">
      <c r="A185" s="1862"/>
      <c r="B185" s="1862"/>
    </row>
    <row r="186" spans="1:2" x14ac:dyDescent="0.3">
      <c r="A186" s="1862"/>
      <c r="B186" s="1859" t="s">
        <v>1760</v>
      </c>
    </row>
    <row r="187" spans="1:2" x14ac:dyDescent="0.3">
      <c r="A187" s="1862" t="s">
        <v>1823</v>
      </c>
      <c r="B187" s="1862" t="s">
        <v>1761</v>
      </c>
    </row>
    <row r="188" spans="1:2" x14ac:dyDescent="0.3">
      <c r="A188" s="1862"/>
      <c r="B188" s="1862" t="s">
        <v>1762</v>
      </c>
    </row>
    <row r="189" spans="1:2" x14ac:dyDescent="0.3">
      <c r="A189" s="1862"/>
      <c r="B189" s="1862" t="s">
        <v>1763</v>
      </c>
    </row>
    <row r="190" spans="1:2" x14ac:dyDescent="0.3">
      <c r="A190" s="1862"/>
      <c r="B190" s="1865" t="s">
        <v>306</v>
      </c>
    </row>
    <row r="191" spans="1:2" x14ac:dyDescent="0.3">
      <c r="A191" s="1862"/>
      <c r="B191" s="1862"/>
    </row>
    <row r="192" spans="1:2" x14ac:dyDescent="0.3">
      <c r="A192" s="1862"/>
      <c r="B192" s="1862" t="s">
        <v>1382</v>
      </c>
    </row>
    <row r="193" spans="1:2" x14ac:dyDescent="0.3">
      <c r="A193" s="1862" t="s">
        <v>1824</v>
      </c>
      <c r="B193" s="1862" t="s">
        <v>1383</v>
      </c>
    </row>
    <row r="194" spans="1:2" x14ac:dyDescent="0.3">
      <c r="A194" s="1862"/>
      <c r="B194" s="1862" t="s">
        <v>1384</v>
      </c>
    </row>
    <row r="195" spans="1:2" x14ac:dyDescent="0.3">
      <c r="A195" s="1862"/>
      <c r="B195" s="1862" t="s">
        <v>1385</v>
      </c>
    </row>
    <row r="196" spans="1:2" x14ac:dyDescent="0.3">
      <c r="A196" s="1862"/>
      <c r="B196" s="1862" t="s">
        <v>1386</v>
      </c>
    </row>
    <row r="197" spans="1:2" x14ac:dyDescent="0.3">
      <c r="A197" s="1862"/>
      <c r="B197" s="1862" t="s">
        <v>1199</v>
      </c>
    </row>
    <row r="198" spans="1:2" x14ac:dyDescent="0.3">
      <c r="A198" s="1862"/>
      <c r="B198" s="1862"/>
    </row>
    <row r="199" spans="1:2" x14ac:dyDescent="0.3">
      <c r="A199" s="1862"/>
      <c r="B199" s="1862" t="s">
        <v>1841</v>
      </c>
    </row>
    <row r="200" spans="1:2" x14ac:dyDescent="0.3">
      <c r="A200" s="1862"/>
      <c r="B200" s="1862" t="s">
        <v>1764</v>
      </c>
    </row>
    <row r="201" spans="1:2" x14ac:dyDescent="0.3">
      <c r="A201" s="1862" t="s">
        <v>1825</v>
      </c>
      <c r="B201" s="1862" t="s">
        <v>1765</v>
      </c>
    </row>
    <row r="202" spans="1:2" x14ac:dyDescent="0.3">
      <c r="A202" s="1862"/>
      <c r="B202" s="1862" t="s">
        <v>1766</v>
      </c>
    </row>
    <row r="203" spans="1:2" x14ac:dyDescent="0.3">
      <c r="A203" s="1862"/>
      <c r="B203" s="1862"/>
    </row>
    <row r="204" spans="1:2" x14ac:dyDescent="0.3">
      <c r="A204" s="1862"/>
      <c r="B204" s="1862"/>
    </row>
    <row r="205" spans="1:2" x14ac:dyDescent="0.3">
      <c r="A205" s="1862"/>
      <c r="B205" s="1862"/>
    </row>
    <row r="206" spans="1:2" x14ac:dyDescent="0.3">
      <c r="A206" s="1862"/>
      <c r="B206" s="1862"/>
    </row>
    <row r="207" spans="1:2" x14ac:dyDescent="0.3">
      <c r="A207" s="1862"/>
      <c r="B207" s="1862" t="s">
        <v>1209</v>
      </c>
    </row>
    <row r="208" spans="1:2" x14ac:dyDescent="0.3">
      <c r="A208" s="1862" t="s">
        <v>1826</v>
      </c>
      <c r="B208" s="1862" t="s">
        <v>1387</v>
      </c>
    </row>
    <row r="209" spans="1:2" x14ac:dyDescent="0.3">
      <c r="A209" s="1862"/>
      <c r="B209" s="1862" t="s">
        <v>1388</v>
      </c>
    </row>
    <row r="210" spans="1:2" x14ac:dyDescent="0.3">
      <c r="A210" s="1862"/>
      <c r="B210" s="1862"/>
    </row>
    <row r="211" spans="1:2" x14ac:dyDescent="0.3">
      <c r="A211" s="1862"/>
      <c r="B211" s="1862" t="s">
        <v>1389</v>
      </c>
    </row>
    <row r="212" spans="1:2" x14ac:dyDescent="0.3">
      <c r="A212" s="1862" t="s">
        <v>1827</v>
      </c>
      <c r="B212" s="1862" t="s">
        <v>1390</v>
      </c>
    </row>
    <row r="213" spans="1:2" x14ac:dyDescent="0.3">
      <c r="A213" s="1862"/>
      <c r="B213" s="1862" t="s">
        <v>1391</v>
      </c>
    </row>
    <row r="214" spans="1:2" x14ac:dyDescent="0.3">
      <c r="A214" s="1862"/>
      <c r="B214" s="1862" t="s">
        <v>1392</v>
      </c>
    </row>
    <row r="215" spans="1:2" x14ac:dyDescent="0.3">
      <c r="A215" s="1862"/>
      <c r="B215" s="1862" t="s">
        <v>1393</v>
      </c>
    </row>
    <row r="216" spans="1:2" x14ac:dyDescent="0.3">
      <c r="A216" s="1862"/>
      <c r="B216" s="1862" t="s">
        <v>1394</v>
      </c>
    </row>
    <row r="217" spans="1:2" x14ac:dyDescent="0.3">
      <c r="A217" s="1862"/>
      <c r="B217" s="1862" t="s">
        <v>1395</v>
      </c>
    </row>
    <row r="218" spans="1:2" x14ac:dyDescent="0.3">
      <c r="A218" s="1862"/>
      <c r="B218" s="1862" t="s">
        <v>1396</v>
      </c>
    </row>
    <row r="219" spans="1:2" x14ac:dyDescent="0.3">
      <c r="A219" s="1862"/>
      <c r="B219" s="1862" t="s">
        <v>1397</v>
      </c>
    </row>
    <row r="220" spans="1:2" x14ac:dyDescent="0.3">
      <c r="A220" s="1862"/>
      <c r="B220" s="1862" t="s">
        <v>1398</v>
      </c>
    </row>
    <row r="221" spans="1:2" x14ac:dyDescent="0.3">
      <c r="A221" s="1862"/>
      <c r="B221" s="1862" t="s">
        <v>1399</v>
      </c>
    </row>
    <row r="222" spans="1:2" x14ac:dyDescent="0.3">
      <c r="A222" s="1862"/>
      <c r="B222" s="1862" t="s">
        <v>1400</v>
      </c>
    </row>
    <row r="223" spans="1:2" x14ac:dyDescent="0.3">
      <c r="A223" s="1862"/>
      <c r="B223" s="1862" t="s">
        <v>1401</v>
      </c>
    </row>
    <row r="224" spans="1:2" x14ac:dyDescent="0.3">
      <c r="A224" s="1862"/>
      <c r="B224" s="1862" t="s">
        <v>1402</v>
      </c>
    </row>
    <row r="225" spans="1:2" x14ac:dyDescent="0.3">
      <c r="A225" s="1862"/>
      <c r="B225" s="1862"/>
    </row>
    <row r="226" spans="1:2" x14ac:dyDescent="0.3">
      <c r="A226" s="1862"/>
      <c r="B226" s="1859" t="s">
        <v>1161</v>
      </c>
    </row>
    <row r="227" spans="1:2" x14ac:dyDescent="0.3">
      <c r="A227" s="1862" t="s">
        <v>1829</v>
      </c>
      <c r="B227" s="1862" t="s">
        <v>1403</v>
      </c>
    </row>
    <row r="228" spans="1:2" x14ac:dyDescent="0.3">
      <c r="A228" s="1862"/>
      <c r="B228" s="1862" t="s">
        <v>1404</v>
      </c>
    </row>
    <row r="229" spans="1:2" x14ac:dyDescent="0.3">
      <c r="A229" s="1862"/>
      <c r="B229" s="1862" t="s">
        <v>1405</v>
      </c>
    </row>
    <row r="230" spans="1:2" x14ac:dyDescent="0.3">
      <c r="A230" s="1862"/>
      <c r="B230" s="1862"/>
    </row>
    <row r="231" spans="1:2" x14ac:dyDescent="0.3">
      <c r="A231" s="1862"/>
      <c r="B231" s="1862" t="s">
        <v>1406</v>
      </c>
    </row>
    <row r="232" spans="1:2" x14ac:dyDescent="0.3">
      <c r="A232" s="1862" t="s">
        <v>1830</v>
      </c>
      <c r="B232" s="1862" t="s">
        <v>1407</v>
      </c>
    </row>
    <row r="233" spans="1:2" x14ac:dyDescent="0.3">
      <c r="A233" s="1862"/>
      <c r="B233" s="1862" t="s">
        <v>1357</v>
      </c>
    </row>
    <row r="234" spans="1:2" x14ac:dyDescent="0.3">
      <c r="A234" s="1862"/>
      <c r="B234" s="1862"/>
    </row>
    <row r="235" spans="1:2" x14ac:dyDescent="0.3">
      <c r="A235" s="1862"/>
      <c r="B235" s="1862" t="s">
        <v>1408</v>
      </c>
    </row>
    <row r="236" spans="1:2" x14ac:dyDescent="0.3">
      <c r="A236" s="1862" t="s">
        <v>1835</v>
      </c>
      <c r="B236" s="1862" t="s">
        <v>1407</v>
      </c>
    </row>
    <row r="237" spans="1:2" x14ac:dyDescent="0.3">
      <c r="A237" s="1862"/>
      <c r="B237" s="1862" t="s">
        <v>1357</v>
      </c>
    </row>
    <row r="238" spans="1:2" x14ac:dyDescent="0.3">
      <c r="A238" s="1862"/>
      <c r="B238" s="1862"/>
    </row>
    <row r="239" spans="1:2" x14ac:dyDescent="0.3">
      <c r="A239" s="1862"/>
      <c r="B239" s="1862" t="s">
        <v>1232</v>
      </c>
    </row>
    <row r="240" spans="1:2" x14ac:dyDescent="0.3">
      <c r="A240" s="1862" t="s">
        <v>1831</v>
      </c>
      <c r="B240" s="1862" t="s">
        <v>1409</v>
      </c>
    </row>
    <row r="241" spans="1:2" x14ac:dyDescent="0.3">
      <c r="B241" s="1859" t="s">
        <v>1410</v>
      </c>
    </row>
    <row r="242" spans="1:2" x14ac:dyDescent="0.3">
      <c r="A242" s="1862"/>
      <c r="B242" s="1859" t="s">
        <v>1411</v>
      </c>
    </row>
    <row r="243" spans="1:2" x14ac:dyDescent="0.3">
      <c r="A243" s="1862"/>
    </row>
    <row r="244" spans="1:2" x14ac:dyDescent="0.3">
      <c r="A244" s="1862"/>
      <c r="B244" s="1862"/>
    </row>
    <row r="245" spans="1:2" x14ac:dyDescent="0.3">
      <c r="A245" s="1862"/>
      <c r="B245" s="1862" t="s">
        <v>1233</v>
      </c>
    </row>
    <row r="246" spans="1:2" x14ac:dyDescent="0.3">
      <c r="A246" s="1862" t="s">
        <v>1832</v>
      </c>
      <c r="B246" s="1862" t="s">
        <v>1412</v>
      </c>
    </row>
    <row r="247" spans="1:2" x14ac:dyDescent="0.3">
      <c r="B247" s="1862" t="s">
        <v>1413</v>
      </c>
    </row>
    <row r="248" spans="1:2" x14ac:dyDescent="0.3">
      <c r="A248" s="1862"/>
      <c r="B248" s="1862" t="s">
        <v>1414</v>
      </c>
    </row>
    <row r="249" spans="1:2" x14ac:dyDescent="0.3">
      <c r="A249" s="1862"/>
      <c r="B249" s="1862" t="s">
        <v>1415</v>
      </c>
    </row>
    <row r="250" spans="1:2" x14ac:dyDescent="0.3">
      <c r="A250" s="1862"/>
      <c r="B250" s="1859" t="s">
        <v>1767</v>
      </c>
    </row>
    <row r="251" spans="1:2" x14ac:dyDescent="0.3">
      <c r="A251" s="1862"/>
      <c r="B251" s="1859" t="s">
        <v>1768</v>
      </c>
    </row>
    <row r="252" spans="1:2" x14ac:dyDescent="0.3">
      <c r="A252" s="1862"/>
      <c r="B252" s="1862" t="s">
        <v>1769</v>
      </c>
    </row>
    <row r="253" spans="1:2" x14ac:dyDescent="0.3">
      <c r="A253" s="1862"/>
      <c r="B253" s="1862" t="s">
        <v>1770</v>
      </c>
    </row>
    <row r="254" spans="1:2" x14ac:dyDescent="0.3">
      <c r="A254" s="1862"/>
      <c r="B254" s="1862" t="s">
        <v>1416</v>
      </c>
    </row>
    <row r="255" spans="1:2" x14ac:dyDescent="0.3">
      <c r="A255" s="1862"/>
      <c r="B255" s="1859" t="s">
        <v>1771</v>
      </c>
    </row>
    <row r="256" spans="1:2" x14ac:dyDescent="0.3">
      <c r="A256" s="1862"/>
      <c r="B256" s="1862" t="s">
        <v>1417</v>
      </c>
    </row>
    <row r="257" spans="1:2" x14ac:dyDescent="0.3">
      <c r="A257" s="1862"/>
      <c r="B257" s="1862" t="s">
        <v>1418</v>
      </c>
    </row>
    <row r="258" spans="1:2" x14ac:dyDescent="0.3">
      <c r="A258" s="1862"/>
      <c r="B258" s="1862" t="s">
        <v>1419</v>
      </c>
    </row>
    <row r="259" spans="1:2" x14ac:dyDescent="0.3">
      <c r="A259" s="1862"/>
      <c r="B259" s="1859" t="s">
        <v>1772</v>
      </c>
    </row>
    <row r="260" spans="1:2" x14ac:dyDescent="0.3">
      <c r="A260" s="1862"/>
      <c r="B260" s="1862" t="s">
        <v>1420</v>
      </c>
    </row>
    <row r="261" spans="1:2" x14ac:dyDescent="0.3">
      <c r="A261" s="1862"/>
      <c r="B261" s="1862" t="s">
        <v>1773</v>
      </c>
    </row>
    <row r="262" spans="1:2" x14ac:dyDescent="0.3">
      <c r="A262" s="1862"/>
      <c r="B262" s="1862" t="s">
        <v>1421</v>
      </c>
    </row>
    <row r="263" spans="1:2" x14ac:dyDescent="0.3">
      <c r="A263" s="1862"/>
      <c r="B263" s="1862" t="s">
        <v>1774</v>
      </c>
    </row>
    <row r="264" spans="1:2" x14ac:dyDescent="0.3">
      <c r="A264" s="1862"/>
      <c r="B264" s="1862" t="s">
        <v>1422</v>
      </c>
    </row>
    <row r="265" spans="1:2" x14ac:dyDescent="0.3">
      <c r="A265" s="1862"/>
      <c r="B265" s="1862" t="s">
        <v>1775</v>
      </c>
    </row>
    <row r="266" spans="1:2" x14ac:dyDescent="0.3">
      <c r="A266" s="1862"/>
      <c r="B266" s="1862" t="s">
        <v>1776</v>
      </c>
    </row>
    <row r="267" spans="1:2" x14ac:dyDescent="0.3">
      <c r="A267" s="1862"/>
      <c r="B267" s="1862" t="s">
        <v>1423</v>
      </c>
    </row>
    <row r="268" spans="1:2" x14ac:dyDescent="0.3">
      <c r="A268" s="1862"/>
      <c r="B268" s="1862" t="s">
        <v>1777</v>
      </c>
    </row>
    <row r="269" spans="1:2" x14ac:dyDescent="0.3">
      <c r="A269" s="1862"/>
      <c r="B269" s="1862" t="s">
        <v>1778</v>
      </c>
    </row>
    <row r="270" spans="1:2" x14ac:dyDescent="0.3">
      <c r="A270" s="1862"/>
      <c r="B270" s="1862" t="s">
        <v>1424</v>
      </c>
    </row>
    <row r="271" spans="1:2" x14ac:dyDescent="0.3">
      <c r="A271" s="1862"/>
      <c r="B271" s="1859" t="s">
        <v>1779</v>
      </c>
    </row>
    <row r="272" spans="1:2" x14ac:dyDescent="0.3">
      <c r="A272" s="1862"/>
      <c r="B272" s="1862" t="s">
        <v>1425</v>
      </c>
    </row>
    <row r="273" spans="1:2" x14ac:dyDescent="0.3">
      <c r="A273" s="1862"/>
      <c r="B273" s="1862" t="s">
        <v>1780</v>
      </c>
    </row>
    <row r="274" spans="1:2" x14ac:dyDescent="0.3">
      <c r="A274" s="1862"/>
      <c r="B274" s="1859" t="s">
        <v>1781</v>
      </c>
    </row>
    <row r="275" spans="1:2" x14ac:dyDescent="0.3">
      <c r="A275" s="1862"/>
      <c r="B275" s="1859" t="s">
        <v>1782</v>
      </c>
    </row>
    <row r="276" spans="1:2" x14ac:dyDescent="0.3">
      <c r="A276" s="1862"/>
      <c r="B276" s="1862" t="s">
        <v>1426</v>
      </c>
    </row>
    <row r="277" spans="1:2" x14ac:dyDescent="0.3">
      <c r="A277" s="1862"/>
      <c r="B277" s="1862" t="s">
        <v>1427</v>
      </c>
    </row>
    <row r="278" spans="1:2" x14ac:dyDescent="0.3">
      <c r="A278" s="1862"/>
      <c r="B278" s="1859" t="s">
        <v>1783</v>
      </c>
    </row>
    <row r="279" spans="1:2" x14ac:dyDescent="0.3">
      <c r="A279" s="1862"/>
      <c r="B279" s="1862" t="s">
        <v>1428</v>
      </c>
    </row>
    <row r="280" spans="1:2" x14ac:dyDescent="0.3">
      <c r="A280" s="1862"/>
      <c r="B280" s="1859" t="s">
        <v>1784</v>
      </c>
    </row>
    <row r="281" spans="1:2" x14ac:dyDescent="0.3">
      <c r="A281" s="1862"/>
      <c r="B281" s="1859" t="s">
        <v>1785</v>
      </c>
    </row>
    <row r="282" spans="1:2" x14ac:dyDescent="0.3">
      <c r="A282" s="1862"/>
      <c r="B282" s="1862" t="s">
        <v>1429</v>
      </c>
    </row>
    <row r="283" spans="1:2" x14ac:dyDescent="0.3">
      <c r="A283" s="1862"/>
      <c r="B283" s="1862" t="s">
        <v>1786</v>
      </c>
    </row>
    <row r="284" spans="1:2" x14ac:dyDescent="0.3">
      <c r="A284" s="1862"/>
      <c r="B284" s="1859" t="s">
        <v>1787</v>
      </c>
    </row>
    <row r="285" spans="1:2" x14ac:dyDescent="0.3">
      <c r="A285" s="1862"/>
      <c r="B285" s="1862" t="s">
        <v>1430</v>
      </c>
    </row>
    <row r="286" spans="1:2" x14ac:dyDescent="0.3">
      <c r="A286" s="1862"/>
      <c r="B286" s="1859" t="s">
        <v>1788</v>
      </c>
    </row>
    <row r="287" spans="1:2" x14ac:dyDescent="0.3">
      <c r="A287" s="1862"/>
      <c r="B287" s="1862" t="s">
        <v>1431</v>
      </c>
    </row>
    <row r="288" spans="1:2" x14ac:dyDescent="0.3">
      <c r="A288" s="1862"/>
      <c r="B288" s="1862" t="s">
        <v>1432</v>
      </c>
    </row>
    <row r="289" spans="1:2" x14ac:dyDescent="0.3">
      <c r="A289" s="1862"/>
      <c r="B289" s="1862" t="s">
        <v>1433</v>
      </c>
    </row>
    <row r="290" spans="1:2" x14ac:dyDescent="0.3">
      <c r="A290" s="1862"/>
      <c r="B290" s="1862" t="s">
        <v>1434</v>
      </c>
    </row>
    <row r="291" spans="1:2" x14ac:dyDescent="0.3">
      <c r="A291" s="1862"/>
      <c r="B291" s="1859" t="s">
        <v>1789</v>
      </c>
    </row>
    <row r="292" spans="1:2" x14ac:dyDescent="0.3">
      <c r="A292" s="1862"/>
      <c r="B292" s="1862" t="s">
        <v>1435</v>
      </c>
    </row>
    <row r="293" spans="1:2" x14ac:dyDescent="0.3">
      <c r="A293" s="1862"/>
      <c r="B293" s="1859" t="s">
        <v>1303</v>
      </c>
    </row>
    <row r="294" spans="1:2" x14ac:dyDescent="0.3">
      <c r="A294" s="1862"/>
      <c r="B294" s="1862" t="s">
        <v>1790</v>
      </c>
    </row>
    <row r="295" spans="1:2" x14ac:dyDescent="0.3">
      <c r="A295" s="1862"/>
      <c r="B295" s="1862" t="s">
        <v>1305</v>
      </c>
    </row>
    <row r="296" spans="1:2" x14ac:dyDescent="0.3">
      <c r="A296" s="1862"/>
      <c r="B296" s="1862"/>
    </row>
    <row r="297" spans="1:2" x14ac:dyDescent="0.3">
      <c r="A297" s="1862"/>
      <c r="B297" s="1862"/>
    </row>
    <row r="298" spans="1:2" x14ac:dyDescent="0.3">
      <c r="A298" s="1862" t="s">
        <v>1833</v>
      </c>
      <c r="B298" s="1859" t="s">
        <v>1161</v>
      </c>
    </row>
    <row r="299" spans="1:2" x14ac:dyDescent="0.3">
      <c r="A299" s="1862"/>
      <c r="B299" s="1862" t="s">
        <v>1436</v>
      </c>
    </row>
    <row r="300" spans="1:2" x14ac:dyDescent="0.3">
      <c r="A300" s="1862"/>
      <c r="B300" s="1862" t="s">
        <v>1437</v>
      </c>
    </row>
    <row r="301" spans="1:2" x14ac:dyDescent="0.3">
      <c r="A301" s="1862"/>
      <c r="B301" s="1862" t="s">
        <v>1438</v>
      </c>
    </row>
    <row r="302" spans="1:2" x14ac:dyDescent="0.3">
      <c r="A302" s="1862"/>
      <c r="B302" s="1862"/>
    </row>
    <row r="303" spans="1:2" x14ac:dyDescent="0.3">
      <c r="B303" s="1859" t="s">
        <v>1791</v>
      </c>
    </row>
    <row r="304" spans="1:2" x14ac:dyDescent="0.3">
      <c r="A304" s="1859" t="s">
        <v>1834</v>
      </c>
      <c r="B304" s="1859" t="s">
        <v>1351</v>
      </c>
    </row>
    <row r="305" spans="2:2" x14ac:dyDescent="0.3">
      <c r="B305" s="1859" t="s">
        <v>1528</v>
      </c>
    </row>
    <row r="306" spans="2:2" x14ac:dyDescent="0.3">
      <c r="B306" s="1859" t="s">
        <v>1529</v>
      </c>
    </row>
    <row r="307" spans="2:2" x14ac:dyDescent="0.3">
      <c r="B307" s="1859" t="s">
        <v>1530</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63979cc8-f6b2-4ee6-8bed-630b6048d169"/>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59db5950-9a61-4c09-b3e2-fe6d472fba04"/>
    <ds:schemaRef ds:uri="http://www.w3.org/XML/1998/namespace"/>
    <ds:schemaRef ds:uri="http://purl.org/dc/dcmitype/"/>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261</vt:i4>
      </vt:variant>
    </vt:vector>
  </HeadingPairs>
  <TitlesOfParts>
    <vt:vector size="312" baseType="lpstr">
      <vt:lpstr>Dropdowns</vt:lpstr>
      <vt:lpstr>ESDS-Reference Table</vt:lpstr>
      <vt:lpstr>ESDS-Lookup Table</vt:lpstr>
      <vt:lpstr>5 Default Check</vt:lpstr>
      <vt:lpstr>Definitions</vt:lpstr>
      <vt:lpstr>Sheet1</vt:lpstr>
      <vt:lpstr>HTF_Quickload</vt:lpstr>
      <vt:lpstr>Validations Checklist</vt:lpstr>
      <vt:lpstr>1</vt:lpstr>
      <vt:lpstr>2A</vt:lpstr>
      <vt:lpstr>2B</vt:lpstr>
      <vt:lpstr>2C</vt:lpstr>
      <vt:lpstr>3</vt:lpstr>
      <vt:lpstr>4</vt:lpstr>
      <vt:lpstr>5</vt:lpstr>
      <vt:lpstr>6A Rollup</vt:lpstr>
      <vt:lpstr>6A - 4% Building</vt:lpstr>
      <vt:lpstr>6B - 4% Building</vt:lpstr>
      <vt:lpstr>6C - 4% Building</vt:lpstr>
      <vt:lpstr>6D - 4% Building</vt:lpstr>
      <vt:lpstr>6E - 4% Building</vt:lpstr>
      <vt:lpstr>6A - 9% Building</vt:lpstr>
      <vt:lpstr>6B - 9% Building</vt:lpstr>
      <vt:lpstr>6C - 9% Building</vt:lpstr>
      <vt:lpstr>6D - 9% Building</vt:lpstr>
      <vt:lpstr>6E - 9% Building</vt:lpstr>
      <vt:lpstr>7A (Rollup)</vt:lpstr>
      <vt:lpstr>7A - 4%</vt:lpstr>
      <vt:lpstr>7B - 4%</vt:lpstr>
      <vt:lpstr>7A - 9%</vt:lpstr>
      <vt:lpstr>7B - 9%</vt:lpstr>
      <vt:lpstr>8A</vt:lpstr>
      <vt:lpstr>8B - 4% Building</vt:lpstr>
      <vt:lpstr>8C - 4% Building</vt:lpstr>
      <vt:lpstr>8D - 4% Building</vt:lpstr>
      <vt:lpstr>8E - 4% Building</vt:lpstr>
      <vt:lpstr>8B - 9% Building</vt:lpstr>
      <vt:lpstr>8C - 9% Building</vt:lpstr>
      <vt:lpstr>8D - 9% Building</vt:lpstr>
      <vt:lpstr>8E - 9% Building</vt:lpstr>
      <vt:lpstr>8D - Rollup</vt:lpstr>
      <vt:lpstr>9A</vt:lpstr>
      <vt:lpstr>9B</vt:lpstr>
      <vt:lpstr>9C</vt:lpstr>
      <vt:lpstr>9D</vt:lpstr>
      <vt:lpstr>9E</vt:lpstr>
      <vt:lpstr>Sheet2</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'11B '!Print_Area</vt:lpstr>
      <vt:lpstr>'2A'!Print_Area</vt:lpstr>
      <vt:lpstr>'2B'!Print_Area</vt:lpstr>
      <vt:lpstr>'2C'!Print_Area</vt:lpstr>
      <vt:lpstr>'3'!Print_Area</vt:lpstr>
      <vt:lpstr>'4'!Print_Area</vt:lpstr>
      <vt:lpstr>'5'!Print_Area</vt:lpstr>
      <vt:lpstr>'5 Default Check'!Print_Area</vt:lpstr>
      <vt:lpstr>'6A - 4% Building'!Print_Area</vt:lpstr>
      <vt:lpstr>'6A - 9% Building'!Print_Area</vt:lpstr>
      <vt:lpstr>'6A Rollup'!Print_Area</vt:lpstr>
      <vt:lpstr>'6B - 4% Building'!Print_Area</vt:lpstr>
      <vt:lpstr>'6B - 9% Building'!Print_Area</vt:lpstr>
      <vt:lpstr>'6C - 4% Building'!Print_Area</vt:lpstr>
      <vt:lpstr>'6C - 9% Building'!Print_Area</vt:lpstr>
      <vt:lpstr>'6D - 4% Building'!Print_Area</vt:lpstr>
      <vt:lpstr>'6D - 9% Building'!Print_Area</vt:lpstr>
      <vt:lpstr>'6E - 4% Building'!Print_Area</vt:lpstr>
      <vt:lpstr>'6E - 9% Building'!Print_Area</vt:lpstr>
      <vt:lpstr>'7A - 4%'!Print_Area</vt:lpstr>
      <vt:lpstr>'7A - 9%'!Print_Area</vt:lpstr>
      <vt:lpstr>'7A (Rollup)'!Print_Area</vt:lpstr>
      <vt:lpstr>'7B - 4%'!Print_Area</vt:lpstr>
      <vt:lpstr>'7B - 9%'!Print_Area</vt:lpstr>
      <vt:lpstr>'8A'!Print_Area</vt:lpstr>
      <vt:lpstr>'8B - 4% Building'!Print_Area</vt:lpstr>
      <vt:lpstr>'8B - 9% Building'!Print_Area</vt:lpstr>
      <vt:lpstr>'8C - 4% Building'!Print_Area</vt:lpstr>
      <vt:lpstr>'8C - 9% Building'!Print_Area</vt:lpstr>
      <vt:lpstr>'8D - 4% Building'!Print_Area</vt:lpstr>
      <vt:lpstr>'8D - 9% Building'!Print_Area</vt:lpstr>
      <vt:lpstr>'8D - Rollup'!Print_Area</vt:lpstr>
      <vt:lpstr>'8E - 4% Building'!Print_Area</vt:lpstr>
      <vt:lpstr>'8E - 9% Building'!Print_Area</vt:lpstr>
      <vt:lpstr>'9A'!Print_Area</vt:lpstr>
      <vt:lpstr>'9B'!Print_Area</vt:lpstr>
      <vt:lpstr>'9C'!Print_Area</vt:lpstr>
      <vt:lpstr>'9D'!Print_Area</vt:lpstr>
      <vt:lpstr>'9E'!Print_Area</vt:lpstr>
      <vt:lpstr>Definitions!Print_Area</vt:lpstr>
      <vt:lpstr>'6A - 4% Building'!Print_Titles</vt:lpstr>
      <vt:lpstr>'6A - 9% Building'!Print_Titles</vt:lpstr>
      <vt:lpstr>'6A Rollup'!Print_Titles</vt:lpstr>
      <vt:lpstr>'6B - 4% Building'!Print_Titles</vt:lpstr>
      <vt:lpstr>'6B - 9% Building'!Print_Titles</vt:lpstr>
      <vt:lpstr>'6C - 4% Building'!Print_Titles</vt:lpstr>
      <vt:lpstr>'6C - 9% Building'!Print_Titles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Mack, Thomas</cp:lastModifiedBy>
  <cp:lastPrinted>2017-09-20T03:55:41Z</cp:lastPrinted>
  <dcterms:created xsi:type="dcterms:W3CDTF">2015-05-06T15:11:33Z</dcterms:created>
  <dcterms:modified xsi:type="dcterms:W3CDTF">2017-10-23T21:54:02Z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